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37E59272-EBE7-4963-8B9A-70243D46B36D}" xr6:coauthVersionLast="47" xr6:coauthVersionMax="47" xr10:uidLastSave="{00000000-0000-0000-0000-000000000000}"/>
  <bookViews>
    <workbookView xWindow="-120" yWindow="-120" windowWidth="20730" windowHeight="11160" xr2:uid="{00000000-000D-0000-FFFF-FFFF00000000}"/>
  </bookViews>
  <sheets>
    <sheet name="Instructions" sheetId="247" r:id="rId1"/>
    <sheet name="FS" sheetId="1" r:id="rId2"/>
    <sheet name="FS2" sheetId="246" r:id="rId3"/>
    <sheet name="Criteria" sheetId="4" r:id="rId4"/>
    <sheet name="TrialBalance" sheetId="5" r:id="rId5"/>
    <sheet name="Journals" sheetId="26" r:id="rId6"/>
    <sheet name="FARegister" sheetId="89" r:id="rId7"/>
    <sheet name="ILoans" sheetId="168" r:id="rId8"/>
    <sheet name="IFree" sheetId="169" r:id="rId9"/>
    <sheet name="NC Receivables" sheetId="229" r:id="rId10"/>
    <sheet name="Stock" sheetId="206" r:id="rId11"/>
    <sheet name="Debtors" sheetId="187" r:id="rId12"/>
    <sheet name="Bank" sheetId="178" r:id="rId13"/>
    <sheet name="Creditors" sheetId="167" r:id="rId14"/>
    <sheet name="Expenses" sheetId="240" r:id="rId15"/>
    <sheet name="Open" sheetId="124" r:id="rId16"/>
    <sheet name="Loan 1" sheetId="230" r:id="rId17"/>
    <sheet name="FLease1" sheetId="231" r:id="rId18"/>
    <sheet name="TrialBalanceA" sheetId="136" r:id="rId19"/>
    <sheet name="JournalsA" sheetId="149" r:id="rId20"/>
    <sheet name="TrialBalanceB" sheetId="190" r:id="rId21"/>
    <sheet name="JournalsB" sheetId="189" r:id="rId22"/>
    <sheet name="TrialBalanceC" sheetId="192" r:id="rId23"/>
    <sheet name="JournalsC" sheetId="193" r:id="rId24"/>
  </sheets>
  <externalReferences>
    <externalReference r:id="rId25"/>
    <externalReference r:id="rId26"/>
    <externalReference r:id="rId27"/>
    <externalReference r:id="rId28"/>
    <externalReference r:id="rId29"/>
  </externalReferences>
  <definedNames>
    <definedName name="_ftn1" localSheetId="1">FS!#REF!</definedName>
    <definedName name="_ftnref1" localSheetId="1">FS!#REF!</definedName>
    <definedName name="_Movesheet" localSheetId="11">#REF!</definedName>
    <definedName name="_Movesheet" localSheetId="0">#REF!</definedName>
    <definedName name="_Movesheet" localSheetId="21">#REF!</definedName>
    <definedName name="_Movesheet" localSheetId="23">#REF!</definedName>
    <definedName name="_Movesheet" localSheetId="10">#REF!</definedName>
    <definedName name="_Movesheet" localSheetId="20">#REF!</definedName>
    <definedName name="_Movesheet" localSheetId="22">#REF!</definedName>
    <definedName name="_Movesheet">#REF!</definedName>
    <definedName name="_MoveSheet2" localSheetId="11">#REF!</definedName>
    <definedName name="_MoveSheet2" localSheetId="0">#REF!</definedName>
    <definedName name="_MoveSheet2" localSheetId="21">#REF!</definedName>
    <definedName name="_MoveSheet2" localSheetId="23">#REF!</definedName>
    <definedName name="_MoveSheet2" localSheetId="10">#REF!</definedName>
    <definedName name="_MoveSheet2" localSheetId="20">#REF!</definedName>
    <definedName name="_MoveSheet2" localSheetId="22">#REF!</definedName>
    <definedName name="_MoveSheet2">#REF!</definedName>
    <definedName name="_MoveSheet3" localSheetId="11">#REF!</definedName>
    <definedName name="_MoveSheet3" localSheetId="0">#REF!</definedName>
    <definedName name="_MoveSheet3" localSheetId="21">#REF!</definedName>
    <definedName name="_MoveSheet3" localSheetId="23">#REF!</definedName>
    <definedName name="_MoveSheet3" localSheetId="10">#REF!</definedName>
    <definedName name="_MoveSheet3" localSheetId="20">#REF!</definedName>
    <definedName name="_MoveSheet3" localSheetId="22">#REF!</definedName>
    <definedName name="_MoveSheet3">#REF!</definedName>
    <definedName name="_MoveSheet4" localSheetId="11">#REF!</definedName>
    <definedName name="_MoveSheet4" localSheetId="0">#REF!</definedName>
    <definedName name="_MoveSheet4" localSheetId="21">#REF!</definedName>
    <definedName name="_MoveSheet4" localSheetId="23">#REF!</definedName>
    <definedName name="_MoveSheet4" localSheetId="10">#REF!</definedName>
    <definedName name="_MoveSheet4" localSheetId="20">#REF!</definedName>
    <definedName name="_MoveSheet4" localSheetId="22">#REF!</definedName>
    <definedName name="_MoveSheet4">#REF!</definedName>
    <definedName name="_MoveSheet5" localSheetId="11">#REF!</definedName>
    <definedName name="_MoveSheet5" localSheetId="0">#REF!</definedName>
    <definedName name="_MoveSheet5" localSheetId="21">#REF!</definedName>
    <definedName name="_MoveSheet5" localSheetId="23">#REF!</definedName>
    <definedName name="_MoveSheet5" localSheetId="10">#REF!</definedName>
    <definedName name="_MoveSheet5" localSheetId="20">#REF!</definedName>
    <definedName name="_MoveSheet5" localSheetId="22">#REF!</definedName>
    <definedName name="_MoveSheet5">#REF!</definedName>
    <definedName name="_MoveSheet6" localSheetId="11">#REF!</definedName>
    <definedName name="_MoveSheet6" localSheetId="0">#REF!</definedName>
    <definedName name="_MoveSheet6" localSheetId="21">#REF!</definedName>
    <definedName name="_MoveSheet6" localSheetId="23">#REF!</definedName>
    <definedName name="_MoveSheet6" localSheetId="10">#REF!</definedName>
    <definedName name="_MoveSheet6" localSheetId="20">#REF!</definedName>
    <definedName name="_MoveSheet6" localSheetId="22">#REF!</definedName>
    <definedName name="_MoveSheet6">#REF!</definedName>
    <definedName name="_MoveSheet7" localSheetId="11">#REF!</definedName>
    <definedName name="_MoveSheet7" localSheetId="0">#REF!</definedName>
    <definedName name="_MoveSheet7" localSheetId="21">#REF!</definedName>
    <definedName name="_MoveSheet7" localSheetId="23">#REF!</definedName>
    <definedName name="_MoveSheet7" localSheetId="10">#REF!</definedName>
    <definedName name="_MoveSheet7" localSheetId="20">#REF!</definedName>
    <definedName name="_MoveSheet7" localSheetId="22">#REF!</definedName>
    <definedName name="_MoveSheet7">#REF!</definedName>
    <definedName name="_MoveSheet8" localSheetId="11">#REF!</definedName>
    <definedName name="_MoveSheet8" localSheetId="0">#REF!</definedName>
    <definedName name="_MoveSheet8" localSheetId="21">#REF!</definedName>
    <definedName name="_MoveSheet8" localSheetId="23">#REF!</definedName>
    <definedName name="_MoveSheet8" localSheetId="10">#REF!</definedName>
    <definedName name="_MoveSheet8" localSheetId="20">#REF!</definedName>
    <definedName name="_MoveSheet8" localSheetId="22">#REF!</definedName>
    <definedName name="_MoveSheet8">#REF!</definedName>
    <definedName name="_MoveSheet9" localSheetId="11">#REF!</definedName>
    <definedName name="_MoveSheet9" localSheetId="0">#REF!</definedName>
    <definedName name="_MoveSheet9" localSheetId="21">#REF!</definedName>
    <definedName name="_MoveSheet9" localSheetId="23">#REF!</definedName>
    <definedName name="_MoveSheet9" localSheetId="10">#REF!</definedName>
    <definedName name="_MoveSheet9" localSheetId="20">#REF!</definedName>
    <definedName name="_MoveSheet9" localSheetId="22">#REF!</definedName>
    <definedName name="_MoveSheet9">#REF!</definedName>
    <definedName name="Audit___Trail_balance_this_Year" localSheetId="0">#REF!</definedName>
    <definedName name="Audit___Trail_balance_this_Year" localSheetId="10">#REF!</definedName>
    <definedName name="Audit___Trail_balance_this_Year">#REF!</definedName>
    <definedName name="BalanceSheet" localSheetId="6">[1]TrialBalance!$K$147:$K$374</definedName>
    <definedName name="BalanceSheet" localSheetId="0">[2]TrialBalance!$P$158:$P$346</definedName>
    <definedName name="BalanceSheet" localSheetId="18">TrialBalanceA!#REF!</definedName>
    <definedName name="BalanceSheet" localSheetId="20">TrialBalanceB!#REF!</definedName>
    <definedName name="BalanceSheet" localSheetId="22">TrialBalanceC!#REF!</definedName>
    <definedName name="BalanceSheet">TrialBalance!$P$168:$P$401</definedName>
    <definedName name="BalanceSheet2" localSheetId="6">[1]TrialBalance!$C$148:$C$374</definedName>
    <definedName name="BalanceSheet2" localSheetId="18">TrialBalanceA!#REF!</definedName>
    <definedName name="BalanceSheet2" localSheetId="20">TrialBalanceB!#REF!</definedName>
    <definedName name="BalanceSheet2" localSheetId="22">TrialBalanceC!#REF!</definedName>
    <definedName name="BalanceSheet2">TrialBalance!$C$169:$C$401</definedName>
    <definedName name="BalanceSheet3" localSheetId="0">[2]TrialBalanceB!$M$159:$M$346</definedName>
    <definedName name="BalanceSheet3" localSheetId="22">TrialBalanceC!$M$169:$M$401</definedName>
    <definedName name="BalanceSheet3">TrialBalanceB!$M$169:$M$401</definedName>
    <definedName name="BalanceSheet4" localSheetId="0">[2]TrialBalanceC!$M$159:$M$346</definedName>
    <definedName name="BalanceSheet4">TrialBalanceC!$M$169:$M$401</definedName>
    <definedName name="BalanceSheetA" localSheetId="0">[2]TrialBalanceA!$M$159:$M$346</definedName>
    <definedName name="BalanceSheetA" localSheetId="20">TrialBalanceB!$M$169:$M$401</definedName>
    <definedName name="BalanceSheetA" localSheetId="22">TrialBalanceC!$M$169:$M$401</definedName>
    <definedName name="BalanceSheetA">TrialBalanceA!$M$169:$M$401</definedName>
    <definedName name="BalanceSheetB">[3]TrialBalanceB!$L$159:$L$365</definedName>
    <definedName name="DELETE" localSheetId="2">'FS2'!$A$1:$R$2452</definedName>
    <definedName name="DELETE">FS!$A$1:$R$2482</definedName>
    <definedName name="df" localSheetId="12">[4]TrialBalance!$K$4:$K$144</definedName>
    <definedName name="df" localSheetId="13">[4]TrialBalance!$K$4:$K$144</definedName>
    <definedName name="df" localSheetId="11">[4]TrialBalance!$K$4:$K$144</definedName>
    <definedName name="df" localSheetId="14">[4]TrialBalance!$K$4:$K$144</definedName>
    <definedName name="df" localSheetId="17">[4]TrialBalance!$K$4:$K$144</definedName>
    <definedName name="df" localSheetId="8">[4]TrialBalance!$K$4:$K$144</definedName>
    <definedName name="df" localSheetId="7">[4]TrialBalance!$K$4:$K$144</definedName>
    <definedName name="df" localSheetId="16">[4]TrialBalance!$K$4:$K$144</definedName>
    <definedName name="df" localSheetId="9">[4]TrialBalance!$K$4:$K$144</definedName>
    <definedName name="df" localSheetId="15">[4]TrialBalance!$K$4:$K$144</definedName>
    <definedName name="df" localSheetId="10">[4]TrialBalance!$K$4:$K$144</definedName>
    <definedName name="df" localSheetId="18">TrialBalanceA!$L$4:$L$165</definedName>
    <definedName name="df" localSheetId="20">TrialBalanceB!$L$4:$L$165</definedName>
    <definedName name="df" localSheetId="22">TrialBalanceC!$L$4:$L$165</definedName>
    <definedName name="df">TrialBalance!$O$4:$O$165</definedName>
    <definedName name="Excel_BuiltIn_Print_Area_1" localSheetId="12">#REF!</definedName>
    <definedName name="Excel_BuiltIn_Print_Area_1" localSheetId="13">#REF!</definedName>
    <definedName name="Excel_BuiltIn_Print_Area_1" localSheetId="11">#REF!</definedName>
    <definedName name="Excel_BuiltIn_Print_Area_1" localSheetId="8">#REF!</definedName>
    <definedName name="Excel_BuiltIn_Print_Area_1" localSheetId="7">#REF!</definedName>
    <definedName name="Excel_BuiltIn_Print_Area_1" localSheetId="0">#REF!</definedName>
    <definedName name="Excel_BuiltIn_Print_Area_1" localSheetId="19">#REF!</definedName>
    <definedName name="Excel_BuiltIn_Print_Area_1" localSheetId="21">#REF!</definedName>
    <definedName name="Excel_BuiltIn_Print_Area_1" localSheetId="23">#REF!</definedName>
    <definedName name="Excel_BuiltIn_Print_Area_1" localSheetId="10">#REF!</definedName>
    <definedName name="Excel_BuiltIn_Print_Area_1" localSheetId="18">#REF!</definedName>
    <definedName name="Excel_BuiltIn_Print_Area_1" localSheetId="20">#REF!</definedName>
    <definedName name="Excel_BuiltIn_Print_Area_1" localSheetId="22">#REF!</definedName>
    <definedName name="Excel_BuiltIn_Print_Area_1">#REF!</definedName>
    <definedName name="Fixproperty" localSheetId="6">[5]StateENG!#REF!</definedName>
    <definedName name="Fixproperty" localSheetId="2">'FS2'!#REF!</definedName>
    <definedName name="Fixproperty">FS!#REF!</definedName>
    <definedName name="GameGrowth1" localSheetId="12">#REF!</definedName>
    <definedName name="GameGrowth1" localSheetId="13">#REF!</definedName>
    <definedName name="GameGrowth1" localSheetId="11">#REF!</definedName>
    <definedName name="GameGrowth1" localSheetId="8">#REF!</definedName>
    <definedName name="GameGrowth1" localSheetId="7">#REF!</definedName>
    <definedName name="GameGrowth1" localSheetId="0">#REF!</definedName>
    <definedName name="GameGrowth1" localSheetId="19">#REF!</definedName>
    <definedName name="GameGrowth1" localSheetId="21">#REF!</definedName>
    <definedName name="GameGrowth1" localSheetId="23">#REF!</definedName>
    <definedName name="GameGrowth1" localSheetId="10">#REF!</definedName>
    <definedName name="GameGrowth1" localSheetId="18">#REF!</definedName>
    <definedName name="GameGrowth1" localSheetId="20">#REF!</definedName>
    <definedName name="GameGrowth1" localSheetId="22">#REF!</definedName>
    <definedName name="GameGrowth1">#REF!</definedName>
    <definedName name="GameGrowth2" localSheetId="12">#REF!</definedName>
    <definedName name="GameGrowth2" localSheetId="13">#REF!</definedName>
    <definedName name="GameGrowth2" localSheetId="11">#REF!</definedName>
    <definedName name="GameGrowth2" localSheetId="8">#REF!</definedName>
    <definedName name="GameGrowth2" localSheetId="7">#REF!</definedName>
    <definedName name="GameGrowth2" localSheetId="0">#REF!</definedName>
    <definedName name="GameGrowth2" localSheetId="19">#REF!</definedName>
    <definedName name="GameGrowth2" localSheetId="21">#REF!</definedName>
    <definedName name="GameGrowth2" localSheetId="23">#REF!</definedName>
    <definedName name="GameGrowth2" localSheetId="10">#REF!</definedName>
    <definedName name="GameGrowth2" localSheetId="18">#REF!</definedName>
    <definedName name="GameGrowth2" localSheetId="20">#REF!</definedName>
    <definedName name="GameGrowth2" localSheetId="22">#REF!</definedName>
    <definedName name="GameGrowth2">#REF!</definedName>
    <definedName name="GameGrowth3" localSheetId="12">#REF!</definedName>
    <definedName name="GameGrowth3" localSheetId="13">#REF!</definedName>
    <definedName name="GameGrowth3" localSheetId="11">#REF!</definedName>
    <definedName name="GameGrowth3" localSheetId="8">#REF!</definedName>
    <definedName name="GameGrowth3" localSheetId="7">#REF!</definedName>
    <definedName name="GameGrowth3" localSheetId="0">#REF!</definedName>
    <definedName name="GameGrowth3" localSheetId="19">#REF!</definedName>
    <definedName name="GameGrowth3" localSheetId="21">#REF!</definedName>
    <definedName name="GameGrowth3" localSheetId="23">#REF!</definedName>
    <definedName name="GameGrowth3" localSheetId="10">#REF!</definedName>
    <definedName name="GameGrowth3" localSheetId="18">#REF!</definedName>
    <definedName name="GameGrowth3" localSheetId="20">#REF!</definedName>
    <definedName name="GameGrowth3" localSheetId="22">#REF!</definedName>
    <definedName name="GameGrowth3">#REF!</definedName>
    <definedName name="GameGrowth4" localSheetId="12">#REF!</definedName>
    <definedName name="GameGrowth4" localSheetId="13">#REF!</definedName>
    <definedName name="GameGrowth4" localSheetId="11">#REF!</definedName>
    <definedName name="GameGrowth4" localSheetId="8">#REF!</definedName>
    <definedName name="GameGrowth4" localSheetId="7">#REF!</definedName>
    <definedName name="GameGrowth4" localSheetId="0">#REF!</definedName>
    <definedName name="GameGrowth4" localSheetId="19">#REF!</definedName>
    <definedName name="GameGrowth4" localSheetId="21">#REF!</definedName>
    <definedName name="GameGrowth4" localSheetId="23">#REF!</definedName>
    <definedName name="GameGrowth4" localSheetId="10">#REF!</definedName>
    <definedName name="GameGrowth4" localSheetId="18">#REF!</definedName>
    <definedName name="GameGrowth4" localSheetId="20">#REF!</definedName>
    <definedName name="GameGrowth4" localSheetId="22">#REF!</definedName>
    <definedName name="GameGrowth4">#REF!</definedName>
    <definedName name="GameLoan" localSheetId="12">#REF!</definedName>
    <definedName name="GameLoan" localSheetId="13">#REF!</definedName>
    <definedName name="GameLoan" localSheetId="11">#REF!</definedName>
    <definedName name="GameLoan" localSheetId="8">#REF!</definedName>
    <definedName name="GameLoan" localSheetId="7">#REF!</definedName>
    <definedName name="GameLoan" localSheetId="0">#REF!</definedName>
    <definedName name="GameLoan" localSheetId="19">#REF!</definedName>
    <definedName name="GameLoan" localSheetId="21">#REF!</definedName>
    <definedName name="GameLoan" localSheetId="23">#REF!</definedName>
    <definedName name="GameLoan" localSheetId="10">#REF!</definedName>
    <definedName name="GameLoan" localSheetId="18">#REF!</definedName>
    <definedName name="GameLoan" localSheetId="20">#REF!</definedName>
    <definedName name="GameLoan" localSheetId="22">#REF!</definedName>
    <definedName name="GameLoan">#REF!</definedName>
    <definedName name="Gamesurvey" localSheetId="12">#REF!</definedName>
    <definedName name="Gamesurvey" localSheetId="13">#REF!</definedName>
    <definedName name="Gamesurvey" localSheetId="11">#REF!</definedName>
    <definedName name="Gamesurvey" localSheetId="8">#REF!</definedName>
    <definedName name="Gamesurvey" localSheetId="7">#REF!</definedName>
    <definedName name="Gamesurvey" localSheetId="0">#REF!</definedName>
    <definedName name="Gamesurvey" localSheetId="19">#REF!</definedName>
    <definedName name="Gamesurvey" localSheetId="21">#REF!</definedName>
    <definedName name="Gamesurvey" localSheetId="23">#REF!</definedName>
    <definedName name="Gamesurvey" localSheetId="10">#REF!</definedName>
    <definedName name="Gamesurvey" localSheetId="18">#REF!</definedName>
    <definedName name="Gamesurvey" localSheetId="20">#REF!</definedName>
    <definedName name="Gamesurvey" localSheetId="22">#REF!</definedName>
    <definedName name="Gamesurvey">#REF!</definedName>
    <definedName name="HPLoan" localSheetId="12">#REF!</definedName>
    <definedName name="HPLoan" localSheetId="13">#REF!</definedName>
    <definedName name="HPLoan" localSheetId="11">#REF!</definedName>
    <definedName name="HPLoan" localSheetId="8">#REF!</definedName>
    <definedName name="HPLoan" localSheetId="7">#REF!</definedName>
    <definedName name="HPLoan" localSheetId="0">#REF!</definedName>
    <definedName name="HPLoan" localSheetId="19">#REF!</definedName>
    <definedName name="HPLoan" localSheetId="21">#REF!</definedName>
    <definedName name="HPLoan" localSheetId="23">#REF!</definedName>
    <definedName name="HPLoan" localSheetId="10">#REF!</definedName>
    <definedName name="HPLoan" localSheetId="18">#REF!</definedName>
    <definedName name="HPLoan" localSheetId="20">#REF!</definedName>
    <definedName name="HPLoan" localSheetId="22">#REF!</definedName>
    <definedName name="HPLoan">#REF!</definedName>
    <definedName name="JOURNALS" localSheetId="19">JournalsA!$D$13:$G$741</definedName>
    <definedName name="JOURNALS" localSheetId="21">JournalsB!$D$13:$G$741</definedName>
    <definedName name="JOURNALS" localSheetId="23">JournalsC!$D$13:$G$741</definedName>
    <definedName name="JOURNALS">Journals!$D$13:$G$741</definedName>
    <definedName name="Loan" localSheetId="12">#REF!</definedName>
    <definedName name="Loan" localSheetId="13">#REF!</definedName>
    <definedName name="Loan" localSheetId="11">#REF!</definedName>
    <definedName name="Loan" localSheetId="8">#REF!</definedName>
    <definedName name="Loan" localSheetId="7">#REF!</definedName>
    <definedName name="Loan" localSheetId="0">#REF!</definedName>
    <definedName name="Loan" localSheetId="19">#REF!</definedName>
    <definedName name="Loan" localSheetId="21">#REF!</definedName>
    <definedName name="Loan" localSheetId="23">#REF!</definedName>
    <definedName name="Loan" localSheetId="10">#REF!</definedName>
    <definedName name="Loan" localSheetId="18">#REF!</definedName>
    <definedName name="Loan" localSheetId="20">#REF!</definedName>
    <definedName name="Loan" localSheetId="22">#REF!</definedName>
    <definedName name="Loan">#REF!</definedName>
    <definedName name="LoanPrivate" localSheetId="12">#REF!</definedName>
    <definedName name="LoanPrivate" localSheetId="13">#REF!</definedName>
    <definedName name="LoanPrivate" localSheetId="11">#REF!</definedName>
    <definedName name="LoanPrivate" localSheetId="8">#REF!</definedName>
    <definedName name="LoanPrivate" localSheetId="7">#REF!</definedName>
    <definedName name="LoanPrivate" localSheetId="0">#REF!</definedName>
    <definedName name="LoanPrivate" localSheetId="19">#REF!</definedName>
    <definedName name="LoanPrivate" localSheetId="21">#REF!</definedName>
    <definedName name="LoanPrivate" localSheetId="23">#REF!</definedName>
    <definedName name="LoanPrivate" localSheetId="10">#REF!</definedName>
    <definedName name="LoanPrivate" localSheetId="18">#REF!</definedName>
    <definedName name="LoanPrivate" localSheetId="20">#REF!</definedName>
    <definedName name="LoanPrivate" localSheetId="22">#REF!</definedName>
    <definedName name="LoanPrivate">#REF!</definedName>
    <definedName name="_xlnm.Print_Area" localSheetId="11">Debtors!$B$2:$H$93</definedName>
    <definedName name="_xlnm.Print_Area" localSheetId="14">Expenses!$B$2:$H$18</definedName>
    <definedName name="_xlnm.Print_Area" localSheetId="17">FLease1!$B$2:$H$22</definedName>
    <definedName name="_xlnm.Print_Area" localSheetId="1">FS!$A$1:$Q$3472</definedName>
    <definedName name="_xlnm.Print_Area" localSheetId="2">'FS2'!$A$1:$Q$2947</definedName>
    <definedName name="_xlnm.Print_Area" localSheetId="5">Journals!$A$1:$I$486</definedName>
    <definedName name="_xlnm.Print_Area" localSheetId="19">JournalsA!$A$1:$I$486</definedName>
    <definedName name="_xlnm.Print_Area" localSheetId="21">JournalsB!$A$1:$I$486</definedName>
    <definedName name="_xlnm.Print_Area" localSheetId="23">JournalsC!$A$1:$I$486</definedName>
    <definedName name="_xlnm.Print_Area" localSheetId="16">'Loan 1'!$B$2:$H$22</definedName>
    <definedName name="_xlnm.Print_Area" localSheetId="9">'NC Receivables'!$B$2:$H$33</definedName>
    <definedName name="_xlnm.Print_Area" localSheetId="15">Open!$B$2:$H$18</definedName>
    <definedName name="_xlnm.Print_Area" localSheetId="10">Stock!$B$2:$H$18</definedName>
    <definedName name="Profit" localSheetId="18">TrialBalanceA!$B$4:$C$165</definedName>
    <definedName name="Profit" localSheetId="20">TrialBalanceB!$B$4:$C$165</definedName>
    <definedName name="Profit" localSheetId="22">TrialBalanceC!$B$4:$C$165</definedName>
    <definedName name="Profit">TrialBalance!$B$4:$C$165</definedName>
    <definedName name="ProfitLoss" localSheetId="6">[1]TrialBalance!$K$4:$K$144</definedName>
    <definedName name="ProfitLoss" localSheetId="0">[2]TrialBalance!$P$4:$P$155</definedName>
    <definedName name="ProfitLoss" localSheetId="18">TrialBalanceA!$M$4:$M$165</definedName>
    <definedName name="ProfitLoss" localSheetId="20">TrialBalanceB!$M$4:$M$165</definedName>
    <definedName name="ProfitLoss" localSheetId="22">TrialBalanceC!$M$4:$M$165</definedName>
    <definedName name="ProfitLoss">TrialBalance!$P$4:$P$165</definedName>
    <definedName name="ProfitLoss2" localSheetId="0">[2]TrialBalanceA!$M$5:$M$155</definedName>
    <definedName name="ProfitLoss2" localSheetId="20">TrialBalanceB!$M$5:$M$165</definedName>
    <definedName name="ProfitLoss2" localSheetId="22">TrialBalanceC!$M$5:$M$165</definedName>
    <definedName name="ProfitLoss2">TrialBalanceA!$M$5:$M$165</definedName>
    <definedName name="ProfitLoss3" localSheetId="0">[2]TrialBalanceB!$M$5:$M$155</definedName>
    <definedName name="ProfitLoss3" localSheetId="22">TrialBalanceC!$M$5:$M$165</definedName>
    <definedName name="ProfitLoss3">TrialBalanceB!$M$5:$M$165</definedName>
    <definedName name="ProfitLoss4" localSheetId="0">[2]TrialBalanceC!$M$5:$M$155</definedName>
    <definedName name="ProfitLoss4">TrialBalanceC!$M$5:$M$165</definedName>
    <definedName name="ProfitLossA" localSheetId="20">TrialBalanceB!$M$5:$M$401</definedName>
    <definedName name="ProfitLossA" localSheetId="22">TrialBalanceC!$M$5:$M$401</definedName>
    <definedName name="ProfitLossA">TrialBalanceA!$M$5:$M$401</definedName>
    <definedName name="ProfitLossB" localSheetId="22">TrialBalanceC!$M$5:$M$165</definedName>
    <definedName name="ProfitLossB">TrialBalanceB!$M$5:$M$165</definedName>
    <definedName name="sd" localSheetId="12">[4]TrialBalance!$K$147:$K$374</definedName>
    <definedName name="sd" localSheetId="13">[4]TrialBalance!$K$147:$K$374</definedName>
    <definedName name="sd" localSheetId="11">[4]TrialBalance!$K$147:$K$374</definedName>
    <definedName name="sd" localSheetId="14">[4]TrialBalance!$K$147:$K$374</definedName>
    <definedName name="sd" localSheetId="17">[4]TrialBalance!$K$147:$K$374</definedName>
    <definedName name="sd" localSheetId="8">[4]TrialBalance!$K$147:$K$374</definedName>
    <definedName name="sd" localSheetId="7">[4]TrialBalance!$K$147:$K$374</definedName>
    <definedName name="sd" localSheetId="16">[4]TrialBalance!$K$147:$K$374</definedName>
    <definedName name="sd" localSheetId="9">[4]TrialBalance!$K$147:$K$374</definedName>
    <definedName name="sd" localSheetId="15">[4]TrialBalance!$K$147:$K$374</definedName>
    <definedName name="sd" localSheetId="10">[4]TrialBalance!$K$147:$K$374</definedName>
    <definedName name="sd" localSheetId="18">TrialBalanceA!#REF!</definedName>
    <definedName name="sd" localSheetId="20">TrialBalanceB!#REF!</definedName>
    <definedName name="sd" localSheetId="22">TrialBalanceC!#REF!</definedName>
    <definedName name="sd">TrialBalance!$O$168:$O$401</definedName>
    <definedName name="STATE" localSheetId="2">'FS2'!$A$1:$Q$2452</definedName>
    <definedName name="STATE">FS!$A$1:$Q$2482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K2893" i="246"/>
  <c r="K2892" i="246"/>
  <c r="K2843" i="246"/>
  <c r="K2835" i="246"/>
  <c r="K2728" i="246"/>
  <c r="K2727" i="246"/>
  <c r="K2678" i="246"/>
  <c r="K2670" i="246"/>
  <c r="K2563" i="246"/>
  <c r="K2562" i="246"/>
  <c r="K2513" i="246"/>
  <c r="K2505" i="246"/>
  <c r="K2386" i="246"/>
  <c r="K2385" i="246"/>
  <c r="K2335" i="246"/>
  <c r="K2327" i="246"/>
  <c r="C2255" i="246"/>
  <c r="K3418" i="1"/>
  <c r="K3417" i="1"/>
  <c r="K3368" i="1"/>
  <c r="K3360" i="1"/>
  <c r="K3253" i="1"/>
  <c r="K3252" i="1"/>
  <c r="K3203" i="1"/>
  <c r="K3195" i="1"/>
  <c r="K3088" i="1"/>
  <c r="K3087" i="1"/>
  <c r="K3038" i="1"/>
  <c r="K3030" i="1"/>
  <c r="K2923" i="1"/>
  <c r="K2922" i="1"/>
  <c r="K2873" i="1"/>
  <c r="K2865" i="1"/>
  <c r="K2758" i="1"/>
  <c r="K2757" i="1"/>
  <c r="K2708" i="1"/>
  <c r="K2700" i="1"/>
  <c r="K2593" i="1"/>
  <c r="K2592" i="1"/>
  <c r="K2543" i="1"/>
  <c r="K2535" i="1"/>
  <c r="K2416" i="1"/>
  <c r="K2415" i="1"/>
  <c r="K2365" i="1"/>
  <c r="K2357" i="1"/>
  <c r="C2285" i="1"/>
  <c r="O962" i="246"/>
  <c r="R962" i="246" s="1"/>
  <c r="R963" i="246" s="1"/>
  <c r="O964" i="246"/>
  <c r="R964" i="246" s="1"/>
  <c r="R965" i="246" s="1"/>
  <c r="O966" i="246"/>
  <c r="R966" i="246"/>
  <c r="R967" i="246" s="1"/>
  <c r="O968" i="246"/>
  <c r="R968" i="246" s="1"/>
  <c r="R969" i="246" s="1"/>
  <c r="O970" i="246"/>
  <c r="R970" i="246" s="1"/>
  <c r="R971" i="246" s="1"/>
  <c r="D975" i="246"/>
  <c r="D976" i="246"/>
  <c r="D979" i="246"/>
  <c r="O982" i="246"/>
  <c r="M963" i="1"/>
  <c r="R963" i="1" s="1"/>
  <c r="R964" i="1" s="1"/>
  <c r="O963" i="1"/>
  <c r="M965" i="1"/>
  <c r="O965" i="1"/>
  <c r="M967" i="1"/>
  <c r="R967" i="1" s="1"/>
  <c r="R968" i="1" s="1"/>
  <c r="O967" i="1"/>
  <c r="M969" i="1"/>
  <c r="O969" i="1"/>
  <c r="M971" i="1"/>
  <c r="R971" i="1" s="1"/>
  <c r="R972" i="1" s="1"/>
  <c r="O971" i="1"/>
  <c r="D976" i="1"/>
  <c r="D977" i="1"/>
  <c r="D980" i="1"/>
  <c r="M983" i="1"/>
  <c r="M108" i="192"/>
  <c r="K108" i="192"/>
  <c r="O3251" i="1" s="1"/>
  <c r="M108" i="190"/>
  <c r="K108" i="190"/>
  <c r="O2921" i="1" s="1"/>
  <c r="M108" i="136"/>
  <c r="K108" i="136"/>
  <c r="O2591" i="1" s="1"/>
  <c r="P108" i="5"/>
  <c r="N108" i="5"/>
  <c r="O2414" i="1" s="1"/>
  <c r="R969" i="1" l="1"/>
  <c r="R970" i="1" s="1"/>
  <c r="R965" i="1"/>
  <c r="R966" i="1" s="1"/>
  <c r="R974" i="246"/>
  <c r="R975" i="1"/>
  <c r="M65" i="192"/>
  <c r="G65" i="192" s="1"/>
  <c r="I65" i="192" s="1"/>
  <c r="K65" i="192"/>
  <c r="O3205" i="1" s="1"/>
  <c r="M65" i="190"/>
  <c r="G65" i="190" s="1"/>
  <c r="I65" i="190" s="1"/>
  <c r="K65" i="190"/>
  <c r="O2875" i="1" s="1"/>
  <c r="M65" i="136"/>
  <c r="G65" i="136" s="1"/>
  <c r="I65" i="136" s="1"/>
  <c r="O2515" i="246" s="1"/>
  <c r="K65" i="136"/>
  <c r="O2545" i="1" s="1"/>
  <c r="P65" i="5"/>
  <c r="J65" i="5" s="1"/>
  <c r="L65" i="5" s="1"/>
  <c r="N65" i="5"/>
  <c r="D647" i="246"/>
  <c r="D644" i="246"/>
  <c r="R644" i="246" s="1"/>
  <c r="D643" i="246"/>
  <c r="R976" i="246" l="1"/>
  <c r="R979" i="246"/>
  <c r="R982" i="246"/>
  <c r="R972" i="246"/>
  <c r="R977" i="246"/>
  <c r="R980" i="246"/>
  <c r="R983" i="246"/>
  <c r="R973" i="246"/>
  <c r="R975" i="246"/>
  <c r="R978" i="246"/>
  <c r="R981" i="246"/>
  <c r="R974" i="1"/>
  <c r="R976" i="1"/>
  <c r="R979" i="1"/>
  <c r="R982" i="1"/>
  <c r="R984" i="1"/>
  <c r="R973" i="1"/>
  <c r="R977" i="1"/>
  <c r="R980" i="1"/>
  <c r="R978" i="1"/>
  <c r="R981" i="1"/>
  <c r="R983" i="1"/>
  <c r="O2337" i="246"/>
  <c r="R2337" i="246" s="1"/>
  <c r="O2367" i="1"/>
  <c r="O3370" i="1"/>
  <c r="O2845" i="246"/>
  <c r="M3205" i="1"/>
  <c r="O2680" i="246"/>
  <c r="M2875" i="1"/>
  <c r="O3040" i="1"/>
  <c r="M2545" i="1"/>
  <c r="O2710" i="1"/>
  <c r="M2367" i="1"/>
  <c r="D544" i="246"/>
  <c r="D544" i="1"/>
  <c r="C2275" i="1"/>
  <c r="C2276" i="1"/>
  <c r="D647" i="1"/>
  <c r="R2367" i="1" l="1"/>
  <c r="D644" i="1"/>
  <c r="R644" i="1" s="1"/>
  <c r="D643" i="1"/>
  <c r="D611" i="246"/>
  <c r="D612" i="1"/>
  <c r="D606" i="1"/>
  <c r="D607" i="1"/>
  <c r="D395" i="246"/>
  <c r="D396" i="246"/>
  <c r="D399" i="246"/>
  <c r="D404" i="246"/>
  <c r="R404" i="246" s="1"/>
  <c r="D405" i="246"/>
  <c r="R405" i="246" s="1"/>
  <c r="D406" i="246"/>
  <c r="R406" i="246" s="1"/>
  <c r="D378" i="246"/>
  <c r="D379" i="246"/>
  <c r="D382" i="246"/>
  <c r="D387" i="246"/>
  <c r="R387" i="246" s="1"/>
  <c r="D388" i="246"/>
  <c r="R388" i="246" s="1"/>
  <c r="D389" i="246"/>
  <c r="R389" i="246" s="1"/>
  <c r="D378" i="1"/>
  <c r="D379" i="1"/>
  <c r="D382" i="1"/>
  <c r="D387" i="1"/>
  <c r="R387" i="1" s="1"/>
  <c r="D388" i="1"/>
  <c r="R388" i="1" s="1"/>
  <c r="D389" i="1"/>
  <c r="R389" i="1" s="1"/>
  <c r="D395" i="1"/>
  <c r="D396" i="1"/>
  <c r="D399" i="1"/>
  <c r="D404" i="1"/>
  <c r="R404" i="1" s="1"/>
  <c r="R402" i="1" s="1"/>
  <c r="D405" i="1"/>
  <c r="R405" i="1" s="1"/>
  <c r="D406" i="1"/>
  <c r="R406" i="1" s="1"/>
  <c r="R403" i="246" l="1"/>
  <c r="R402" i="246"/>
  <c r="R386" i="246"/>
  <c r="R385" i="246"/>
  <c r="R394" i="1"/>
  <c r="R401" i="1"/>
  <c r="R386" i="1"/>
  <c r="R385" i="1"/>
  <c r="R403" i="1"/>
  <c r="D371" i="246"/>
  <c r="R371" i="246" s="1"/>
  <c r="D372" i="246"/>
  <c r="R372" i="246" s="1"/>
  <c r="D370" i="246"/>
  <c r="D371" i="1"/>
  <c r="R371" i="1" s="1"/>
  <c r="D372" i="1"/>
  <c r="R372" i="1" s="1"/>
  <c r="D370" i="1"/>
  <c r="D365" i="246"/>
  <c r="D362" i="246"/>
  <c r="R362" i="246" s="1"/>
  <c r="D361" i="246"/>
  <c r="D365" i="1"/>
  <c r="D362" i="1"/>
  <c r="R362" i="1" s="1"/>
  <c r="D361" i="1"/>
  <c r="D348" i="246"/>
  <c r="R348" i="246" s="1"/>
  <c r="D348" i="1"/>
  <c r="R348" i="1" s="1"/>
  <c r="D334" i="246"/>
  <c r="D335" i="246"/>
  <c r="D334" i="1"/>
  <c r="D335" i="1"/>
  <c r="D329" i="246"/>
  <c r="D330" i="246"/>
  <c r="D329" i="1"/>
  <c r="D330" i="1"/>
  <c r="D271" i="246"/>
  <c r="D272" i="246"/>
  <c r="D270" i="246"/>
  <c r="D268" i="246"/>
  <c r="R401" i="246" l="1"/>
  <c r="R394" i="246"/>
  <c r="R384" i="246"/>
  <c r="R377" i="246"/>
  <c r="R384" i="1"/>
  <c r="R377" i="1"/>
  <c r="R397" i="1"/>
  <c r="R399" i="1"/>
  <c r="R407" i="1"/>
  <c r="R409" i="1"/>
  <c r="R396" i="1"/>
  <c r="R395" i="1"/>
  <c r="R400" i="1"/>
  <c r="R408" i="1"/>
  <c r="R410" i="1"/>
  <c r="R398" i="1"/>
  <c r="D271" i="1"/>
  <c r="D272" i="1"/>
  <c r="D270" i="1"/>
  <c r="D268" i="1"/>
  <c r="R398" i="246" l="1"/>
  <c r="R409" i="246"/>
  <c r="R395" i="246"/>
  <c r="R400" i="246"/>
  <c r="R396" i="246"/>
  <c r="R410" i="246"/>
  <c r="R408" i="246"/>
  <c r="R397" i="246"/>
  <c r="R399" i="246"/>
  <c r="R407" i="246"/>
  <c r="R381" i="246"/>
  <c r="R392" i="246"/>
  <c r="R379" i="246"/>
  <c r="R393" i="246"/>
  <c r="R391" i="246"/>
  <c r="R380" i="246"/>
  <c r="R382" i="246"/>
  <c r="R390" i="246"/>
  <c r="R378" i="246"/>
  <c r="R383" i="246"/>
  <c r="R381" i="1"/>
  <c r="R392" i="1"/>
  <c r="R378" i="1"/>
  <c r="R383" i="1"/>
  <c r="R391" i="1"/>
  <c r="R379" i="1"/>
  <c r="R393" i="1"/>
  <c r="R380" i="1"/>
  <c r="R382" i="1"/>
  <c r="R390" i="1"/>
  <c r="O1996" i="246"/>
  <c r="D1993" i="246"/>
  <c r="D1990" i="246"/>
  <c r="D1989" i="246"/>
  <c r="M2025" i="1"/>
  <c r="D2022" i="1"/>
  <c r="D2019" i="1"/>
  <c r="D2018" i="1"/>
  <c r="D666" i="246"/>
  <c r="D663" i="246"/>
  <c r="R663" i="246" s="1"/>
  <c r="D662" i="246"/>
  <c r="D667" i="1"/>
  <c r="D664" i="1"/>
  <c r="R664" i="1" s="1"/>
  <c r="D663" i="1"/>
  <c r="O2224" i="246" l="1"/>
  <c r="R2224" i="246" s="1"/>
  <c r="C2214" i="246"/>
  <c r="R2214" i="246" s="1"/>
  <c r="C2213" i="246"/>
  <c r="R2213" i="246" s="1"/>
  <c r="C2212" i="246"/>
  <c r="R2212" i="246" s="1"/>
  <c r="C2211" i="246"/>
  <c r="R2211" i="246" s="1"/>
  <c r="R2215" i="246" s="1"/>
  <c r="O2253" i="1"/>
  <c r="C2243" i="1"/>
  <c r="R2243" i="1" s="1"/>
  <c r="C2242" i="1"/>
  <c r="R2242" i="1" s="1"/>
  <c r="C2241" i="1"/>
  <c r="R2241" i="1" s="1"/>
  <c r="C2240" i="1"/>
  <c r="R2240" i="1" s="1"/>
  <c r="R2244" i="1" s="1"/>
  <c r="C154" i="192" l="1"/>
  <c r="C154" i="190"/>
  <c r="C154" i="136"/>
  <c r="C154" i="5" l="1"/>
  <c r="D469" i="246"/>
  <c r="D469" i="1"/>
  <c r="R335" i="246"/>
  <c r="R335" i="1"/>
  <c r="D323" i="246" l="1"/>
  <c r="R323" i="246" s="1"/>
  <c r="D323" i="1"/>
  <c r="R323" i="1" s="1"/>
  <c r="M1254" i="1"/>
  <c r="Q2869" i="246"/>
  <c r="Q2704" i="246"/>
  <c r="Q2539" i="246"/>
  <c r="Q157" i="246"/>
  <c r="Q3394" i="1"/>
  <c r="Q3229" i="1"/>
  <c r="Q3064" i="1"/>
  <c r="Q2899" i="1"/>
  <c r="Q2734" i="1"/>
  <c r="Q2569" i="1"/>
  <c r="Q157" i="1"/>
  <c r="Q205" i="246" l="1"/>
  <c r="O71" i="246" s="1"/>
  <c r="Q205" i="1"/>
  <c r="O71" i="1" s="1"/>
  <c r="E88" i="246"/>
  <c r="E87" i="246"/>
  <c r="E86" i="246"/>
  <c r="E88" i="1"/>
  <c r="E87" i="1"/>
  <c r="E86" i="1"/>
  <c r="Q253" i="246" l="1"/>
  <c r="Q254" i="1"/>
  <c r="Q312" i="1" s="1"/>
  <c r="O1531" i="246"/>
  <c r="D1528" i="246"/>
  <c r="D1525" i="246"/>
  <c r="D1524" i="246"/>
  <c r="D1568" i="246"/>
  <c r="D1569" i="246"/>
  <c r="D1572" i="246"/>
  <c r="O1575" i="246"/>
  <c r="C1579" i="246"/>
  <c r="C1580" i="246"/>
  <c r="C1581" i="246"/>
  <c r="M1560" i="1"/>
  <c r="D1557" i="1"/>
  <c r="D1554" i="1"/>
  <c r="D1553" i="1"/>
  <c r="O1473" i="246"/>
  <c r="R1473" i="246" s="1"/>
  <c r="C1473" i="246"/>
  <c r="O1472" i="246"/>
  <c r="R1472" i="246" s="1"/>
  <c r="C1472" i="246"/>
  <c r="O1471" i="246"/>
  <c r="R1471" i="246" s="1"/>
  <c r="C1471" i="246"/>
  <c r="O1470" i="246"/>
  <c r="R1470" i="246" s="1"/>
  <c r="C1470" i="246"/>
  <c r="O1469" i="246"/>
  <c r="R1469" i="246" s="1"/>
  <c r="C1469" i="246"/>
  <c r="O1468" i="246"/>
  <c r="R1468" i="246" s="1"/>
  <c r="C1468" i="246"/>
  <c r="O1467" i="246"/>
  <c r="R1467" i="246" s="1"/>
  <c r="C1467" i="246"/>
  <c r="O1466" i="246"/>
  <c r="R1466" i="246" s="1"/>
  <c r="C1466" i="246"/>
  <c r="O1465" i="246"/>
  <c r="R1465" i="246" s="1"/>
  <c r="C1465" i="246"/>
  <c r="O1464" i="246"/>
  <c r="R1464" i="246" s="1"/>
  <c r="C1464" i="246"/>
  <c r="O1463" i="246"/>
  <c r="R1463" i="246" s="1"/>
  <c r="C1463" i="246"/>
  <c r="O1462" i="246"/>
  <c r="R1462" i="246" s="1"/>
  <c r="C1462" i="246"/>
  <c r="O1461" i="246"/>
  <c r="R1461" i="246" s="1"/>
  <c r="C1461" i="246"/>
  <c r="O1460" i="246"/>
  <c r="R1460" i="246" s="1"/>
  <c r="C1460" i="246"/>
  <c r="O1459" i="246"/>
  <c r="R1459" i="246" s="1"/>
  <c r="C1459" i="246"/>
  <c r="O1458" i="246"/>
  <c r="R1458" i="246" s="1"/>
  <c r="C1458" i="246"/>
  <c r="O1457" i="246"/>
  <c r="R1457" i="246" s="1"/>
  <c r="C1457" i="246"/>
  <c r="O1456" i="246"/>
  <c r="R1456" i="246" s="1"/>
  <c r="C1456" i="246"/>
  <c r="O1455" i="246"/>
  <c r="R1455" i="246" s="1"/>
  <c r="C1455" i="246"/>
  <c r="O1454" i="246"/>
  <c r="R1454" i="246" s="1"/>
  <c r="C1454" i="246"/>
  <c r="O1453" i="246"/>
  <c r="R1453" i="246" s="1"/>
  <c r="C1453" i="246"/>
  <c r="O1452" i="246"/>
  <c r="R1452" i="246" s="1"/>
  <c r="C1452" i="246"/>
  <c r="O1451" i="246"/>
  <c r="R1451" i="246" s="1"/>
  <c r="C1451" i="246"/>
  <c r="O1450" i="246"/>
  <c r="R1450" i="246" s="1"/>
  <c r="C1450" i="246"/>
  <c r="O1449" i="246"/>
  <c r="R1449" i="246" s="1"/>
  <c r="C1449" i="246"/>
  <c r="O1448" i="246"/>
  <c r="R1448" i="246" s="1"/>
  <c r="C1448" i="246"/>
  <c r="O1447" i="246"/>
  <c r="R1447" i="246" s="1"/>
  <c r="C1447" i="246"/>
  <c r="O1446" i="246"/>
  <c r="R1446" i="246" s="1"/>
  <c r="C1446" i="246"/>
  <c r="O1445" i="246"/>
  <c r="R1445" i="246" s="1"/>
  <c r="C1445" i="246"/>
  <c r="O1444" i="246"/>
  <c r="R1444" i="246" s="1"/>
  <c r="C1444" i="246"/>
  <c r="O1443" i="246"/>
  <c r="R1443" i="246" s="1"/>
  <c r="C1443" i="246"/>
  <c r="O1442" i="246"/>
  <c r="R1442" i="246" s="1"/>
  <c r="C1442" i="246"/>
  <c r="O1441" i="246"/>
  <c r="R1441" i="246" s="1"/>
  <c r="C1441" i="246"/>
  <c r="O1440" i="246"/>
  <c r="R1440" i="246" s="1"/>
  <c r="C1440" i="246"/>
  <c r="O1439" i="246"/>
  <c r="R1439" i="246" s="1"/>
  <c r="C1439" i="246"/>
  <c r="O1438" i="246"/>
  <c r="R1438" i="246" s="1"/>
  <c r="C1438" i="246"/>
  <c r="O1437" i="246"/>
  <c r="R1437" i="246" s="1"/>
  <c r="C1437" i="246"/>
  <c r="O1436" i="246"/>
  <c r="C1436" i="246"/>
  <c r="O1432" i="246"/>
  <c r="D1429" i="246"/>
  <c r="D1426" i="246"/>
  <c r="D1425" i="246"/>
  <c r="O1290" i="246"/>
  <c r="R1290" i="246" s="1"/>
  <c r="C1290" i="246"/>
  <c r="O1289" i="246"/>
  <c r="R1289" i="246" s="1"/>
  <c r="C1289" i="246"/>
  <c r="O1288" i="246"/>
  <c r="R1288" i="246" s="1"/>
  <c r="C1288" i="246"/>
  <c r="O1287" i="246"/>
  <c r="R1287" i="246" s="1"/>
  <c r="C1287" i="246"/>
  <c r="O1286" i="246"/>
  <c r="R1286" i="246" s="1"/>
  <c r="C1286" i="246"/>
  <c r="O1285" i="246"/>
  <c r="R1285" i="246" s="1"/>
  <c r="C1285" i="246"/>
  <c r="O1284" i="246"/>
  <c r="R1284" i="246" s="1"/>
  <c r="C1284" i="246"/>
  <c r="O1283" i="246"/>
  <c r="R1283" i="246" s="1"/>
  <c r="C1283" i="246"/>
  <c r="O1282" i="246"/>
  <c r="R1282" i="246" s="1"/>
  <c r="C1282" i="246"/>
  <c r="O1281" i="246"/>
  <c r="R1281" i="246" s="1"/>
  <c r="C1281" i="246"/>
  <c r="O1280" i="246"/>
  <c r="R1280" i="246" s="1"/>
  <c r="C1280" i="246"/>
  <c r="O1279" i="246"/>
  <c r="R1279" i="246" s="1"/>
  <c r="C1279" i="246"/>
  <c r="O1278" i="246"/>
  <c r="R1278" i="246" s="1"/>
  <c r="C1278" i="246"/>
  <c r="O1277" i="246"/>
  <c r="R1277" i="246" s="1"/>
  <c r="C1277" i="246"/>
  <c r="O1276" i="246"/>
  <c r="R1276" i="246" s="1"/>
  <c r="C1276" i="246"/>
  <c r="O1275" i="246"/>
  <c r="R1275" i="246" s="1"/>
  <c r="C1275" i="246"/>
  <c r="O1274" i="246"/>
  <c r="R1274" i="246" s="1"/>
  <c r="C1274" i="246"/>
  <c r="O1273" i="246"/>
  <c r="R1273" i="246" s="1"/>
  <c r="C1273" i="246"/>
  <c r="O1272" i="246"/>
  <c r="R1272" i="246" s="1"/>
  <c r="C1272" i="246"/>
  <c r="O1271" i="246"/>
  <c r="R1271" i="246" s="1"/>
  <c r="C1271" i="246"/>
  <c r="O1270" i="246"/>
  <c r="R1270" i="246" s="1"/>
  <c r="C1270" i="246"/>
  <c r="O1269" i="246"/>
  <c r="R1269" i="246" s="1"/>
  <c r="C1269" i="246"/>
  <c r="O1268" i="246"/>
  <c r="R1268" i="246" s="1"/>
  <c r="C1268" i="246"/>
  <c r="O1267" i="246"/>
  <c r="R1267" i="246" s="1"/>
  <c r="C1267" i="246"/>
  <c r="O1266" i="246"/>
  <c r="R1266" i="246" s="1"/>
  <c r="C1266" i="246"/>
  <c r="O1265" i="246"/>
  <c r="R1265" i="246" s="1"/>
  <c r="C1265" i="246"/>
  <c r="O1264" i="246"/>
  <c r="R1264" i="246" s="1"/>
  <c r="C1264" i="246"/>
  <c r="O1263" i="246"/>
  <c r="R1263" i="246" s="1"/>
  <c r="C1263" i="246"/>
  <c r="O1262" i="246"/>
  <c r="R1262" i="246" s="1"/>
  <c r="C1262" i="246"/>
  <c r="O1261" i="246"/>
  <c r="R1261" i="246" s="1"/>
  <c r="C1261" i="246"/>
  <c r="O1260" i="246"/>
  <c r="R1260" i="246" s="1"/>
  <c r="C1260" i="246"/>
  <c r="O1259" i="246"/>
  <c r="R1259" i="246" s="1"/>
  <c r="C1259" i="246"/>
  <c r="O1258" i="246"/>
  <c r="R1258" i="246" s="1"/>
  <c r="C1258" i="246"/>
  <c r="O1257" i="246"/>
  <c r="R1257" i="246" s="1"/>
  <c r="C1257" i="246"/>
  <c r="O1256" i="246"/>
  <c r="R1256" i="246" s="1"/>
  <c r="C1256" i="246"/>
  <c r="O1255" i="246"/>
  <c r="R1255" i="246" s="1"/>
  <c r="C1255" i="246"/>
  <c r="O1254" i="246"/>
  <c r="R1254" i="246" s="1"/>
  <c r="C1254" i="246"/>
  <c r="O1253" i="246"/>
  <c r="C1253" i="246"/>
  <c r="O1249" i="246"/>
  <c r="D1246" i="246"/>
  <c r="D1243" i="246"/>
  <c r="D1242" i="246"/>
  <c r="O1502" i="1"/>
  <c r="M1502" i="1"/>
  <c r="C1502" i="1"/>
  <c r="O1501" i="1"/>
  <c r="M1501" i="1"/>
  <c r="C1501" i="1"/>
  <c r="O1500" i="1"/>
  <c r="M1500" i="1"/>
  <c r="C1500" i="1"/>
  <c r="O1499" i="1"/>
  <c r="M1499" i="1"/>
  <c r="C1499" i="1"/>
  <c r="O1498" i="1"/>
  <c r="M1498" i="1"/>
  <c r="C1498" i="1"/>
  <c r="O1497" i="1"/>
  <c r="M1497" i="1"/>
  <c r="C1497" i="1"/>
  <c r="O1496" i="1"/>
  <c r="M1496" i="1"/>
  <c r="C1496" i="1"/>
  <c r="O1495" i="1"/>
  <c r="M1495" i="1"/>
  <c r="C1495" i="1"/>
  <c r="O1494" i="1"/>
  <c r="M1494" i="1"/>
  <c r="C1494" i="1"/>
  <c r="O1493" i="1"/>
  <c r="M1493" i="1"/>
  <c r="C1493" i="1"/>
  <c r="O1492" i="1"/>
  <c r="M1492" i="1"/>
  <c r="C1492" i="1"/>
  <c r="O1491" i="1"/>
  <c r="M1491" i="1"/>
  <c r="C1491" i="1"/>
  <c r="O1490" i="1"/>
  <c r="M1490" i="1"/>
  <c r="C1490" i="1"/>
  <c r="O1489" i="1"/>
  <c r="M1489" i="1"/>
  <c r="C1489" i="1"/>
  <c r="O1488" i="1"/>
  <c r="M1488" i="1"/>
  <c r="C1488" i="1"/>
  <c r="O1487" i="1"/>
  <c r="M1487" i="1"/>
  <c r="C1487" i="1"/>
  <c r="O1486" i="1"/>
  <c r="M1486" i="1"/>
  <c r="C1486" i="1"/>
  <c r="O1485" i="1"/>
  <c r="M1485" i="1"/>
  <c r="C1485" i="1"/>
  <c r="O1484" i="1"/>
  <c r="M1484" i="1"/>
  <c r="C1484" i="1"/>
  <c r="O1483" i="1"/>
  <c r="M1483" i="1"/>
  <c r="C1483" i="1"/>
  <c r="O1482" i="1"/>
  <c r="M1482" i="1"/>
  <c r="C1482" i="1"/>
  <c r="O1481" i="1"/>
  <c r="M1481" i="1"/>
  <c r="C1481" i="1"/>
  <c r="O1480" i="1"/>
  <c r="M1480" i="1"/>
  <c r="C1480" i="1"/>
  <c r="O1479" i="1"/>
  <c r="M1479" i="1"/>
  <c r="C1479" i="1"/>
  <c r="O1478" i="1"/>
  <c r="M1478" i="1"/>
  <c r="C1478" i="1"/>
  <c r="O1477" i="1"/>
  <c r="M1477" i="1"/>
  <c r="C1477" i="1"/>
  <c r="O1476" i="1"/>
  <c r="M1476" i="1"/>
  <c r="C1476" i="1"/>
  <c r="O1475" i="1"/>
  <c r="M1475" i="1"/>
  <c r="C1475" i="1"/>
  <c r="O1474" i="1"/>
  <c r="M1474" i="1"/>
  <c r="C1474" i="1"/>
  <c r="O1473" i="1"/>
  <c r="M1473" i="1"/>
  <c r="C1473" i="1"/>
  <c r="O1472" i="1"/>
  <c r="M1472" i="1"/>
  <c r="C1472" i="1"/>
  <c r="O1471" i="1"/>
  <c r="M1471" i="1"/>
  <c r="C1471" i="1"/>
  <c r="O1470" i="1"/>
  <c r="M1470" i="1"/>
  <c r="C1470" i="1"/>
  <c r="O1469" i="1"/>
  <c r="M1469" i="1"/>
  <c r="C1469" i="1"/>
  <c r="O1468" i="1"/>
  <c r="M1468" i="1"/>
  <c r="C1468" i="1"/>
  <c r="O1467" i="1"/>
  <c r="M1467" i="1"/>
  <c r="C1467" i="1"/>
  <c r="O1466" i="1"/>
  <c r="M1466" i="1"/>
  <c r="C1466" i="1"/>
  <c r="O1465" i="1"/>
  <c r="M1465" i="1"/>
  <c r="C1465" i="1"/>
  <c r="M1461" i="1"/>
  <c r="D1458" i="1"/>
  <c r="D1455" i="1"/>
  <c r="D1454" i="1"/>
  <c r="O1291" i="1"/>
  <c r="M1291" i="1"/>
  <c r="C1291" i="1"/>
  <c r="O1290" i="1"/>
  <c r="M1290" i="1"/>
  <c r="C1290" i="1"/>
  <c r="O1289" i="1"/>
  <c r="M1289" i="1"/>
  <c r="C1289" i="1"/>
  <c r="O1288" i="1"/>
  <c r="M1288" i="1"/>
  <c r="C1288" i="1"/>
  <c r="O1287" i="1"/>
  <c r="M1287" i="1"/>
  <c r="C1287" i="1"/>
  <c r="O1286" i="1"/>
  <c r="M1286" i="1"/>
  <c r="C1286" i="1"/>
  <c r="O1285" i="1"/>
  <c r="M1285" i="1"/>
  <c r="C1285" i="1"/>
  <c r="O1284" i="1"/>
  <c r="M1284" i="1"/>
  <c r="C1284" i="1"/>
  <c r="O1283" i="1"/>
  <c r="M1283" i="1"/>
  <c r="C1283" i="1"/>
  <c r="O1282" i="1"/>
  <c r="M1282" i="1"/>
  <c r="C1282" i="1"/>
  <c r="O1281" i="1"/>
  <c r="M1281" i="1"/>
  <c r="C1281" i="1"/>
  <c r="O1280" i="1"/>
  <c r="M1280" i="1"/>
  <c r="C1280" i="1"/>
  <c r="O1279" i="1"/>
  <c r="M1279" i="1"/>
  <c r="C1279" i="1"/>
  <c r="O1278" i="1"/>
  <c r="M1278" i="1"/>
  <c r="C1278" i="1"/>
  <c r="O1277" i="1"/>
  <c r="M1277" i="1"/>
  <c r="C1277" i="1"/>
  <c r="O1276" i="1"/>
  <c r="M1276" i="1"/>
  <c r="C1276" i="1"/>
  <c r="O1275" i="1"/>
  <c r="M1275" i="1"/>
  <c r="C1275" i="1"/>
  <c r="O1274" i="1"/>
  <c r="M1274" i="1"/>
  <c r="C1274" i="1"/>
  <c r="O1273" i="1"/>
  <c r="M1273" i="1"/>
  <c r="C1273" i="1"/>
  <c r="O1272" i="1"/>
  <c r="M1272" i="1"/>
  <c r="C1272" i="1"/>
  <c r="O1271" i="1"/>
  <c r="M1271" i="1"/>
  <c r="C1271" i="1"/>
  <c r="O1270" i="1"/>
  <c r="M1270" i="1"/>
  <c r="C1270" i="1"/>
  <c r="O1269" i="1"/>
  <c r="M1269" i="1"/>
  <c r="C1269" i="1"/>
  <c r="O1268" i="1"/>
  <c r="M1268" i="1"/>
  <c r="C1268" i="1"/>
  <c r="O1267" i="1"/>
  <c r="M1267" i="1"/>
  <c r="C1267" i="1"/>
  <c r="O1266" i="1"/>
  <c r="M1266" i="1"/>
  <c r="C1266" i="1"/>
  <c r="O1265" i="1"/>
  <c r="M1265" i="1"/>
  <c r="C1265" i="1"/>
  <c r="O1264" i="1"/>
  <c r="M1264" i="1"/>
  <c r="C1264" i="1"/>
  <c r="O1263" i="1"/>
  <c r="M1263" i="1"/>
  <c r="C1263" i="1"/>
  <c r="O1262" i="1"/>
  <c r="M1262" i="1"/>
  <c r="C1262" i="1"/>
  <c r="O1261" i="1"/>
  <c r="M1261" i="1"/>
  <c r="C1261" i="1"/>
  <c r="O1260" i="1"/>
  <c r="M1260" i="1"/>
  <c r="C1260" i="1"/>
  <c r="O1259" i="1"/>
  <c r="M1259" i="1"/>
  <c r="C1259" i="1"/>
  <c r="O1258" i="1"/>
  <c r="M1258" i="1"/>
  <c r="C1258" i="1"/>
  <c r="O1257" i="1"/>
  <c r="M1257" i="1"/>
  <c r="C1257" i="1"/>
  <c r="O1256" i="1"/>
  <c r="M1256" i="1"/>
  <c r="C1256" i="1"/>
  <c r="O1255" i="1"/>
  <c r="M1255" i="1"/>
  <c r="C1255" i="1"/>
  <c r="O1254" i="1"/>
  <c r="C1254" i="1"/>
  <c r="M1250" i="1"/>
  <c r="D1247" i="1"/>
  <c r="D1244" i="1"/>
  <c r="D1243" i="1"/>
  <c r="F123" i="4"/>
  <c r="G206" i="4"/>
  <c r="F206" i="4"/>
  <c r="G164" i="4"/>
  <c r="F164" i="4"/>
  <c r="O2153" i="246"/>
  <c r="D2150" i="246"/>
  <c r="D2147" i="246"/>
  <c r="D2146" i="246"/>
  <c r="M2182" i="1"/>
  <c r="D2179" i="1"/>
  <c r="D2176" i="1"/>
  <c r="D2175" i="1"/>
  <c r="D2042" i="246"/>
  <c r="D2043" i="246"/>
  <c r="D2046" i="246"/>
  <c r="O2049" i="246"/>
  <c r="D2069" i="246"/>
  <c r="D2070" i="246"/>
  <c r="D2073" i="246"/>
  <c r="Q312" i="246" l="1"/>
  <c r="Q360" i="1"/>
  <c r="Q377" i="1" s="1"/>
  <c r="R1467" i="1"/>
  <c r="R1465" i="1"/>
  <c r="R1254" i="1"/>
  <c r="R1256" i="1"/>
  <c r="R1466" i="1"/>
  <c r="R1255" i="1"/>
  <c r="O1476" i="246"/>
  <c r="R1476" i="246" s="1"/>
  <c r="R1436" i="246"/>
  <c r="R1470" i="1"/>
  <c r="R1474" i="1"/>
  <c r="R1478" i="1"/>
  <c r="R1482" i="1"/>
  <c r="R1486" i="1"/>
  <c r="R1490" i="1"/>
  <c r="R1494" i="1"/>
  <c r="R1498" i="1"/>
  <c r="R1502" i="1"/>
  <c r="R1471" i="1"/>
  <c r="R1475" i="1"/>
  <c r="R1479" i="1"/>
  <c r="R1483" i="1"/>
  <c r="R1487" i="1"/>
  <c r="R1491" i="1"/>
  <c r="R1495" i="1"/>
  <c r="R1499" i="1"/>
  <c r="R1468" i="1"/>
  <c r="R1472" i="1"/>
  <c r="R1476" i="1"/>
  <c r="R1480" i="1"/>
  <c r="R1484" i="1"/>
  <c r="R1488" i="1"/>
  <c r="R1492" i="1"/>
  <c r="R1496" i="1"/>
  <c r="R1500" i="1"/>
  <c r="R1469" i="1"/>
  <c r="R1473" i="1"/>
  <c r="R1477" i="1"/>
  <c r="R1481" i="1"/>
  <c r="R1485" i="1"/>
  <c r="R1489" i="1"/>
  <c r="R1493" i="1"/>
  <c r="R1497" i="1"/>
  <c r="R1501" i="1"/>
  <c r="O1505" i="1"/>
  <c r="M1505" i="1"/>
  <c r="O1293" i="246"/>
  <c r="R1253" i="246"/>
  <c r="R1259" i="1"/>
  <c r="R1263" i="1"/>
  <c r="R1267" i="1"/>
  <c r="R1271" i="1"/>
  <c r="R1275" i="1"/>
  <c r="R1279" i="1"/>
  <c r="R1283" i="1"/>
  <c r="R1287" i="1"/>
  <c r="R1291" i="1"/>
  <c r="R1257" i="1"/>
  <c r="R1261" i="1"/>
  <c r="R1265" i="1"/>
  <c r="R1269" i="1"/>
  <c r="R1273" i="1"/>
  <c r="R1277" i="1"/>
  <c r="R1282" i="1"/>
  <c r="R1286" i="1"/>
  <c r="R1290" i="1"/>
  <c r="R1281" i="1"/>
  <c r="R1258" i="1"/>
  <c r="R1262" i="1"/>
  <c r="R1266" i="1"/>
  <c r="R1270" i="1"/>
  <c r="R1274" i="1"/>
  <c r="R1278" i="1"/>
  <c r="R1285" i="1"/>
  <c r="R1289" i="1"/>
  <c r="O1294" i="1"/>
  <c r="R1260" i="1"/>
  <c r="R1264" i="1"/>
  <c r="R1268" i="1"/>
  <c r="R1272" i="1"/>
  <c r="R1276" i="1"/>
  <c r="R1280" i="1"/>
  <c r="R1284" i="1"/>
  <c r="R1288" i="1"/>
  <c r="M1294" i="1"/>
  <c r="D682" i="246"/>
  <c r="D679" i="246"/>
  <c r="R679" i="246" s="1"/>
  <c r="D678" i="246"/>
  <c r="Q360" i="246" l="1"/>
  <c r="Q377" i="246" s="1"/>
  <c r="Q394" i="246" s="1"/>
  <c r="Q394" i="1"/>
  <c r="R1505" i="1"/>
  <c r="R1460" i="1" s="1"/>
  <c r="R1435" i="246"/>
  <c r="R1431" i="246"/>
  <c r="R1427" i="246"/>
  <c r="R1480" i="246"/>
  <c r="R1475" i="246"/>
  <c r="R1428" i="246"/>
  <c r="R1434" i="246"/>
  <c r="R1430" i="246"/>
  <c r="R1425" i="246"/>
  <c r="R1479" i="246"/>
  <c r="R1474" i="246"/>
  <c r="R1426" i="246"/>
  <c r="R1481" i="246"/>
  <c r="R1433" i="246"/>
  <c r="R1429" i="246"/>
  <c r="R1424" i="246"/>
  <c r="R1478" i="246"/>
  <c r="R1432" i="246"/>
  <c r="R1477" i="246"/>
  <c r="R1293" i="246"/>
  <c r="R1294" i="1"/>
  <c r="D683" i="1"/>
  <c r="D680" i="1"/>
  <c r="R680" i="1" s="1"/>
  <c r="D679" i="1"/>
  <c r="R1464" i="1" l="1"/>
  <c r="R1508" i="1"/>
  <c r="R1457" i="1"/>
  <c r="R1455" i="1"/>
  <c r="R1504" i="1"/>
  <c r="R1459" i="1"/>
  <c r="R1453" i="1"/>
  <c r="R1506" i="1"/>
  <c r="R1462" i="1"/>
  <c r="R1456" i="1"/>
  <c r="R1461" i="1"/>
  <c r="R1458" i="1"/>
  <c r="R1454" i="1"/>
  <c r="R1509" i="1"/>
  <c r="R1510" i="1"/>
  <c r="R1507" i="1"/>
  <c r="R1503" i="1"/>
  <c r="R1463" i="1"/>
  <c r="R1243" i="246"/>
  <c r="R1249" i="246"/>
  <c r="R1245" i="246"/>
  <c r="R1298" i="246"/>
  <c r="R1294" i="246"/>
  <c r="R1250" i="246"/>
  <c r="R1252" i="246"/>
  <c r="R1248" i="246"/>
  <c r="R1244" i="246"/>
  <c r="R1297" i="246"/>
  <c r="R1292" i="246"/>
  <c r="R1246" i="246"/>
  <c r="R1295" i="246"/>
  <c r="R1251" i="246"/>
  <c r="R1247" i="246"/>
  <c r="R1242" i="246"/>
  <c r="R1296" i="246"/>
  <c r="R1291" i="246"/>
  <c r="R1241" i="246"/>
  <c r="R1244" i="1"/>
  <c r="R1250" i="1"/>
  <c r="R1246" i="1"/>
  <c r="R1299" i="1"/>
  <c r="R1295" i="1"/>
  <c r="R1251" i="1"/>
  <c r="R1253" i="1"/>
  <c r="R1249" i="1"/>
  <c r="R1245" i="1"/>
  <c r="R1298" i="1"/>
  <c r="R1247" i="1"/>
  <c r="R1242" i="1"/>
  <c r="R1296" i="1"/>
  <c r="R1252" i="1"/>
  <c r="R1248" i="1"/>
  <c r="R1243" i="1"/>
  <c r="R1297" i="1"/>
  <c r="R1293" i="1"/>
  <c r="R1292" i="1"/>
  <c r="D416" i="246" l="1"/>
  <c r="D416" i="1"/>
  <c r="M92" i="192" l="1"/>
  <c r="G92" i="192" s="1"/>
  <c r="I92" i="192" s="1"/>
  <c r="K92" i="192"/>
  <c r="M92" i="190"/>
  <c r="G92" i="190" s="1"/>
  <c r="I92" i="190" s="1"/>
  <c r="K92" i="190"/>
  <c r="M92" i="136"/>
  <c r="G92" i="136" s="1"/>
  <c r="I92" i="136" s="1"/>
  <c r="K92" i="136"/>
  <c r="P92" i="5"/>
  <c r="J92" i="5" s="1"/>
  <c r="L92" i="5" s="1"/>
  <c r="N92" i="5"/>
  <c r="C11" i="89"/>
  <c r="C10" i="89"/>
  <c r="O2226" i="246"/>
  <c r="R2226" i="246" s="1"/>
  <c r="O2225" i="246"/>
  <c r="R2225" i="246" s="1"/>
  <c r="O2207" i="246"/>
  <c r="D2204" i="246"/>
  <c r="D2201" i="246"/>
  <c r="D2200" i="246"/>
  <c r="O2189" i="246"/>
  <c r="R2189" i="246" s="1"/>
  <c r="O2188" i="246"/>
  <c r="R2188" i="246" s="1"/>
  <c r="O2187" i="246"/>
  <c r="O2181" i="246"/>
  <c r="D2178" i="246"/>
  <c r="D2175" i="246"/>
  <c r="D2174" i="246"/>
  <c r="M2255" i="1"/>
  <c r="M2254" i="1"/>
  <c r="M2253" i="1"/>
  <c r="R2253" i="1" s="1"/>
  <c r="O2255" i="1"/>
  <c r="O2254" i="1"/>
  <c r="M2236" i="1"/>
  <c r="D2233" i="1"/>
  <c r="D2230" i="1"/>
  <c r="D2229" i="1"/>
  <c r="M2218" i="1"/>
  <c r="M2217" i="1"/>
  <c r="M2216" i="1"/>
  <c r="O2218" i="1"/>
  <c r="O2217" i="1"/>
  <c r="O2216" i="1"/>
  <c r="M2210" i="1"/>
  <c r="D2207" i="1"/>
  <c r="D2204" i="1"/>
  <c r="D2203" i="1"/>
  <c r="F353" i="4"/>
  <c r="M162" i="192"/>
  <c r="G162" i="192" s="1"/>
  <c r="I162" i="192" s="1"/>
  <c r="H162" i="5" s="1"/>
  <c r="K162" i="192"/>
  <c r="M162" i="190"/>
  <c r="G162" i="190" s="1"/>
  <c r="I162" i="190" s="1"/>
  <c r="G162" i="5" s="1"/>
  <c r="K162" i="190"/>
  <c r="M162" i="136"/>
  <c r="G162" i="136" s="1"/>
  <c r="I162" i="136" s="1"/>
  <c r="F162" i="5" s="1"/>
  <c r="K162" i="136"/>
  <c r="P162" i="5"/>
  <c r="J162" i="5" s="1"/>
  <c r="N162" i="5"/>
  <c r="M224" i="192"/>
  <c r="G224" i="192" s="1"/>
  <c r="I224" i="192" s="1"/>
  <c r="H224" i="5" s="1"/>
  <c r="K224" i="192"/>
  <c r="M223" i="192"/>
  <c r="G223" i="192" s="1"/>
  <c r="I223" i="192" s="1"/>
  <c r="H223" i="5" s="1"/>
  <c r="K223" i="192"/>
  <c r="M224" i="190"/>
  <c r="G224" i="190" s="1"/>
  <c r="I224" i="190" s="1"/>
  <c r="G224" i="5" s="1"/>
  <c r="K224" i="190"/>
  <c r="M223" i="190"/>
  <c r="G223" i="190" s="1"/>
  <c r="I223" i="190" s="1"/>
  <c r="G223" i="5" s="1"/>
  <c r="K223" i="190"/>
  <c r="M224" i="136"/>
  <c r="G224" i="136" s="1"/>
  <c r="I224" i="136" s="1"/>
  <c r="F224" i="5" s="1"/>
  <c r="K224" i="136"/>
  <c r="M223" i="136"/>
  <c r="G223" i="136" s="1"/>
  <c r="I223" i="136" s="1"/>
  <c r="F223" i="5" s="1"/>
  <c r="K223" i="136"/>
  <c r="P224" i="5"/>
  <c r="J224" i="5" s="1"/>
  <c r="N224" i="5"/>
  <c r="O2040" i="1" s="1"/>
  <c r="U2040" i="1" s="1"/>
  <c r="P223" i="5"/>
  <c r="J223" i="5" s="1"/>
  <c r="N223" i="5"/>
  <c r="O2039" i="1" s="1"/>
  <c r="U2039" i="1" s="1"/>
  <c r="I11" i="89"/>
  <c r="K80" i="89"/>
  <c r="K79" i="89"/>
  <c r="K78" i="89"/>
  <c r="K77" i="89"/>
  <c r="K76" i="89"/>
  <c r="K75" i="89"/>
  <c r="K74" i="89"/>
  <c r="K73" i="89"/>
  <c r="K72" i="89"/>
  <c r="K71" i="89"/>
  <c r="K70" i="89"/>
  <c r="K69" i="89"/>
  <c r="K67" i="89"/>
  <c r="K66" i="89"/>
  <c r="K65" i="89"/>
  <c r="K64" i="89"/>
  <c r="K63" i="89"/>
  <c r="K62" i="89"/>
  <c r="K61" i="89"/>
  <c r="K60" i="89"/>
  <c r="K59" i="89"/>
  <c r="K58" i="89"/>
  <c r="K57" i="89"/>
  <c r="K68" i="89"/>
  <c r="K81" i="89" s="1"/>
  <c r="K11" i="89" s="1"/>
  <c r="J81" i="89"/>
  <c r="I81" i="89"/>
  <c r="O1377" i="246"/>
  <c r="D1374" i="246"/>
  <c r="D1371" i="246"/>
  <c r="D1370" i="246"/>
  <c r="M1406" i="1"/>
  <c r="D1403" i="1"/>
  <c r="D1400" i="1"/>
  <c r="D1399" i="1"/>
  <c r="M249" i="192"/>
  <c r="G249" i="192" s="1"/>
  <c r="I249" i="192" s="1"/>
  <c r="H249" i="5" s="1"/>
  <c r="K249" i="192"/>
  <c r="M249" i="190"/>
  <c r="G249" i="190" s="1"/>
  <c r="I249" i="190" s="1"/>
  <c r="G249" i="5" s="1"/>
  <c r="K249" i="190"/>
  <c r="M249" i="136"/>
  <c r="G249" i="136" s="1"/>
  <c r="I249" i="136" s="1"/>
  <c r="F249" i="5" s="1"/>
  <c r="K249" i="136"/>
  <c r="P249" i="5"/>
  <c r="J249" i="5" s="1"/>
  <c r="N249" i="5"/>
  <c r="O1427" i="1" s="1"/>
  <c r="U1427" i="1" s="1"/>
  <c r="M245" i="192"/>
  <c r="G245" i="192" s="1"/>
  <c r="I245" i="192" s="1"/>
  <c r="H245" i="5" s="1"/>
  <c r="K245" i="192"/>
  <c r="M234" i="192"/>
  <c r="G234" i="192" s="1"/>
  <c r="I234" i="192" s="1"/>
  <c r="H234" i="5" s="1"/>
  <c r="K234" i="192"/>
  <c r="M245" i="190"/>
  <c r="G245" i="190" s="1"/>
  <c r="I245" i="190" s="1"/>
  <c r="G245" i="5" s="1"/>
  <c r="K245" i="190"/>
  <c r="M234" i="190"/>
  <c r="G234" i="190" s="1"/>
  <c r="I234" i="190" s="1"/>
  <c r="G234" i="5" s="1"/>
  <c r="K234" i="190"/>
  <c r="M245" i="136"/>
  <c r="G245" i="136" s="1"/>
  <c r="I245" i="136" s="1"/>
  <c r="F245" i="5" s="1"/>
  <c r="K245" i="136"/>
  <c r="M234" i="136"/>
  <c r="G234" i="136" s="1"/>
  <c r="I234" i="136" s="1"/>
  <c r="F234" i="5" s="1"/>
  <c r="K234" i="136"/>
  <c r="P245" i="5"/>
  <c r="N245" i="5"/>
  <c r="O1433" i="1" s="1"/>
  <c r="U1433" i="1" s="1"/>
  <c r="P234" i="5"/>
  <c r="N234" i="5"/>
  <c r="O1207" i="1" s="1"/>
  <c r="U1207" i="1" s="1"/>
  <c r="O1194" i="246"/>
  <c r="M1195" i="1"/>
  <c r="O1079" i="1" l="1"/>
  <c r="O1078" i="246"/>
  <c r="R1078" i="246" s="1"/>
  <c r="M1079" i="1"/>
  <c r="O2036" i="1"/>
  <c r="R2254" i="1"/>
  <c r="R2255" i="1"/>
  <c r="L162" i="5"/>
  <c r="R2218" i="1"/>
  <c r="R2217" i="1"/>
  <c r="O2229" i="246"/>
  <c r="O2192" i="246"/>
  <c r="R2192" i="246" s="1"/>
  <c r="R2184" i="246" s="1"/>
  <c r="R2187" i="246"/>
  <c r="O2258" i="1"/>
  <c r="R2216" i="1"/>
  <c r="M2258" i="1"/>
  <c r="M2221" i="1"/>
  <c r="O2221" i="1"/>
  <c r="L224" i="5"/>
  <c r="L223" i="5"/>
  <c r="L249" i="5"/>
  <c r="M1427" i="1" s="1"/>
  <c r="D2932" i="246"/>
  <c r="D2767" i="246"/>
  <c r="D2602" i="246"/>
  <c r="D2425" i="246"/>
  <c r="D3457" i="1"/>
  <c r="D3292" i="1"/>
  <c r="D3127" i="1"/>
  <c r="D2962" i="1"/>
  <c r="D2797" i="1"/>
  <c r="D2632" i="1"/>
  <c r="D2455" i="1"/>
  <c r="D1110" i="246"/>
  <c r="R1079" i="1" l="1"/>
  <c r="O2010" i="246"/>
  <c r="M2039" i="1"/>
  <c r="O2011" i="246"/>
  <c r="M2040" i="1"/>
  <c r="R2229" i="246"/>
  <c r="R2258" i="1"/>
  <c r="R2221" i="1"/>
  <c r="R2175" i="246"/>
  <c r="R2182" i="246"/>
  <c r="R2178" i="246"/>
  <c r="R2173" i="246"/>
  <c r="R2195" i="246"/>
  <c r="R2179" i="246"/>
  <c r="R2186" i="246"/>
  <c r="R2181" i="246"/>
  <c r="R2177" i="246"/>
  <c r="R2198" i="246"/>
  <c r="R2194" i="246"/>
  <c r="R2183" i="246"/>
  <c r="R2196" i="246"/>
  <c r="R2185" i="246"/>
  <c r="R2180" i="246"/>
  <c r="R2176" i="246"/>
  <c r="R2197" i="246"/>
  <c r="R2193" i="246"/>
  <c r="R2174" i="246"/>
  <c r="R2190" i="246"/>
  <c r="R2191" i="246"/>
  <c r="R1427" i="1"/>
  <c r="S1427" i="1"/>
  <c r="O1398" i="246"/>
  <c r="D1111" i="1"/>
  <c r="D2823" i="246"/>
  <c r="D2658" i="246"/>
  <c r="D2493" i="246"/>
  <c r="D2315" i="246"/>
  <c r="D3348" i="1"/>
  <c r="D3183" i="1"/>
  <c r="D3018" i="1"/>
  <c r="D2853" i="1"/>
  <c r="D2688" i="1"/>
  <c r="D2523" i="1"/>
  <c r="D2345" i="1"/>
  <c r="C938" i="246"/>
  <c r="C932" i="246"/>
  <c r="C926" i="246"/>
  <c r="C920" i="246"/>
  <c r="C939" i="1"/>
  <c r="C933" i="1"/>
  <c r="C927" i="1"/>
  <c r="C921" i="1"/>
  <c r="S2040" i="1" l="1"/>
  <c r="R2040" i="1"/>
  <c r="R2011" i="246"/>
  <c r="S2011" i="246"/>
  <c r="R2039" i="1"/>
  <c r="S2039" i="1"/>
  <c r="R2010" i="246"/>
  <c r="S2010" i="246"/>
  <c r="O2007" i="246" s="1"/>
  <c r="R2007" i="246" s="1"/>
  <c r="R2204" i="1"/>
  <c r="R2213" i="1"/>
  <c r="R2228" i="246"/>
  <c r="R2231" i="246"/>
  <c r="R2230" i="246"/>
  <c r="R2223" i="246"/>
  <c r="R2221" i="246"/>
  <c r="R2227" i="246"/>
  <c r="R2222" i="246"/>
  <c r="R2257" i="1"/>
  <c r="R2260" i="1"/>
  <c r="R2259" i="1"/>
  <c r="R2252" i="1"/>
  <c r="R2256" i="1"/>
  <c r="R2250" i="1"/>
  <c r="R2251" i="1"/>
  <c r="R2226" i="1"/>
  <c r="R2209" i="1"/>
  <c r="R2215" i="1"/>
  <c r="R2212" i="1"/>
  <c r="R2202" i="1"/>
  <c r="R2225" i="1"/>
  <c r="R2223" i="1"/>
  <c r="R2222" i="1"/>
  <c r="R2214" i="1"/>
  <c r="R2227" i="1"/>
  <c r="R2208" i="1"/>
  <c r="R2207" i="1"/>
  <c r="R2206" i="1"/>
  <c r="R2219" i="1"/>
  <c r="R2211" i="1"/>
  <c r="R2220" i="1"/>
  <c r="R2205" i="1"/>
  <c r="R2203" i="1"/>
  <c r="R2210" i="1"/>
  <c r="R2224" i="1"/>
  <c r="R1398" i="246"/>
  <c r="S1398" i="246"/>
  <c r="M97" i="192"/>
  <c r="G97" i="192" s="1"/>
  <c r="I97" i="192" s="1"/>
  <c r="K97" i="192"/>
  <c r="O3292" i="1" s="1"/>
  <c r="M97" i="190"/>
  <c r="G97" i="190" s="1"/>
  <c r="I97" i="190" s="1"/>
  <c r="K97" i="190"/>
  <c r="O2962" i="1" s="1"/>
  <c r="M97" i="136"/>
  <c r="G97" i="136" s="1"/>
  <c r="I97" i="136" s="1"/>
  <c r="K97" i="136"/>
  <c r="O2632" i="1" s="1"/>
  <c r="P97" i="5"/>
  <c r="N97" i="5"/>
  <c r="M33" i="192"/>
  <c r="G33" i="192" s="1"/>
  <c r="I33" i="192" s="1"/>
  <c r="K33" i="192"/>
  <c r="M33" i="190"/>
  <c r="G33" i="190" s="1"/>
  <c r="I33" i="190" s="1"/>
  <c r="K33" i="190"/>
  <c r="M33" i="136"/>
  <c r="G33" i="136" s="1"/>
  <c r="I33" i="136" s="1"/>
  <c r="K33" i="136"/>
  <c r="P33" i="5"/>
  <c r="N33" i="5"/>
  <c r="M239" i="192"/>
  <c r="G239" i="192" s="1"/>
  <c r="I239" i="192" s="1"/>
  <c r="H239" i="5" s="1"/>
  <c r="K239" i="192"/>
  <c r="M239" i="190"/>
  <c r="G239" i="190" s="1"/>
  <c r="I239" i="190" s="1"/>
  <c r="G239" i="5" s="1"/>
  <c r="K239" i="190"/>
  <c r="M239" i="136"/>
  <c r="G239" i="136" s="1"/>
  <c r="I239" i="136" s="1"/>
  <c r="F239" i="5" s="1"/>
  <c r="K239" i="136"/>
  <c r="P239" i="5"/>
  <c r="N239" i="5"/>
  <c r="O1215" i="1" s="1"/>
  <c r="U1215" i="1" s="1"/>
  <c r="M244" i="192"/>
  <c r="G244" i="192" s="1"/>
  <c r="I244" i="192" s="1"/>
  <c r="H244" i="5" s="1"/>
  <c r="K244" i="192"/>
  <c r="M243" i="192"/>
  <c r="G243" i="192" s="1"/>
  <c r="I243" i="192" s="1"/>
  <c r="H243" i="5" s="1"/>
  <c r="K243" i="192"/>
  <c r="M242" i="192"/>
  <c r="G242" i="192" s="1"/>
  <c r="I242" i="192" s="1"/>
  <c r="H242" i="5" s="1"/>
  <c r="K242" i="192"/>
  <c r="M241" i="192"/>
  <c r="G241" i="192" s="1"/>
  <c r="K241" i="192"/>
  <c r="M240" i="192"/>
  <c r="G240" i="192" s="1"/>
  <c r="I240" i="192" s="1"/>
  <c r="K240" i="192"/>
  <c r="M244" i="190"/>
  <c r="G244" i="190" s="1"/>
  <c r="I244" i="190" s="1"/>
  <c r="G244" i="5" s="1"/>
  <c r="K244" i="190"/>
  <c r="M243" i="190"/>
  <c r="G243" i="190" s="1"/>
  <c r="I243" i="190" s="1"/>
  <c r="G243" i="5" s="1"/>
  <c r="K243" i="190"/>
  <c r="M242" i="190"/>
  <c r="G242" i="190" s="1"/>
  <c r="I242" i="190" s="1"/>
  <c r="G242" i="5" s="1"/>
  <c r="K242" i="190"/>
  <c r="M241" i="190"/>
  <c r="G241" i="190" s="1"/>
  <c r="K241" i="190"/>
  <c r="M240" i="190"/>
  <c r="G240" i="190" s="1"/>
  <c r="I240" i="190" s="1"/>
  <c r="K240" i="190"/>
  <c r="M244" i="136"/>
  <c r="G244" i="136" s="1"/>
  <c r="I244" i="136" s="1"/>
  <c r="F244" i="5" s="1"/>
  <c r="K244" i="136"/>
  <c r="M243" i="136"/>
  <c r="G243" i="136" s="1"/>
  <c r="I243" i="136" s="1"/>
  <c r="F243" i="5" s="1"/>
  <c r="K243" i="136"/>
  <c r="M242" i="136"/>
  <c r="G242" i="136" s="1"/>
  <c r="I242" i="136" s="1"/>
  <c r="F242" i="5" s="1"/>
  <c r="K242" i="136"/>
  <c r="M241" i="136"/>
  <c r="G241" i="136" s="1"/>
  <c r="K241" i="136"/>
  <c r="M240" i="136"/>
  <c r="G240" i="136" s="1"/>
  <c r="I240" i="136" s="1"/>
  <c r="K240" i="136"/>
  <c r="M2036" i="1" l="1"/>
  <c r="R2036" i="1" s="1"/>
  <c r="R2038" i="1" s="1"/>
  <c r="R2013" i="246"/>
  <c r="R2008" i="246"/>
  <c r="R2012" i="246"/>
  <c r="R2009" i="246"/>
  <c r="F241" i="192"/>
  <c r="F241" i="136"/>
  <c r="I241" i="136" s="1"/>
  <c r="F241" i="190"/>
  <c r="I241" i="190" s="1"/>
  <c r="O3183" i="1"/>
  <c r="O939" i="1"/>
  <c r="O938" i="246"/>
  <c r="R938" i="246" s="1"/>
  <c r="O2823" i="246"/>
  <c r="M3183" i="1"/>
  <c r="O3348" i="1"/>
  <c r="M939" i="1"/>
  <c r="O2932" i="246"/>
  <c r="M3292" i="1"/>
  <c r="O3457" i="1"/>
  <c r="O933" i="1"/>
  <c r="O2853" i="1"/>
  <c r="O3018" i="1"/>
  <c r="O932" i="246"/>
  <c r="R932" i="246" s="1"/>
  <c r="M933" i="1"/>
  <c r="O2658" i="246"/>
  <c r="M2853" i="1"/>
  <c r="O3127" i="1"/>
  <c r="M2962" i="1"/>
  <c r="O2767" i="246"/>
  <c r="O2602" i="246"/>
  <c r="O2797" i="1"/>
  <c r="M2632" i="1"/>
  <c r="O2523" i="1"/>
  <c r="O927" i="1"/>
  <c r="O926" i="246"/>
  <c r="R926" i="246" s="1"/>
  <c r="O2688" i="1"/>
  <c r="M927" i="1"/>
  <c r="O2493" i="246"/>
  <c r="M2523" i="1"/>
  <c r="O921" i="1"/>
  <c r="O2345" i="1"/>
  <c r="O2455" i="1"/>
  <c r="O1111" i="1"/>
  <c r="I241" i="192"/>
  <c r="P244" i="5"/>
  <c r="N244" i="5"/>
  <c r="O1421" i="1" s="1"/>
  <c r="U1421" i="1" s="1"/>
  <c r="P243" i="5"/>
  <c r="N243" i="5"/>
  <c r="O1426" i="1" s="1"/>
  <c r="U1426" i="1" s="1"/>
  <c r="O1423" i="1" s="1"/>
  <c r="P242" i="5"/>
  <c r="J242" i="5" s="1"/>
  <c r="L242" i="5" s="1"/>
  <c r="N242" i="5"/>
  <c r="O1417" i="1" s="1"/>
  <c r="U1417" i="1" s="1"/>
  <c r="P241" i="5"/>
  <c r="J241" i="5" s="1"/>
  <c r="N241" i="5"/>
  <c r="P240" i="5"/>
  <c r="J240" i="5" s="1"/>
  <c r="L240" i="5" s="1"/>
  <c r="N240" i="5"/>
  <c r="B868" i="246"/>
  <c r="B869" i="1"/>
  <c r="D2917" i="246"/>
  <c r="D2752" i="246"/>
  <c r="D2587" i="246"/>
  <c r="D2410" i="246"/>
  <c r="D3442" i="1"/>
  <c r="D3277" i="1"/>
  <c r="D3112" i="1"/>
  <c r="D2947" i="1"/>
  <c r="D2782" i="1"/>
  <c r="D2617" i="1"/>
  <c r="D2440" i="1"/>
  <c r="R2042" i="1" l="1"/>
  <c r="R2041" i="1"/>
  <c r="R2037" i="1"/>
  <c r="R933" i="1"/>
  <c r="R939" i="1"/>
  <c r="O1388" i="246"/>
  <c r="S1388" i="246" s="1"/>
  <c r="M1417" i="1"/>
  <c r="S1417" i="1" s="1"/>
  <c r="I241" i="5"/>
  <c r="L241" i="5" s="1"/>
  <c r="O1413" i="1"/>
  <c r="O1443" i="1"/>
  <c r="R927" i="1"/>
  <c r="B885" i="246"/>
  <c r="B886" i="1"/>
  <c r="D404" i="5"/>
  <c r="U1413" i="1" l="1"/>
  <c r="O1384" i="246"/>
  <c r="M1413" i="1"/>
  <c r="B913" i="246"/>
  <c r="B914" i="1"/>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289" i="192"/>
  <c r="G289" i="192" s="1"/>
  <c r="I289" i="192" s="1"/>
  <c r="H289" i="5" s="1"/>
  <c r="K289" i="192"/>
  <c r="M288" i="192"/>
  <c r="G288" i="192" s="1"/>
  <c r="K288" i="192"/>
  <c r="M287" i="192"/>
  <c r="G287" i="192" s="1"/>
  <c r="I287" i="192" s="1"/>
  <c r="K287" i="192"/>
  <c r="M286" i="192"/>
  <c r="G286" i="192" s="1"/>
  <c r="I286" i="192" s="1"/>
  <c r="H286" i="5" s="1"/>
  <c r="K286" i="192"/>
  <c r="M285" i="192"/>
  <c r="G285" i="192" s="1"/>
  <c r="K285" i="192"/>
  <c r="M284" i="192"/>
  <c r="G284" i="192" s="1"/>
  <c r="I284" i="192" s="1"/>
  <c r="K284" i="192"/>
  <c r="M141" i="192"/>
  <c r="G141" i="192" s="1"/>
  <c r="I141" i="192" s="1"/>
  <c r="K141" i="192"/>
  <c r="O3277" i="1" s="1"/>
  <c r="M301" i="190"/>
  <c r="G301" i="190" s="1"/>
  <c r="I301" i="190" s="1"/>
  <c r="G301" i="5" s="1"/>
  <c r="K301" i="190"/>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141" i="190"/>
  <c r="G141" i="190" s="1"/>
  <c r="I141" i="190" s="1"/>
  <c r="K141" i="190"/>
  <c r="O2947" i="1" s="1"/>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141" i="136"/>
  <c r="G141" i="136" s="1"/>
  <c r="I141" i="136" s="1"/>
  <c r="K141" i="136"/>
  <c r="O2617" i="1" s="1"/>
  <c r="S1384" i="246" l="1"/>
  <c r="V1413" i="1"/>
  <c r="S1413" i="1"/>
  <c r="F297" i="190"/>
  <c r="I297" i="190" s="1"/>
  <c r="B958" i="246"/>
  <c r="B958" i="1"/>
  <c r="F300" i="190"/>
  <c r="I300" i="190" s="1"/>
  <c r="F300" i="192"/>
  <c r="I300" i="192" s="1"/>
  <c r="F297" i="192"/>
  <c r="F285" i="192"/>
  <c r="I285" i="192" s="1"/>
  <c r="F288" i="192"/>
  <c r="I288" i="192" s="1"/>
  <c r="F291" i="192"/>
  <c r="I291" i="192" s="1"/>
  <c r="F294" i="192"/>
  <c r="I294" i="192" s="1"/>
  <c r="O3442" i="1"/>
  <c r="O2917" i="246"/>
  <c r="M3277" i="1"/>
  <c r="I297" i="192"/>
  <c r="F288" i="190"/>
  <c r="I288" i="190" s="1"/>
  <c r="F291" i="190"/>
  <c r="I291" i="190" s="1"/>
  <c r="F294" i="190"/>
  <c r="I294" i="190" s="1"/>
  <c r="F285" i="190"/>
  <c r="I285" i="190" s="1"/>
  <c r="O3112" i="1"/>
  <c r="M2947" i="1"/>
  <c r="O2752" i="246"/>
  <c r="F300" i="136"/>
  <c r="I300" i="136" s="1"/>
  <c r="F288" i="136"/>
  <c r="I288" i="136" s="1"/>
  <c r="F285" i="136"/>
  <c r="I285" i="136" s="1"/>
  <c r="F291" i="136"/>
  <c r="I291" i="136" s="1"/>
  <c r="F294" i="136"/>
  <c r="I294" i="136" s="1"/>
  <c r="F297" i="136"/>
  <c r="I297" i="136" s="1"/>
  <c r="M2617" i="1"/>
  <c r="O2587" i="246"/>
  <c r="O2782" i="1"/>
  <c r="P301" i="5"/>
  <c r="J301" i="5" s="1"/>
  <c r="L301" i="5" s="1"/>
  <c r="O1545" i="246" s="1"/>
  <c r="R1545" i="246" s="1"/>
  <c r="N301" i="5"/>
  <c r="O1574" i="1" s="1"/>
  <c r="P300" i="5"/>
  <c r="J300" i="5" s="1"/>
  <c r="N300" i="5"/>
  <c r="P299" i="5"/>
  <c r="J299" i="5" s="1"/>
  <c r="L299" i="5" s="1"/>
  <c r="N299" i="5"/>
  <c r="P298" i="5"/>
  <c r="N298" i="5"/>
  <c r="O1573" i="1" s="1"/>
  <c r="P297" i="5"/>
  <c r="J297" i="5" s="1"/>
  <c r="N297" i="5"/>
  <c r="P296" i="5"/>
  <c r="J296" i="5" s="1"/>
  <c r="L296" i="5" s="1"/>
  <c r="N296" i="5"/>
  <c r="P295" i="5"/>
  <c r="J295" i="5" s="1"/>
  <c r="L295" i="5" s="1"/>
  <c r="O1543" i="246" s="1"/>
  <c r="R1543" i="246" s="1"/>
  <c r="N295" i="5"/>
  <c r="O1572" i="1" s="1"/>
  <c r="P294" i="5"/>
  <c r="J294" i="5" s="1"/>
  <c r="N294" i="5"/>
  <c r="P293" i="5"/>
  <c r="J293" i="5" s="1"/>
  <c r="L293" i="5" s="1"/>
  <c r="N293" i="5"/>
  <c r="P292" i="5"/>
  <c r="N292" i="5"/>
  <c r="O1536" i="1" s="1"/>
  <c r="P291" i="5"/>
  <c r="J291" i="5" s="1"/>
  <c r="N291" i="5"/>
  <c r="P290" i="5"/>
  <c r="J290" i="5" s="1"/>
  <c r="L290" i="5" s="1"/>
  <c r="N290" i="5"/>
  <c r="P289" i="5"/>
  <c r="N289" i="5"/>
  <c r="O1535" i="1" s="1"/>
  <c r="P288" i="5"/>
  <c r="J288" i="5" s="1"/>
  <c r="N288" i="5"/>
  <c r="P287" i="5"/>
  <c r="J287" i="5" s="1"/>
  <c r="L287" i="5" s="1"/>
  <c r="N287" i="5"/>
  <c r="P286" i="5"/>
  <c r="J286" i="5" s="1"/>
  <c r="L286" i="5" s="1"/>
  <c r="N286" i="5"/>
  <c r="P285" i="5"/>
  <c r="J285" i="5" s="1"/>
  <c r="N285" i="5"/>
  <c r="P284" i="5"/>
  <c r="J284" i="5" s="1"/>
  <c r="L284" i="5" s="1"/>
  <c r="N284" i="5"/>
  <c r="P141" i="5"/>
  <c r="N141" i="5"/>
  <c r="O2440" i="1" l="1"/>
  <c r="B1071" i="246"/>
  <c r="B1131" i="246" s="1"/>
  <c r="B1072" i="1"/>
  <c r="O1583" i="1"/>
  <c r="U1583" i="1" s="1"/>
  <c r="O1569" i="1"/>
  <c r="U1569" i="1" s="1"/>
  <c r="O1581" i="1"/>
  <c r="U1581" i="1" s="1"/>
  <c r="O1567" i="1"/>
  <c r="U1567" i="1" s="1"/>
  <c r="I297" i="5"/>
  <c r="L297" i="5" s="1"/>
  <c r="O1582" i="1"/>
  <c r="U1582" i="1" s="1"/>
  <c r="O1568" i="1"/>
  <c r="U1568" i="1" s="1"/>
  <c r="O1530" i="1"/>
  <c r="U1530" i="1" s="1"/>
  <c r="O1544" i="1"/>
  <c r="U1544" i="1" s="1"/>
  <c r="O1545" i="1"/>
  <c r="U1545" i="1" s="1"/>
  <c r="O1531" i="1"/>
  <c r="U1531" i="1" s="1"/>
  <c r="I285" i="5"/>
  <c r="L285" i="5" s="1"/>
  <c r="O1534" i="1"/>
  <c r="O1529" i="1"/>
  <c r="U1529" i="1" s="1"/>
  <c r="O1589" i="1"/>
  <c r="O1543" i="1"/>
  <c r="U1543" i="1" s="1"/>
  <c r="O480" i="1"/>
  <c r="M1572" i="1"/>
  <c r="R1572" i="1" s="1"/>
  <c r="M1534" i="1"/>
  <c r="O1505" i="246"/>
  <c r="R1505" i="246" s="1"/>
  <c r="M1574" i="1"/>
  <c r="R1574" i="1" s="1"/>
  <c r="I288" i="5"/>
  <c r="L288" i="5" s="1"/>
  <c r="I300" i="5"/>
  <c r="L300" i="5" s="1"/>
  <c r="I291" i="5"/>
  <c r="L291" i="5" s="1"/>
  <c r="I294" i="5"/>
  <c r="L294" i="5" s="1"/>
  <c r="D1304" i="246"/>
  <c r="D1301" i="246"/>
  <c r="D1300" i="246"/>
  <c r="D1305" i="1"/>
  <c r="D1302" i="1"/>
  <c r="D1301" i="1"/>
  <c r="O956" i="246"/>
  <c r="D953" i="246"/>
  <c r="D950" i="246"/>
  <c r="R950" i="246" s="1"/>
  <c r="D949" i="246"/>
  <c r="O911" i="246"/>
  <c r="D908" i="246"/>
  <c r="D905" i="246"/>
  <c r="D904" i="246"/>
  <c r="M956" i="1"/>
  <c r="D953" i="1"/>
  <c r="D950" i="1"/>
  <c r="R950" i="1" s="1"/>
  <c r="D949" i="1"/>
  <c r="M912" i="1"/>
  <c r="D909" i="1"/>
  <c r="D906" i="1"/>
  <c r="D905" i="1"/>
  <c r="D865" i="246"/>
  <c r="D862" i="246"/>
  <c r="R862" i="246" s="1"/>
  <c r="D861" i="246"/>
  <c r="D844" i="246"/>
  <c r="D841" i="246"/>
  <c r="R841" i="246" s="1"/>
  <c r="D840" i="246"/>
  <c r="D824" i="246"/>
  <c r="D821" i="246"/>
  <c r="R821" i="246" s="1"/>
  <c r="D820" i="246"/>
  <c r="D808" i="246"/>
  <c r="D805" i="246"/>
  <c r="R805" i="246" s="1"/>
  <c r="D804" i="246"/>
  <c r="D785" i="246"/>
  <c r="D782" i="246"/>
  <c r="R782" i="246" s="1"/>
  <c r="D781" i="246"/>
  <c r="D766" i="246"/>
  <c r="D763" i="246"/>
  <c r="R763" i="246" s="1"/>
  <c r="D762" i="246"/>
  <c r="D747" i="246"/>
  <c r="D744" i="246"/>
  <c r="R744" i="246" s="1"/>
  <c r="D743" i="246"/>
  <c r="D729" i="246"/>
  <c r="D726" i="246"/>
  <c r="R726" i="246" s="1"/>
  <c r="D725" i="246"/>
  <c r="D703" i="246"/>
  <c r="D700" i="246"/>
  <c r="R700" i="246" s="1"/>
  <c r="D699" i="246"/>
  <c r="D866" i="1"/>
  <c r="D863" i="1"/>
  <c r="R863" i="1" s="1"/>
  <c r="D862" i="1"/>
  <c r="D845" i="1"/>
  <c r="D842" i="1"/>
  <c r="R842" i="1" s="1"/>
  <c r="D841" i="1"/>
  <c r="D825" i="1"/>
  <c r="D822" i="1"/>
  <c r="R822" i="1" s="1"/>
  <c r="D821" i="1"/>
  <c r="D809" i="1"/>
  <c r="D806" i="1"/>
  <c r="R806" i="1" s="1"/>
  <c r="D805" i="1"/>
  <c r="D786" i="1"/>
  <c r="D783" i="1"/>
  <c r="R783" i="1" s="1"/>
  <c r="D782" i="1"/>
  <c r="D767" i="1"/>
  <c r="D764" i="1"/>
  <c r="R764" i="1" s="1"/>
  <c r="D763" i="1"/>
  <c r="D748" i="1"/>
  <c r="D745" i="1"/>
  <c r="R745" i="1" s="1"/>
  <c r="D744" i="1"/>
  <c r="D730" i="1"/>
  <c r="D727" i="1"/>
  <c r="R727" i="1" s="1"/>
  <c r="D726" i="1"/>
  <c r="D704" i="1"/>
  <c r="D701" i="1"/>
  <c r="R701" i="1" s="1"/>
  <c r="D700" i="1"/>
  <c r="M233" i="192"/>
  <c r="K233" i="192"/>
  <c r="M233" i="190"/>
  <c r="K233" i="190"/>
  <c r="M233" i="136"/>
  <c r="K233" i="136"/>
  <c r="P233" i="5"/>
  <c r="N233" i="5"/>
  <c r="O1214" i="1" s="1"/>
  <c r="U1214" i="1" s="1"/>
  <c r="O1211" i="1" s="1"/>
  <c r="D775" i="246"/>
  <c r="D776" i="1"/>
  <c r="K709" i="246"/>
  <c r="J709" i="246"/>
  <c r="D709" i="246"/>
  <c r="K710" i="1"/>
  <c r="J710" i="1"/>
  <c r="D710" i="1"/>
  <c r="C608" i="246"/>
  <c r="C609" i="1"/>
  <c r="C1610" i="1"/>
  <c r="C1609" i="1"/>
  <c r="C1608" i="1"/>
  <c r="M1604" i="1"/>
  <c r="D1601" i="1"/>
  <c r="D1598" i="1"/>
  <c r="D1597" i="1"/>
  <c r="K306" i="192"/>
  <c r="F306" i="192" s="1"/>
  <c r="K305" i="192"/>
  <c r="F305" i="192" s="1"/>
  <c r="K304" i="192"/>
  <c r="F304" i="192" s="1"/>
  <c r="M303" i="192"/>
  <c r="G303" i="192" s="1"/>
  <c r="I303" i="192" s="1"/>
  <c r="K303" i="192"/>
  <c r="C306" i="192"/>
  <c r="M306" i="192" s="1"/>
  <c r="G306" i="192" s="1"/>
  <c r="C305" i="192"/>
  <c r="M305" i="192" s="1"/>
  <c r="G305" i="192" s="1"/>
  <c r="C304" i="192"/>
  <c r="M304" i="192" s="1"/>
  <c r="K306" i="190"/>
  <c r="F306" i="190" s="1"/>
  <c r="K305" i="190"/>
  <c r="K304" i="190"/>
  <c r="F304" i="190" s="1"/>
  <c r="M303" i="190"/>
  <c r="G303" i="190" s="1"/>
  <c r="I303" i="190" s="1"/>
  <c r="K303" i="190"/>
  <c r="F305" i="190"/>
  <c r="C306" i="190"/>
  <c r="M306" i="190" s="1"/>
  <c r="G306" i="190" s="1"/>
  <c r="C305" i="190"/>
  <c r="M305" i="190" s="1"/>
  <c r="G305" i="190" s="1"/>
  <c r="C304" i="190"/>
  <c r="M304" i="190" s="1"/>
  <c r="K306" i="136"/>
  <c r="F306" i="136" s="1"/>
  <c r="K305" i="136"/>
  <c r="F305" i="136" s="1"/>
  <c r="K304" i="136"/>
  <c r="F304" i="136" s="1"/>
  <c r="M303" i="136"/>
  <c r="G303" i="136" s="1"/>
  <c r="I303" i="136" s="1"/>
  <c r="K303" i="136"/>
  <c r="C306" i="136"/>
  <c r="M306" i="136" s="1"/>
  <c r="G306" i="136" s="1"/>
  <c r="C305" i="136"/>
  <c r="M305" i="136" s="1"/>
  <c r="G305" i="136" s="1"/>
  <c r="C304" i="136"/>
  <c r="M304" i="136" s="1"/>
  <c r="G304" i="136" s="1"/>
  <c r="P306" i="5"/>
  <c r="J306" i="5" s="1"/>
  <c r="N306" i="5"/>
  <c r="I306" i="5" s="1"/>
  <c r="P305" i="5"/>
  <c r="J305" i="5" s="1"/>
  <c r="N305" i="5"/>
  <c r="I305" i="5" s="1"/>
  <c r="P304" i="5"/>
  <c r="N304" i="5"/>
  <c r="I304" i="5" s="1"/>
  <c r="P303" i="5"/>
  <c r="J303" i="5" s="1"/>
  <c r="L303" i="5" s="1"/>
  <c r="N303" i="5"/>
  <c r="D1351" i="246"/>
  <c r="D1348" i="246"/>
  <c r="D1347" i="246"/>
  <c r="C115" i="5"/>
  <c r="O1540" i="246" l="1"/>
  <c r="O1554" i="246"/>
  <c r="O1539" i="246"/>
  <c r="S1539" i="246" s="1"/>
  <c r="O1552" i="246"/>
  <c r="S1552" i="246" s="1"/>
  <c r="O1538" i="246"/>
  <c r="S1538" i="246" s="1"/>
  <c r="C615" i="1"/>
  <c r="C629" i="1" s="1"/>
  <c r="R1534" i="1"/>
  <c r="B1196" i="246"/>
  <c r="B1132" i="1"/>
  <c r="O1577" i="1"/>
  <c r="M1543" i="1"/>
  <c r="S1543" i="1" s="1"/>
  <c r="O1514" i="246"/>
  <c r="S1514" i="246" s="1"/>
  <c r="O1500" i="246"/>
  <c r="S1500" i="246" s="1"/>
  <c r="M1529" i="1"/>
  <c r="S1529" i="1" s="1"/>
  <c r="O1526" i="1"/>
  <c r="X480" i="1"/>
  <c r="O1539" i="1"/>
  <c r="O1564" i="1"/>
  <c r="M1531" i="1"/>
  <c r="O1502" i="246"/>
  <c r="M1567" i="1"/>
  <c r="S1567" i="1" s="1"/>
  <c r="M1581" i="1"/>
  <c r="S1581" i="1" s="1"/>
  <c r="O1501" i="246"/>
  <c r="S1501" i="246" s="1"/>
  <c r="M1530" i="1"/>
  <c r="S1530" i="1" s="1"/>
  <c r="M1569" i="1"/>
  <c r="M1583" i="1"/>
  <c r="M1568" i="1"/>
  <c r="S1568" i="1" s="1"/>
  <c r="I306" i="190"/>
  <c r="G306" i="5" s="1"/>
  <c r="I305" i="192"/>
  <c r="H305" i="5" s="1"/>
  <c r="I306" i="192"/>
  <c r="H306" i="5" s="1"/>
  <c r="I305" i="190"/>
  <c r="G305" i="5" s="1"/>
  <c r="I305" i="136"/>
  <c r="F305" i="5" s="1"/>
  <c r="I306" i="136"/>
  <c r="F306" i="5" s="1"/>
  <c r="O1609" i="1"/>
  <c r="O1610" i="1"/>
  <c r="C614" i="246"/>
  <c r="O1608" i="1"/>
  <c r="O481" i="1"/>
  <c r="I304" i="136"/>
  <c r="F304" i="5" s="1"/>
  <c r="C893" i="246"/>
  <c r="C892" i="246"/>
  <c r="C891" i="246"/>
  <c r="C890" i="246"/>
  <c r="C889" i="246"/>
  <c r="C888" i="246"/>
  <c r="C887" i="246"/>
  <c r="O883" i="246"/>
  <c r="D1191" i="246"/>
  <c r="D1188" i="246"/>
  <c r="D1187" i="246"/>
  <c r="C894" i="1"/>
  <c r="C893" i="1"/>
  <c r="C892" i="1"/>
  <c r="C891" i="1"/>
  <c r="C890" i="1"/>
  <c r="C889" i="1"/>
  <c r="C888" i="1"/>
  <c r="M884" i="1"/>
  <c r="D1192" i="1"/>
  <c r="D1189" i="1"/>
  <c r="D1188" i="1"/>
  <c r="M9" i="192"/>
  <c r="G9" i="192" s="1"/>
  <c r="I9" i="192" s="1"/>
  <c r="K9" i="192"/>
  <c r="M8" i="192"/>
  <c r="G8" i="192" s="1"/>
  <c r="I8" i="192" s="1"/>
  <c r="K8" i="192"/>
  <c r="M7" i="192"/>
  <c r="G7" i="192" s="1"/>
  <c r="I7" i="192" s="1"/>
  <c r="K7" i="192"/>
  <c r="M6" i="192"/>
  <c r="K6" i="192"/>
  <c r="M9" i="190"/>
  <c r="G9" i="190" s="1"/>
  <c r="I9" i="190" s="1"/>
  <c r="K9" i="190"/>
  <c r="M8" i="190"/>
  <c r="G8" i="190" s="1"/>
  <c r="I8" i="190" s="1"/>
  <c r="K8" i="190"/>
  <c r="M7" i="190"/>
  <c r="G7" i="190" s="1"/>
  <c r="I7" i="190" s="1"/>
  <c r="K7" i="190"/>
  <c r="M6" i="190"/>
  <c r="K6" i="190"/>
  <c r="M9" i="136"/>
  <c r="G9" i="136" s="1"/>
  <c r="I9" i="136" s="1"/>
  <c r="K9" i="136"/>
  <c r="M8" i="136"/>
  <c r="G8" i="136" s="1"/>
  <c r="I8" i="136" s="1"/>
  <c r="K8" i="136"/>
  <c r="M7" i="136"/>
  <c r="G7" i="136" s="1"/>
  <c r="I7" i="136" s="1"/>
  <c r="K7" i="136"/>
  <c r="M6" i="136"/>
  <c r="K6" i="136"/>
  <c r="P9" i="5"/>
  <c r="J9" i="5" s="1"/>
  <c r="L9" i="5" s="1"/>
  <c r="N9" i="5"/>
  <c r="P8" i="5"/>
  <c r="J8" i="5" s="1"/>
  <c r="L8" i="5" s="1"/>
  <c r="N8" i="5"/>
  <c r="P7" i="5"/>
  <c r="J7" i="5" s="1"/>
  <c r="L7" i="5" s="1"/>
  <c r="N7" i="5"/>
  <c r="P6" i="5"/>
  <c r="N6" i="5"/>
  <c r="O889" i="1" s="1"/>
  <c r="R1554" i="246" l="1"/>
  <c r="S1554" i="246"/>
  <c r="R1540" i="246"/>
  <c r="S1540" i="246"/>
  <c r="O1535" i="246" s="1"/>
  <c r="C686" i="1"/>
  <c r="C733" i="1" s="1"/>
  <c r="X1577" i="1"/>
  <c r="X1539" i="1"/>
  <c r="B1307" i="246"/>
  <c r="B1379" i="246" s="1"/>
  <c r="K479" i="246" s="1"/>
  <c r="B1197" i="1"/>
  <c r="R1569" i="1"/>
  <c r="S1569" i="1"/>
  <c r="M1564" i="1" s="1"/>
  <c r="V1564" i="1" s="1"/>
  <c r="R1502" i="246"/>
  <c r="S1502" i="246"/>
  <c r="O1497" i="246" s="1"/>
  <c r="R1531" i="1"/>
  <c r="S1531" i="1"/>
  <c r="M1526" i="1" s="1"/>
  <c r="V1526" i="1" s="1"/>
  <c r="R1583" i="1"/>
  <c r="S1583" i="1"/>
  <c r="O1613" i="1"/>
  <c r="X481" i="1" s="1"/>
  <c r="L306" i="5"/>
  <c r="L305" i="5"/>
  <c r="O1580" i="246" s="1"/>
  <c r="R1580" i="246" s="1"/>
  <c r="O891" i="1"/>
  <c r="C628" i="246"/>
  <c r="C685" i="246" s="1"/>
  <c r="O890" i="1"/>
  <c r="O890" i="246"/>
  <c r="R890" i="246" s="1"/>
  <c r="O892" i="1"/>
  <c r="O889" i="246"/>
  <c r="R889" i="246" s="1"/>
  <c r="M892" i="1"/>
  <c r="M890" i="1"/>
  <c r="O891" i="246"/>
  <c r="R891" i="246" s="1"/>
  <c r="K421" i="246"/>
  <c r="K421" i="1"/>
  <c r="M891" i="1"/>
  <c r="M1610" i="1" l="1"/>
  <c r="R1610" i="1" s="1"/>
  <c r="O1581" i="246"/>
  <c r="R1581" i="246" s="1"/>
  <c r="B1492" i="246"/>
  <c r="B1577" i="246" s="1"/>
  <c r="B1308" i="1"/>
  <c r="M1609" i="1"/>
  <c r="R1609" i="1" s="1"/>
  <c r="C732" i="246"/>
  <c r="C751" i="1"/>
  <c r="C789" i="1" s="1"/>
  <c r="R891" i="1"/>
  <c r="R890" i="1"/>
  <c r="R892" i="1"/>
  <c r="B1408" i="1" l="1"/>
  <c r="B1602" i="246"/>
  <c r="B1634" i="246" s="1"/>
  <c r="B1665" i="246" s="1"/>
  <c r="B1724" i="246" s="1"/>
  <c r="B1750" i="246" s="1"/>
  <c r="B1782" i="246" s="1"/>
  <c r="B1810" i="246" s="1"/>
  <c r="D327" i="246" s="1"/>
  <c r="C750" i="246"/>
  <c r="C788" i="246" s="1"/>
  <c r="C811" i="246" s="1"/>
  <c r="C812" i="1"/>
  <c r="C828" i="1" s="1"/>
  <c r="R330" i="246"/>
  <c r="R330" i="1"/>
  <c r="R272" i="246"/>
  <c r="R272" i="1"/>
  <c r="C372" i="89"/>
  <c r="C277" i="89"/>
  <c r="C240" i="89"/>
  <c r="C202" i="89"/>
  <c r="C163" i="89"/>
  <c r="C116" i="89"/>
  <c r="C47" i="89"/>
  <c r="D2870" i="246"/>
  <c r="D2786" i="246"/>
  <c r="D2705" i="246"/>
  <c r="D2621" i="246"/>
  <c r="D2540" i="246"/>
  <c r="D2456" i="246"/>
  <c r="D3395" i="1"/>
  <c r="D3311" i="1"/>
  <c r="D3230" i="1"/>
  <c r="D3146" i="1"/>
  <c r="D3065" i="1"/>
  <c r="D2981" i="1"/>
  <c r="D2900" i="1"/>
  <c r="D2816" i="1"/>
  <c r="D2735" i="1"/>
  <c r="D2651" i="1"/>
  <c r="D2570" i="1"/>
  <c r="D2486" i="1"/>
  <c r="B1833" i="246" l="1"/>
  <c r="B1857" i="246" s="1"/>
  <c r="B1893" i="246" s="1"/>
  <c r="B1521" i="1"/>
  <c r="B1606" i="1" s="1"/>
  <c r="B1631" i="1" s="1"/>
  <c r="B1663" i="1" s="1"/>
  <c r="B1695" i="1" s="1"/>
  <c r="B1754" i="1" s="1"/>
  <c r="B1780" i="1" s="1"/>
  <c r="K479" i="1"/>
  <c r="C1310" i="1"/>
  <c r="C1376" i="1" s="1"/>
  <c r="K478" i="1"/>
  <c r="C827" i="246"/>
  <c r="B1933" i="246" l="1"/>
  <c r="B1972" i="246" s="1"/>
  <c r="B1812" i="1"/>
  <c r="B1840" i="1" s="1"/>
  <c r="D327" i="1" s="1"/>
  <c r="C1309" i="246"/>
  <c r="C1354" i="246" s="1"/>
  <c r="K478" i="246"/>
  <c r="C1522" i="1"/>
  <c r="C1524" i="1" s="1"/>
  <c r="C1562" i="1" s="1"/>
  <c r="D101" i="246"/>
  <c r="M99" i="246"/>
  <c r="D99" i="246"/>
  <c r="M98" i="246"/>
  <c r="M99" i="1"/>
  <c r="M98" i="1"/>
  <c r="D101" i="1"/>
  <c r="D99" i="1"/>
  <c r="D106" i="1"/>
  <c r="D107" i="1"/>
  <c r="R107" i="1" s="1"/>
  <c r="D106" i="246"/>
  <c r="D107" i="246"/>
  <c r="R107" i="246" s="1"/>
  <c r="B2051" i="246" l="1"/>
  <c r="B2078" i="246" s="1"/>
  <c r="B2105" i="246" s="1"/>
  <c r="B2129" i="246" s="1"/>
  <c r="B2155" i="246" s="1"/>
  <c r="B1863" i="1"/>
  <c r="B1887" i="1" s="1"/>
  <c r="B1923" i="1" s="1"/>
  <c r="C1493" i="246"/>
  <c r="K48" i="89"/>
  <c r="K47" i="89"/>
  <c r="K46" i="89"/>
  <c r="K45" i="89"/>
  <c r="K44" i="89"/>
  <c r="K43" i="89"/>
  <c r="K42" i="89"/>
  <c r="K41" i="89"/>
  <c r="K40" i="89"/>
  <c r="K39" i="89"/>
  <c r="K494" i="246" l="1"/>
  <c r="K529" i="246"/>
  <c r="B2183" i="246"/>
  <c r="B2209" i="246" s="1"/>
  <c r="B2244" i="246" s="1"/>
  <c r="B1963" i="1"/>
  <c r="B2002" i="1" s="1"/>
  <c r="B2080" i="1" s="1"/>
  <c r="B2107" i="1" s="1"/>
  <c r="B2134" i="1" s="1"/>
  <c r="B2158" i="1" s="1"/>
  <c r="B2184" i="1" s="1"/>
  <c r="C1495" i="246"/>
  <c r="C1533" i="246" s="1"/>
  <c r="C40" i="89"/>
  <c r="C74" i="89" s="1"/>
  <c r="C33" i="89"/>
  <c r="C66" i="89" s="1"/>
  <c r="C27" i="89"/>
  <c r="C58" i="89" s="1"/>
  <c r="C346" i="89"/>
  <c r="C315" i="89"/>
  <c r="C292" i="89"/>
  <c r="C270" i="89"/>
  <c r="C262" i="89"/>
  <c r="C253" i="89"/>
  <c r="C234" i="89"/>
  <c r="C227" i="89"/>
  <c r="C219" i="89"/>
  <c r="C192" i="89"/>
  <c r="C184" i="89"/>
  <c r="C175" i="89"/>
  <c r="C158" i="89"/>
  <c r="C151" i="89"/>
  <c r="C144" i="89"/>
  <c r="C108" i="89"/>
  <c r="C99" i="89"/>
  <c r="C91" i="89"/>
  <c r="K49" i="89"/>
  <c r="K38" i="89"/>
  <c r="K37" i="89"/>
  <c r="K36" i="89"/>
  <c r="K35" i="89"/>
  <c r="K34" i="89"/>
  <c r="K33" i="89"/>
  <c r="K32" i="89"/>
  <c r="K529" i="1" l="1"/>
  <c r="K494" i="1"/>
  <c r="B2212" i="1"/>
  <c r="B2238" i="1" s="1"/>
  <c r="B2273" i="1" s="1"/>
  <c r="C1697" i="246"/>
  <c r="C1696" i="246"/>
  <c r="C1695" i="246"/>
  <c r="C1694" i="246"/>
  <c r="C1693" i="246"/>
  <c r="C1692" i="246"/>
  <c r="C1678" i="246"/>
  <c r="C1677" i="246"/>
  <c r="C1676" i="246"/>
  <c r="C1675" i="246"/>
  <c r="C1674" i="246"/>
  <c r="C1673" i="246"/>
  <c r="C1727" i="1"/>
  <c r="C1726" i="1"/>
  <c r="C1725" i="1"/>
  <c r="C1724" i="1"/>
  <c r="C1723" i="1"/>
  <c r="C1722" i="1"/>
  <c r="C1708" i="1"/>
  <c r="C1707" i="1"/>
  <c r="C1706" i="1"/>
  <c r="C1705" i="1"/>
  <c r="C1704" i="1"/>
  <c r="C1703" i="1"/>
  <c r="P340" i="5"/>
  <c r="J340" i="5" s="1"/>
  <c r="N340" i="5"/>
  <c r="I340" i="5" s="1"/>
  <c r="P339" i="5"/>
  <c r="J339" i="5" s="1"/>
  <c r="N339" i="5"/>
  <c r="I339" i="5" s="1"/>
  <c r="P338" i="5"/>
  <c r="J338" i="5" s="1"/>
  <c r="N338" i="5"/>
  <c r="I338" i="5" s="1"/>
  <c r="P337" i="5"/>
  <c r="J337" i="5" s="1"/>
  <c r="N337" i="5"/>
  <c r="I337" i="5" s="1"/>
  <c r="P336" i="5"/>
  <c r="N336" i="5"/>
  <c r="I336" i="5" s="1"/>
  <c r="P335" i="5"/>
  <c r="N335" i="5"/>
  <c r="I335" i="5" s="1"/>
  <c r="P329" i="5"/>
  <c r="J329" i="5" s="1"/>
  <c r="N329" i="5"/>
  <c r="I329" i="5" s="1"/>
  <c r="P328" i="5"/>
  <c r="J328" i="5" s="1"/>
  <c r="N328" i="5"/>
  <c r="I328" i="5" s="1"/>
  <c r="P327" i="5"/>
  <c r="J327" i="5" s="1"/>
  <c r="N327" i="5"/>
  <c r="I327" i="5" s="1"/>
  <c r="P326" i="5"/>
  <c r="J326" i="5" s="1"/>
  <c r="N326" i="5"/>
  <c r="I326" i="5" s="1"/>
  <c r="P325" i="5"/>
  <c r="J325" i="5" s="1"/>
  <c r="N325" i="5"/>
  <c r="I325" i="5" s="1"/>
  <c r="P324" i="5"/>
  <c r="J324" i="5" s="1"/>
  <c r="N324" i="5"/>
  <c r="I324" i="5"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I340" i="192" l="1"/>
  <c r="H340" i="5" s="1"/>
  <c r="I336" i="192"/>
  <c r="H336" i="5" s="1"/>
  <c r="I324" i="192"/>
  <c r="H324" i="5" s="1"/>
  <c r="I326" i="192"/>
  <c r="H326" i="5" s="1"/>
  <c r="I328" i="192"/>
  <c r="H328" i="5" s="1"/>
  <c r="I324" i="190"/>
  <c r="G324" i="5" s="1"/>
  <c r="I326" i="190"/>
  <c r="G326" i="5" s="1"/>
  <c r="I328" i="190"/>
  <c r="G328" i="5" s="1"/>
  <c r="I335" i="136"/>
  <c r="F335" i="5" s="1"/>
  <c r="I337" i="136"/>
  <c r="F337" i="5" s="1"/>
  <c r="I339" i="136"/>
  <c r="F339" i="5" s="1"/>
  <c r="I335" i="192"/>
  <c r="H335" i="5" s="1"/>
  <c r="I325" i="136"/>
  <c r="F325" i="5" s="1"/>
  <c r="I339" i="192"/>
  <c r="H339" i="5" s="1"/>
  <c r="I327" i="136"/>
  <c r="F327" i="5" s="1"/>
  <c r="I337" i="190"/>
  <c r="G337" i="5" s="1"/>
  <c r="I337" i="192"/>
  <c r="H337" i="5" s="1"/>
  <c r="O1723" i="1"/>
  <c r="O1726" i="1"/>
  <c r="I329" i="136"/>
  <c r="F329" i="5" s="1"/>
  <c r="I336" i="136"/>
  <c r="F336" i="5" s="1"/>
  <c r="I338" i="136"/>
  <c r="F338" i="5" s="1"/>
  <c r="I340" i="136"/>
  <c r="F340" i="5" s="1"/>
  <c r="I325" i="192"/>
  <c r="H325" i="5" s="1"/>
  <c r="I327" i="192"/>
  <c r="H327" i="5" s="1"/>
  <c r="I329" i="192"/>
  <c r="H329" i="5" s="1"/>
  <c r="I326" i="136"/>
  <c r="F326" i="5" s="1"/>
  <c r="I324" i="136"/>
  <c r="F324" i="5" s="1"/>
  <c r="I328" i="136"/>
  <c r="F328" i="5" s="1"/>
  <c r="O1727" i="1"/>
  <c r="I325" i="190"/>
  <c r="G325" i="5" s="1"/>
  <c r="I327" i="190"/>
  <c r="G327" i="5" s="1"/>
  <c r="I329" i="190"/>
  <c r="G329" i="5" s="1"/>
  <c r="I339" i="190"/>
  <c r="G339" i="5" s="1"/>
  <c r="I335" i="190"/>
  <c r="G335" i="5" s="1"/>
  <c r="I336" i="190"/>
  <c r="G336" i="5" s="1"/>
  <c r="I340" i="190"/>
  <c r="G340" i="5" s="1"/>
  <c r="O1706" i="1"/>
  <c r="O1705" i="1"/>
  <c r="O1722" i="1"/>
  <c r="O1704" i="1"/>
  <c r="O1708" i="1"/>
  <c r="O1725" i="1"/>
  <c r="O1703" i="1"/>
  <c r="O1707" i="1"/>
  <c r="O1724" i="1"/>
  <c r="I338" i="192"/>
  <c r="H338" i="5" s="1"/>
  <c r="I338" i="190"/>
  <c r="G338" i="5" s="1"/>
  <c r="L328" i="5" l="1"/>
  <c r="O1677" i="246" s="1"/>
  <c r="R1677" i="246" s="1"/>
  <c r="L326" i="5"/>
  <c r="O1675" i="246" s="1"/>
  <c r="R1675" i="246" s="1"/>
  <c r="L324" i="5"/>
  <c r="O1673" i="246" s="1"/>
  <c r="R1673" i="246" s="1"/>
  <c r="L339" i="5"/>
  <c r="O1696" i="246" s="1"/>
  <c r="R1696" i="246" s="1"/>
  <c r="L337" i="5"/>
  <c r="O1694" i="246" s="1"/>
  <c r="R1694" i="246" s="1"/>
  <c r="L327" i="5"/>
  <c r="O1676" i="246" s="1"/>
  <c r="R1676" i="246" s="1"/>
  <c r="L325" i="5"/>
  <c r="M1704" i="1" s="1"/>
  <c r="R1704" i="1" s="1"/>
  <c r="L329" i="5"/>
  <c r="M1708" i="1" s="1"/>
  <c r="R1708" i="1" s="1"/>
  <c r="L338" i="5"/>
  <c r="M1725" i="1" s="1"/>
  <c r="R1725" i="1" s="1"/>
  <c r="L340" i="5"/>
  <c r="O1697" i="246" s="1"/>
  <c r="R1697" i="246" s="1"/>
  <c r="M1703" i="1" l="1"/>
  <c r="R1703" i="1" s="1"/>
  <c r="M1707" i="1"/>
  <c r="R1707" i="1" s="1"/>
  <c r="M1705" i="1"/>
  <c r="R1705" i="1" s="1"/>
  <c r="M1706" i="1"/>
  <c r="R1706" i="1" s="1"/>
  <c r="M1726" i="1"/>
  <c r="R1726" i="1" s="1"/>
  <c r="M1724" i="1"/>
  <c r="R1724" i="1" s="1"/>
  <c r="O1674" i="246"/>
  <c r="R1674" i="246" s="1"/>
  <c r="O1695" i="246"/>
  <c r="R1695" i="246" s="1"/>
  <c r="O1678" i="246"/>
  <c r="R1678" i="246" s="1"/>
  <c r="M1727" i="1"/>
  <c r="R1727" i="1" s="1"/>
  <c r="C30" i="229"/>
  <c r="C29" i="229"/>
  <c r="C28" i="229"/>
  <c r="C27" i="229"/>
  <c r="C26" i="229"/>
  <c r="C25" i="229"/>
  <c r="C24" i="229"/>
  <c r="C23" i="229"/>
  <c r="C22" i="229"/>
  <c r="C21" i="229"/>
  <c r="C20" i="229"/>
  <c r="C19" i="229"/>
  <c r="C18" i="229"/>
  <c r="C17" i="229"/>
  <c r="C16" i="229"/>
  <c r="C15" i="229"/>
  <c r="C14" i="229"/>
  <c r="C13" i="229"/>
  <c r="C12" i="229"/>
  <c r="C11" i="229"/>
  <c r="C10" i="229"/>
  <c r="C9" i="229"/>
  <c r="C8" i="229"/>
  <c r="D877" i="1" l="1"/>
  <c r="D878" i="1"/>
  <c r="R878" i="1" s="1"/>
  <c r="D881" i="1"/>
  <c r="H1311" i="1"/>
  <c r="J1311" i="1"/>
  <c r="K1311" i="1"/>
  <c r="M1311" i="1"/>
  <c r="H1312" i="1"/>
  <c r="J1312" i="1"/>
  <c r="K1312" i="1"/>
  <c r="M1312" i="1"/>
  <c r="F1356" i="1"/>
  <c r="D1369" i="1"/>
  <c r="D1370" i="1"/>
  <c r="D1373" i="1"/>
  <c r="H1378" i="1"/>
  <c r="J1378" i="1"/>
  <c r="K1378" i="1"/>
  <c r="M1378" i="1"/>
  <c r="H1379" i="1"/>
  <c r="J1379" i="1"/>
  <c r="K1379" i="1"/>
  <c r="M1379" i="1"/>
  <c r="H1383" i="1"/>
  <c r="J1383" i="1"/>
  <c r="K1383" i="1"/>
  <c r="M1383" i="1"/>
  <c r="H1384" i="1"/>
  <c r="J1384" i="1"/>
  <c r="K1384" i="1"/>
  <c r="M1384" i="1"/>
  <c r="F1387" i="1"/>
  <c r="H1390" i="1"/>
  <c r="J1390" i="1"/>
  <c r="K1390" i="1"/>
  <c r="M1390" i="1"/>
  <c r="H1391" i="1"/>
  <c r="J1391" i="1"/>
  <c r="K1391" i="1"/>
  <c r="M1391" i="1"/>
  <c r="D876" i="246"/>
  <c r="D877" i="246"/>
  <c r="R877" i="246" s="1"/>
  <c r="D880" i="246"/>
  <c r="H1310" i="246"/>
  <c r="J1310" i="246"/>
  <c r="K1310" i="246"/>
  <c r="M1310" i="246"/>
  <c r="H1311" i="246"/>
  <c r="J1311" i="246"/>
  <c r="K1311" i="246"/>
  <c r="M1311" i="246"/>
  <c r="F1334" i="246"/>
  <c r="H1356" i="246"/>
  <c r="J1356" i="246"/>
  <c r="K1356" i="246"/>
  <c r="M1356" i="246"/>
  <c r="H1357" i="246"/>
  <c r="J1357" i="246"/>
  <c r="K1357" i="246"/>
  <c r="M1357" i="246"/>
  <c r="F1358" i="246"/>
  <c r="H1361" i="246"/>
  <c r="J1361" i="246"/>
  <c r="K1361" i="246"/>
  <c r="M1361" i="246"/>
  <c r="H1362" i="246"/>
  <c r="J1362" i="246"/>
  <c r="K1362" i="246"/>
  <c r="M1362" i="246"/>
  <c r="H1380" i="1" l="1"/>
  <c r="H1358" i="246"/>
  <c r="M1358" i="246"/>
  <c r="K1358" i="246"/>
  <c r="M1380" i="1"/>
  <c r="M1387" i="1"/>
  <c r="O1362" i="246"/>
  <c r="O1361" i="246"/>
  <c r="K1387" i="1"/>
  <c r="O1391" i="1"/>
  <c r="K1380" i="1"/>
  <c r="O1384" i="1"/>
  <c r="O1390" i="1"/>
  <c r="J1380" i="1"/>
  <c r="H1387" i="1"/>
  <c r="O1383" i="1"/>
  <c r="J1387" i="1"/>
  <c r="J1358" i="246"/>
  <c r="O1380" i="1" l="1"/>
  <c r="O1358" i="246"/>
  <c r="O1387" i="1"/>
  <c r="O2272" i="246" l="1"/>
  <c r="M2272" i="246"/>
  <c r="O2271" i="246"/>
  <c r="M2271" i="246"/>
  <c r="O2270" i="246"/>
  <c r="M2270" i="246"/>
  <c r="O2269" i="246"/>
  <c r="M2269" i="246"/>
  <c r="O2268" i="246"/>
  <c r="M2268" i="246"/>
  <c r="O2267" i="246"/>
  <c r="M2267" i="246"/>
  <c r="O2266" i="246"/>
  <c r="M2266" i="246"/>
  <c r="M2265" i="246"/>
  <c r="C2272" i="246"/>
  <c r="C2271" i="246"/>
  <c r="C2270" i="246"/>
  <c r="C2269" i="246"/>
  <c r="C2268" i="246"/>
  <c r="C2267" i="246"/>
  <c r="C2266" i="246"/>
  <c r="C2265" i="246"/>
  <c r="C2253" i="246"/>
  <c r="R2253" i="246" s="1"/>
  <c r="C2252" i="246"/>
  <c r="R2252" i="246" s="1"/>
  <c r="C2251" i="246"/>
  <c r="R2251" i="246" s="1"/>
  <c r="C2250" i="246"/>
  <c r="R2250" i="246" s="1"/>
  <c r="C2249" i="246"/>
  <c r="R2249" i="246" s="1"/>
  <c r="D2241" i="246"/>
  <c r="D2237" i="246"/>
  <c r="D2238" i="246"/>
  <c r="R2238" i="246" s="1"/>
  <c r="R2276" i="1"/>
  <c r="M2302" i="1"/>
  <c r="M2301" i="1"/>
  <c r="M2300" i="1"/>
  <c r="M2299" i="1"/>
  <c r="M2298" i="1"/>
  <c r="M2297" i="1"/>
  <c r="M2296" i="1"/>
  <c r="M2295" i="1"/>
  <c r="O2302" i="1"/>
  <c r="O2301" i="1"/>
  <c r="O2300" i="1"/>
  <c r="O2299" i="1"/>
  <c r="O2298" i="1"/>
  <c r="O2297" i="1"/>
  <c r="O2296" i="1"/>
  <c r="C2302" i="1"/>
  <c r="C2301" i="1"/>
  <c r="C2300" i="1"/>
  <c r="C2299" i="1"/>
  <c r="C2298" i="1"/>
  <c r="C2297" i="1"/>
  <c r="C2296" i="1"/>
  <c r="C2295" i="1"/>
  <c r="C2294" i="1"/>
  <c r="C2263" i="246"/>
  <c r="C2283" i="1"/>
  <c r="R2283" i="1" s="1"/>
  <c r="C2282" i="1"/>
  <c r="R2282" i="1" s="1"/>
  <c r="C2281" i="1"/>
  <c r="R2281" i="1" s="1"/>
  <c r="C2280" i="1"/>
  <c r="R2280" i="1" s="1"/>
  <c r="C2279" i="1"/>
  <c r="R2279" i="1" s="1"/>
  <c r="R2297" i="1" l="1"/>
  <c r="R2301" i="1"/>
  <c r="C2264" i="246"/>
  <c r="C2293" i="1"/>
  <c r="R2267" i="246"/>
  <c r="R2269" i="246"/>
  <c r="R2271" i="246"/>
  <c r="R2266" i="246"/>
  <c r="R2268" i="246"/>
  <c r="R2270" i="246"/>
  <c r="R2272" i="246"/>
  <c r="R2299" i="1"/>
  <c r="R2296" i="1"/>
  <c r="R2300" i="1"/>
  <c r="R2298" i="1"/>
  <c r="R2302" i="1"/>
  <c r="D2270" i="1"/>
  <c r="D2267" i="1"/>
  <c r="R2267" i="1" s="1"/>
  <c r="D2266" i="1"/>
  <c r="J136" i="246" l="1"/>
  <c r="R136" i="246" s="1"/>
  <c r="J135" i="246"/>
  <c r="R135" i="246" s="1"/>
  <c r="J134" i="246"/>
  <c r="R134" i="246" s="1"/>
  <c r="J133" i="246"/>
  <c r="R133" i="246" s="1"/>
  <c r="R132" i="246" s="1"/>
  <c r="J136" i="1"/>
  <c r="R136" i="1" s="1"/>
  <c r="J135" i="1"/>
  <c r="R135" i="1" s="1"/>
  <c r="J134" i="1"/>
  <c r="R134" i="1" s="1"/>
  <c r="J133" i="1"/>
  <c r="R133" i="1" s="1"/>
  <c r="J138" i="1"/>
  <c r="R138" i="1" s="1"/>
  <c r="J139" i="1"/>
  <c r="R139" i="1" s="1"/>
  <c r="R132" i="1" l="1"/>
  <c r="F1380" i="1" l="1"/>
  <c r="F1312" i="246"/>
  <c r="F1334" i="1"/>
  <c r="C265" i="4"/>
  <c r="C262" i="4"/>
  <c r="C259" i="4"/>
  <c r="C256" i="4"/>
  <c r="C253" i="4"/>
  <c r="C250" i="4"/>
  <c r="C247" i="4"/>
  <c r="C1768" i="246" l="1"/>
  <c r="R1768" i="246" s="1"/>
  <c r="C1798" i="1"/>
  <c r="R1798" i="1" s="1"/>
  <c r="D712" i="246" l="1"/>
  <c r="D714" i="1"/>
  <c r="D713" i="1"/>
  <c r="K713" i="246"/>
  <c r="J713" i="246"/>
  <c r="D713" i="246"/>
  <c r="K712" i="246"/>
  <c r="J712" i="246"/>
  <c r="K711" i="246"/>
  <c r="J711" i="246"/>
  <c r="D711" i="246"/>
  <c r="K710" i="246"/>
  <c r="J710" i="246"/>
  <c r="D710" i="246"/>
  <c r="D313" i="1" l="1"/>
  <c r="D305" i="246" l="1"/>
  <c r="D304" i="1"/>
  <c r="R304" i="1" s="1"/>
  <c r="C28" i="5" l="1"/>
  <c r="O1617" i="246" l="1"/>
  <c r="R1617" i="246" s="1"/>
  <c r="O1649" i="246"/>
  <c r="R1649" i="246" s="1"/>
  <c r="M1678" i="1"/>
  <c r="O1678" i="1"/>
  <c r="M1646" i="1"/>
  <c r="O1646" i="1"/>
  <c r="R1650" i="246" l="1"/>
  <c r="R1651" i="246" s="1"/>
  <c r="R1648" i="246"/>
  <c r="R1647" i="246" s="1"/>
  <c r="R1618" i="246"/>
  <c r="R1619" i="246" s="1"/>
  <c r="R1616" i="246"/>
  <c r="R1615" i="246" s="1"/>
  <c r="R1678" i="1"/>
  <c r="R1679" i="1" s="1"/>
  <c r="R1680" i="1" s="1"/>
  <c r="R1646" i="1"/>
  <c r="R1645" i="1" s="1"/>
  <c r="R1644" i="1" s="1"/>
  <c r="R1677" i="1" l="1"/>
  <c r="R1676" i="1" s="1"/>
  <c r="R1647" i="1"/>
  <c r="R1648" i="1" s="1"/>
  <c r="C1690" i="246" l="1"/>
  <c r="C1682" i="246"/>
  <c r="C1672" i="246"/>
  <c r="C1671" i="246"/>
  <c r="C1720" i="1"/>
  <c r="C1712" i="1"/>
  <c r="C1702" i="1"/>
  <c r="C1701" i="1"/>
  <c r="K345" i="192"/>
  <c r="F345" i="192" s="1"/>
  <c r="C346" i="192"/>
  <c r="C345" i="192"/>
  <c r="M345" i="192" s="1"/>
  <c r="G345" i="192" s="1"/>
  <c r="K333" i="192"/>
  <c r="F333" i="192" s="1"/>
  <c r="C333" i="192"/>
  <c r="M333" i="192" s="1"/>
  <c r="G333" i="192" s="1"/>
  <c r="K323" i="192"/>
  <c r="F323" i="192" s="1"/>
  <c r="K322" i="192"/>
  <c r="F322" i="192" s="1"/>
  <c r="C323" i="192"/>
  <c r="M323" i="192" s="1"/>
  <c r="G323" i="192" s="1"/>
  <c r="C322" i="192"/>
  <c r="M322" i="192" s="1"/>
  <c r="G322" i="192" s="1"/>
  <c r="K345" i="190"/>
  <c r="F345" i="190" s="1"/>
  <c r="C346" i="190"/>
  <c r="C345" i="190"/>
  <c r="M345" i="190" s="1"/>
  <c r="G345" i="190" s="1"/>
  <c r="K333" i="190"/>
  <c r="F333" i="190" s="1"/>
  <c r="C333" i="190"/>
  <c r="M333" i="190" s="1"/>
  <c r="G333" i="190" s="1"/>
  <c r="K323" i="190"/>
  <c r="F323" i="190" s="1"/>
  <c r="K322" i="190"/>
  <c r="F322" i="190" s="1"/>
  <c r="C323" i="190"/>
  <c r="M323" i="190" s="1"/>
  <c r="G323" i="190" s="1"/>
  <c r="C322" i="190"/>
  <c r="M322" i="190" s="1"/>
  <c r="G322" i="190" s="1"/>
  <c r="K345" i="136"/>
  <c r="F345" i="136" s="1"/>
  <c r="C346" i="136"/>
  <c r="C345" i="136"/>
  <c r="M345" i="136" s="1"/>
  <c r="G345" i="136" s="1"/>
  <c r="K333" i="136"/>
  <c r="F333" i="136" s="1"/>
  <c r="C333" i="136"/>
  <c r="M333" i="136" s="1"/>
  <c r="G333" i="136" s="1"/>
  <c r="K323" i="136"/>
  <c r="F323" i="136" s="1"/>
  <c r="K322" i="136"/>
  <c r="F322" i="136" s="1"/>
  <c r="C323" i="136"/>
  <c r="M323" i="136" s="1"/>
  <c r="G323" i="136" s="1"/>
  <c r="C322" i="136"/>
  <c r="M322" i="136" s="1"/>
  <c r="G322" i="136" s="1"/>
  <c r="P346" i="5"/>
  <c r="J346" i="5" s="1"/>
  <c r="N346" i="5"/>
  <c r="P333" i="5"/>
  <c r="N333" i="5"/>
  <c r="P323" i="5"/>
  <c r="J323" i="5" s="1"/>
  <c r="N323" i="5"/>
  <c r="P322" i="5"/>
  <c r="J322" i="5" s="1"/>
  <c r="N322" i="5"/>
  <c r="I322" i="5" l="1"/>
  <c r="H11" i="229"/>
  <c r="I333" i="5"/>
  <c r="H16" i="229"/>
  <c r="I323" i="5"/>
  <c r="H12" i="229"/>
  <c r="I346" i="5"/>
  <c r="H23" i="229"/>
  <c r="I322" i="136"/>
  <c r="F322" i="5" s="1"/>
  <c r="I345" i="136"/>
  <c r="F345" i="5" s="1"/>
  <c r="I333" i="136"/>
  <c r="F333" i="5" s="1"/>
  <c r="I323" i="192"/>
  <c r="H323" i="5" s="1"/>
  <c r="I333" i="192"/>
  <c r="H333" i="5" s="1"/>
  <c r="I322" i="192"/>
  <c r="H322" i="5" s="1"/>
  <c r="I345" i="192"/>
  <c r="H345" i="5" s="1"/>
  <c r="I345" i="190"/>
  <c r="G345" i="5" s="1"/>
  <c r="I333" i="190"/>
  <c r="G333" i="5" s="1"/>
  <c r="I323" i="190"/>
  <c r="G323" i="5" s="1"/>
  <c r="O1702" i="1"/>
  <c r="O1720" i="1"/>
  <c r="O1701" i="1"/>
  <c r="O1712" i="1"/>
  <c r="I322" i="190"/>
  <c r="G322" i="5" s="1"/>
  <c r="I323" i="136"/>
  <c r="F323" i="5" s="1"/>
  <c r="L322" i="5" l="1"/>
  <c r="G11" i="229" s="1"/>
  <c r="L323" i="5"/>
  <c r="G12" i="229" s="1"/>
  <c r="O1672" i="246" l="1"/>
  <c r="R1672" i="246" s="1"/>
  <c r="E250" i="4"/>
  <c r="O1671" i="246"/>
  <c r="R1671" i="246" s="1"/>
  <c r="E247" i="4"/>
  <c r="M1701" i="1"/>
  <c r="R1701" i="1" s="1"/>
  <c r="M1702" i="1"/>
  <c r="R1702" i="1" s="1"/>
  <c r="C37" i="5" l="1"/>
  <c r="C36" i="5"/>
  <c r="C35" i="5"/>
  <c r="C28" i="192"/>
  <c r="C28" i="190"/>
  <c r="C28" i="136"/>
  <c r="G55" i="4"/>
  <c r="H55" i="4" s="1"/>
  <c r="G54" i="4"/>
  <c r="H54" i="4" s="1"/>
  <c r="G53" i="4"/>
  <c r="G52" i="4"/>
  <c r="G51" i="4"/>
  <c r="H51" i="4" l="1"/>
  <c r="H52" i="4" l="1"/>
  <c r="H53" i="4" s="1"/>
  <c r="G114" i="4"/>
  <c r="G111" i="4"/>
  <c r="D65" i="246" l="1"/>
  <c r="D65" i="1"/>
  <c r="D2421" i="1"/>
  <c r="D276" i="246" l="1"/>
  <c r="R276" i="246" s="1"/>
  <c r="D275" i="1"/>
  <c r="R275" i="1" s="1"/>
  <c r="D167" i="246" l="1"/>
  <c r="D226" i="246"/>
  <c r="D167" i="1"/>
  <c r="D226" i="1"/>
  <c r="C1721" i="1" l="1"/>
  <c r="C1728" i="1"/>
  <c r="C1729" i="1"/>
  <c r="C1730" i="1"/>
  <c r="C1731" i="1"/>
  <c r="C1732" i="1"/>
  <c r="C1733" i="1"/>
  <c r="C1709" i="1"/>
  <c r="C1710" i="1"/>
  <c r="C1711" i="1"/>
  <c r="C1713" i="1"/>
  <c r="D1512" i="1" l="1"/>
  <c r="D1513" i="1"/>
  <c r="D1516" i="1"/>
  <c r="M1519" i="1"/>
  <c r="C1789" i="246" l="1"/>
  <c r="C1788" i="246"/>
  <c r="C1787" i="246"/>
  <c r="C1786" i="246"/>
  <c r="C1785" i="246"/>
  <c r="C1784" i="246"/>
  <c r="C1819" i="1"/>
  <c r="C1818" i="1"/>
  <c r="C1817" i="1"/>
  <c r="C1816" i="1"/>
  <c r="C1815" i="1"/>
  <c r="C1814" i="1"/>
  <c r="D317" i="246" l="1"/>
  <c r="D314" i="246"/>
  <c r="R314" i="246" s="1"/>
  <c r="D313" i="246"/>
  <c r="D343" i="1"/>
  <c r="R343" i="1" s="1"/>
  <c r="M343" i="1"/>
  <c r="D344" i="1"/>
  <c r="R344" i="1" s="1"/>
  <c r="M344" i="1"/>
  <c r="D345" i="1"/>
  <c r="R345" i="1" s="1"/>
  <c r="M345" i="1"/>
  <c r="D317" i="1"/>
  <c r="D314" i="1"/>
  <c r="R314" i="1" s="1"/>
  <c r="J145" i="246" l="1"/>
  <c r="R145" i="246" s="1"/>
  <c r="J144" i="246"/>
  <c r="R144" i="246" s="1"/>
  <c r="J143" i="246"/>
  <c r="R143" i="246" s="1"/>
  <c r="J145" i="1"/>
  <c r="R145" i="1" s="1"/>
  <c r="J144" i="1"/>
  <c r="R144" i="1" s="1"/>
  <c r="J143" i="1"/>
  <c r="R143" i="1" s="1"/>
  <c r="R305" i="246"/>
  <c r="D347" i="246" l="1"/>
  <c r="M345" i="246"/>
  <c r="D345" i="246"/>
  <c r="R345" i="246" s="1"/>
  <c r="M344" i="246"/>
  <c r="D344" i="246"/>
  <c r="R344" i="246" s="1"/>
  <c r="M343" i="246"/>
  <c r="D343" i="246"/>
  <c r="R343" i="246" s="1"/>
  <c r="M342" i="246"/>
  <c r="D342" i="246"/>
  <c r="R342" i="246" s="1"/>
  <c r="M341" i="246"/>
  <c r="D341" i="246"/>
  <c r="D347" i="1"/>
  <c r="M342" i="1"/>
  <c r="M341" i="1"/>
  <c r="D342" i="1"/>
  <c r="R342" i="1" s="1"/>
  <c r="D341" i="1"/>
  <c r="D267" i="246" l="1"/>
  <c r="W581" i="246" l="1"/>
  <c r="C581" i="246" s="1"/>
  <c r="D59" i="1" l="1"/>
  <c r="H21" i="230" l="1"/>
  <c r="D149" i="246" l="1"/>
  <c r="C377" i="192" l="1"/>
  <c r="C376" i="192"/>
  <c r="C375" i="192"/>
  <c r="C372" i="192"/>
  <c r="C371" i="192"/>
  <c r="C370" i="192"/>
  <c r="C369" i="192"/>
  <c r="C368" i="192"/>
  <c r="C367" i="192"/>
  <c r="C353" i="192"/>
  <c r="C352" i="192"/>
  <c r="C351" i="192"/>
  <c r="C350" i="192"/>
  <c r="C349" i="192"/>
  <c r="C347" i="192"/>
  <c r="C344" i="192"/>
  <c r="C341" i="192"/>
  <c r="C334" i="192"/>
  <c r="C332" i="192"/>
  <c r="C330" i="192"/>
  <c r="C321" i="192"/>
  <c r="C318" i="192"/>
  <c r="C317" i="192"/>
  <c r="C316" i="192"/>
  <c r="C315" i="192"/>
  <c r="C314" i="192"/>
  <c r="C312" i="192"/>
  <c r="C311" i="192"/>
  <c r="C310" i="192"/>
  <c r="C309" i="192"/>
  <c r="C308" i="192"/>
  <c r="C219" i="192"/>
  <c r="C218" i="192"/>
  <c r="C217" i="192"/>
  <c r="C216" i="192"/>
  <c r="C215" i="192"/>
  <c r="C214" i="192"/>
  <c r="C213" i="192"/>
  <c r="C212" i="192"/>
  <c r="C211" i="192"/>
  <c r="C210" i="192"/>
  <c r="C209" i="192"/>
  <c r="C208" i="192"/>
  <c r="C207" i="192"/>
  <c r="C206" i="192"/>
  <c r="C205" i="192"/>
  <c r="C204" i="192"/>
  <c r="C203" i="192"/>
  <c r="C200" i="192"/>
  <c r="C199" i="192"/>
  <c r="C198" i="192"/>
  <c r="C197" i="192"/>
  <c r="C196" i="192"/>
  <c r="C195" i="192"/>
  <c r="C194" i="192"/>
  <c r="C193" i="192"/>
  <c r="C192" i="192"/>
  <c r="C191" i="192"/>
  <c r="C190" i="192"/>
  <c r="C189" i="192"/>
  <c r="C188" i="192"/>
  <c r="C187" i="192"/>
  <c r="C186" i="192"/>
  <c r="C377" i="190"/>
  <c r="C376" i="190"/>
  <c r="C375" i="190"/>
  <c r="C372" i="190"/>
  <c r="C371" i="190"/>
  <c r="C370" i="190"/>
  <c r="C369" i="190"/>
  <c r="C368" i="190"/>
  <c r="C367" i="190"/>
  <c r="C353" i="190"/>
  <c r="C352" i="190"/>
  <c r="C351" i="190"/>
  <c r="C350" i="190"/>
  <c r="C349" i="190"/>
  <c r="C347" i="190"/>
  <c r="C344" i="190"/>
  <c r="C341" i="190"/>
  <c r="C334" i="190"/>
  <c r="C332" i="190"/>
  <c r="C330" i="190"/>
  <c r="C321" i="190"/>
  <c r="C318" i="190"/>
  <c r="C317" i="190"/>
  <c r="C316" i="190"/>
  <c r="C315" i="190"/>
  <c r="C314" i="190"/>
  <c r="C312" i="190"/>
  <c r="C311" i="190"/>
  <c r="C310" i="190"/>
  <c r="C309" i="190"/>
  <c r="C308" i="190"/>
  <c r="C219" i="190"/>
  <c r="C218" i="190"/>
  <c r="C217" i="190"/>
  <c r="C216" i="190"/>
  <c r="C215" i="190"/>
  <c r="C214" i="190"/>
  <c r="C213" i="190"/>
  <c r="C212" i="190"/>
  <c r="C211" i="190"/>
  <c r="C210" i="190"/>
  <c r="C209" i="190"/>
  <c r="C208" i="190"/>
  <c r="C207" i="190"/>
  <c r="C206" i="190"/>
  <c r="C205" i="190"/>
  <c r="C204" i="190"/>
  <c r="C203" i="190"/>
  <c r="C200" i="190"/>
  <c r="C199" i="190"/>
  <c r="C198" i="190"/>
  <c r="C197" i="190"/>
  <c r="C196" i="190"/>
  <c r="C195" i="190"/>
  <c r="C194" i="190"/>
  <c r="C193" i="190"/>
  <c r="C192" i="190"/>
  <c r="C191" i="190"/>
  <c r="C190" i="190"/>
  <c r="C189" i="190"/>
  <c r="C188" i="190"/>
  <c r="C187" i="190"/>
  <c r="C186" i="190"/>
  <c r="C377" i="136"/>
  <c r="C376" i="136"/>
  <c r="C375" i="136"/>
  <c r="C372" i="136"/>
  <c r="C371" i="136"/>
  <c r="C370" i="136"/>
  <c r="C369" i="136"/>
  <c r="C368" i="136"/>
  <c r="C367" i="136"/>
  <c r="C353" i="136"/>
  <c r="C352" i="136"/>
  <c r="C351" i="136"/>
  <c r="C350" i="136"/>
  <c r="C349" i="136"/>
  <c r="C347" i="136"/>
  <c r="C344" i="136"/>
  <c r="C341" i="136"/>
  <c r="C334" i="136"/>
  <c r="C332" i="136"/>
  <c r="C330" i="136"/>
  <c r="C321" i="136"/>
  <c r="C318" i="136"/>
  <c r="C317" i="136"/>
  <c r="C316" i="136"/>
  <c r="C315" i="136"/>
  <c r="C314" i="136"/>
  <c r="C312" i="136"/>
  <c r="C311" i="136"/>
  <c r="C310" i="136"/>
  <c r="C309" i="136"/>
  <c r="C308" i="136"/>
  <c r="C219" i="136"/>
  <c r="C218" i="136"/>
  <c r="C217" i="136"/>
  <c r="C216" i="136"/>
  <c r="C215" i="136"/>
  <c r="C214" i="136"/>
  <c r="C213" i="136"/>
  <c r="C212" i="136"/>
  <c r="C211" i="136"/>
  <c r="C210" i="136"/>
  <c r="C209" i="136"/>
  <c r="C208" i="136"/>
  <c r="C207" i="136"/>
  <c r="C206" i="136"/>
  <c r="C205" i="136"/>
  <c r="C204" i="136"/>
  <c r="C203" i="136"/>
  <c r="C200" i="136"/>
  <c r="C199" i="136"/>
  <c r="C198" i="136"/>
  <c r="C197" i="136"/>
  <c r="C196" i="136"/>
  <c r="C195" i="136"/>
  <c r="C194" i="136"/>
  <c r="C193" i="136"/>
  <c r="C192" i="136"/>
  <c r="C191" i="136"/>
  <c r="C190" i="136"/>
  <c r="C189" i="136"/>
  <c r="C188" i="136"/>
  <c r="C187" i="136"/>
  <c r="C186" i="136"/>
  <c r="C244" i="4" l="1"/>
  <c r="D2916" i="246" l="1"/>
  <c r="D2915" i="246"/>
  <c r="D2914" i="246"/>
  <c r="D2913" i="246"/>
  <c r="D2912" i="246"/>
  <c r="D2911" i="246"/>
  <c r="D2910" i="246"/>
  <c r="D2909" i="246"/>
  <c r="D2908" i="246"/>
  <c r="D2907" i="246"/>
  <c r="O2877" i="246"/>
  <c r="D2859" i="246"/>
  <c r="D2858" i="246"/>
  <c r="D2857" i="246"/>
  <c r="D2856" i="246"/>
  <c r="D2855" i="246"/>
  <c r="D2854" i="246"/>
  <c r="D2853" i="246"/>
  <c r="D2852" i="246"/>
  <c r="D2851" i="246"/>
  <c r="D2850" i="246"/>
  <c r="D2822" i="246"/>
  <c r="D2821" i="246"/>
  <c r="D2820" i="246"/>
  <c r="D2819" i="246"/>
  <c r="D2808" i="246"/>
  <c r="D2807" i="246"/>
  <c r="D2806" i="246"/>
  <c r="D2805" i="246"/>
  <c r="D2804" i="246"/>
  <c r="O2793" i="246"/>
  <c r="D2790" i="246"/>
  <c r="D2874" i="246" s="1"/>
  <c r="D2751" i="246"/>
  <c r="D2750" i="246"/>
  <c r="D2749" i="246"/>
  <c r="D2748" i="246"/>
  <c r="D2747" i="246"/>
  <c r="D2746" i="246"/>
  <c r="D2745" i="246"/>
  <c r="D2744" i="246"/>
  <c r="D2743" i="246"/>
  <c r="D2742" i="246"/>
  <c r="O2712" i="246"/>
  <c r="D2694" i="246"/>
  <c r="D2693" i="246"/>
  <c r="D2692" i="246"/>
  <c r="D2691" i="246"/>
  <c r="D2690" i="246"/>
  <c r="D2689" i="246"/>
  <c r="D2688" i="246"/>
  <c r="D2687" i="246"/>
  <c r="D2686" i="246"/>
  <c r="D2685" i="246"/>
  <c r="D2657" i="246"/>
  <c r="D2656" i="246"/>
  <c r="D2655" i="246"/>
  <c r="D2654" i="246"/>
  <c r="D2643" i="246"/>
  <c r="D2642" i="246"/>
  <c r="D2641" i="246"/>
  <c r="D2640" i="246"/>
  <c r="D2639" i="246"/>
  <c r="O2628" i="246"/>
  <c r="D2625" i="246"/>
  <c r="D2709" i="246" s="1"/>
  <c r="D2586" i="246"/>
  <c r="D2585" i="246"/>
  <c r="D2584" i="246"/>
  <c r="D2583" i="246"/>
  <c r="D2582" i="246"/>
  <c r="D2581" i="246"/>
  <c r="D2580" i="246"/>
  <c r="D2579" i="246"/>
  <c r="D2578" i="246"/>
  <c r="D2577" i="246"/>
  <c r="O2547" i="246"/>
  <c r="D2529" i="246"/>
  <c r="D2528" i="246"/>
  <c r="D2527" i="246"/>
  <c r="D2526" i="246"/>
  <c r="D2525" i="246"/>
  <c r="D2524" i="246"/>
  <c r="D2523" i="246"/>
  <c r="D2522" i="246"/>
  <c r="D2521" i="246"/>
  <c r="D2520" i="246"/>
  <c r="D2492" i="246"/>
  <c r="D2491" i="246"/>
  <c r="D2490" i="246"/>
  <c r="D2489" i="246"/>
  <c r="D2478" i="246"/>
  <c r="D2477" i="246"/>
  <c r="D2476" i="246"/>
  <c r="D2475" i="246"/>
  <c r="D2474" i="246"/>
  <c r="O2463" i="246"/>
  <c r="D2460" i="246"/>
  <c r="D2544" i="246" s="1"/>
  <c r="D2409" i="246"/>
  <c r="D2408" i="246"/>
  <c r="D2407" i="246"/>
  <c r="D2406" i="246"/>
  <c r="D2405" i="246"/>
  <c r="D2404" i="246"/>
  <c r="D2403" i="246"/>
  <c r="D2402" i="246"/>
  <c r="D2401" i="246"/>
  <c r="D2400" i="246"/>
  <c r="D2391" i="246"/>
  <c r="O2369" i="246"/>
  <c r="R2363" i="246"/>
  <c r="D2363" i="246"/>
  <c r="D2362" i="246"/>
  <c r="D2351" i="246"/>
  <c r="D2350" i="246"/>
  <c r="D2349" i="246"/>
  <c r="D2348" i="246"/>
  <c r="D2347" i="246"/>
  <c r="D2346" i="246"/>
  <c r="D2345" i="246"/>
  <c r="D2344" i="246"/>
  <c r="D2343" i="246"/>
  <c r="D2342" i="246"/>
  <c r="D2314" i="246"/>
  <c r="D2313" i="246"/>
  <c r="D2312" i="246"/>
  <c r="D2311" i="246"/>
  <c r="D2300" i="246"/>
  <c r="D2299" i="246"/>
  <c r="D2298" i="246"/>
  <c r="D2297" i="246"/>
  <c r="D2296" i="246"/>
  <c r="O2285" i="246"/>
  <c r="D2282" i="246"/>
  <c r="D2366" i="246" s="1"/>
  <c r="R2279" i="246"/>
  <c r="D2279" i="246"/>
  <c r="D2278" i="246"/>
  <c r="C1176" i="246"/>
  <c r="C1175" i="246"/>
  <c r="C1174" i="246"/>
  <c r="C1173" i="246"/>
  <c r="C1172" i="246"/>
  <c r="C1171" i="246"/>
  <c r="C1170" i="246"/>
  <c r="C1169" i="246"/>
  <c r="C1168" i="246"/>
  <c r="C1167" i="246"/>
  <c r="C1166" i="246"/>
  <c r="C1165" i="246"/>
  <c r="C1164" i="246"/>
  <c r="C1163" i="246"/>
  <c r="C1162" i="246"/>
  <c r="C1161" i="246"/>
  <c r="C1160" i="246"/>
  <c r="C1159" i="246"/>
  <c r="C1158" i="246"/>
  <c r="C1157" i="246"/>
  <c r="C1156" i="246"/>
  <c r="C1155" i="246"/>
  <c r="C1154" i="246"/>
  <c r="C1153" i="246"/>
  <c r="C1152" i="246"/>
  <c r="C1151" i="246"/>
  <c r="C1150" i="246"/>
  <c r="C1149" i="246"/>
  <c r="C1148" i="246"/>
  <c r="C1147" i="246"/>
  <c r="C1146" i="246"/>
  <c r="C1145" i="246"/>
  <c r="C1144" i="246"/>
  <c r="C1143" i="246"/>
  <c r="C1142" i="246"/>
  <c r="C1141" i="246"/>
  <c r="C1140" i="246"/>
  <c r="C1139" i="246"/>
  <c r="C1138" i="246"/>
  <c r="C1137" i="246"/>
  <c r="C1136" i="246"/>
  <c r="C1135" i="246"/>
  <c r="C1134" i="246"/>
  <c r="C1133" i="246"/>
  <c r="O1129" i="246"/>
  <c r="D1126" i="246"/>
  <c r="D1123" i="246"/>
  <c r="D1122" i="246"/>
  <c r="D1100" i="246"/>
  <c r="D1099" i="246"/>
  <c r="D1098" i="246"/>
  <c r="D1097" i="246"/>
  <c r="D1096" i="246"/>
  <c r="D1095" i="246"/>
  <c r="D1094" i="246"/>
  <c r="D1093" i="246"/>
  <c r="D1092" i="246"/>
  <c r="D1091" i="246"/>
  <c r="D1090" i="246"/>
  <c r="D1089" i="246"/>
  <c r="D1088" i="246"/>
  <c r="D1087" i="246"/>
  <c r="D1086" i="246"/>
  <c r="D1085" i="246"/>
  <c r="O1069" i="246"/>
  <c r="D1066" i="246"/>
  <c r="D1063" i="246"/>
  <c r="D1062" i="246"/>
  <c r="O1043" i="246"/>
  <c r="D1040" i="246"/>
  <c r="D1037" i="246"/>
  <c r="D1036" i="246"/>
  <c r="C1025" i="246"/>
  <c r="C1024" i="246"/>
  <c r="C1023" i="246"/>
  <c r="C1022" i="246"/>
  <c r="C1021" i="246"/>
  <c r="C1020" i="246"/>
  <c r="C1019" i="246"/>
  <c r="C1018" i="246"/>
  <c r="C1017" i="246"/>
  <c r="C1016" i="246"/>
  <c r="C1015" i="246"/>
  <c r="C1014" i="246"/>
  <c r="O1010" i="246"/>
  <c r="D1007" i="246"/>
  <c r="D1004" i="246"/>
  <c r="D1003" i="246"/>
  <c r="C937" i="246"/>
  <c r="C936" i="246"/>
  <c r="C935" i="246"/>
  <c r="C934" i="246"/>
  <c r="C931" i="246"/>
  <c r="C930" i="246"/>
  <c r="C929" i="246"/>
  <c r="C928" i="246"/>
  <c r="C925" i="246"/>
  <c r="C924" i="246"/>
  <c r="C923" i="246"/>
  <c r="C922" i="246"/>
  <c r="C919" i="246"/>
  <c r="C918" i="246"/>
  <c r="C917" i="246"/>
  <c r="C916" i="246"/>
  <c r="C2135" i="246"/>
  <c r="C2134" i="246"/>
  <c r="C2133" i="246"/>
  <c r="C2132" i="246"/>
  <c r="C2131" i="246"/>
  <c r="O2127" i="246"/>
  <c r="D2124" i="246"/>
  <c r="D2121" i="246"/>
  <c r="D2120" i="246"/>
  <c r="C2109" i="246"/>
  <c r="C2108" i="246"/>
  <c r="C2107" i="246"/>
  <c r="O2103" i="246"/>
  <c r="D2100" i="246"/>
  <c r="D2097" i="246"/>
  <c r="D2096" i="246"/>
  <c r="C2085" i="246"/>
  <c r="C2084" i="246"/>
  <c r="C2083" i="246"/>
  <c r="C2082" i="246"/>
  <c r="C2081" i="246"/>
  <c r="C2080" i="246"/>
  <c r="O2076" i="246"/>
  <c r="O1970" i="246"/>
  <c r="D1967" i="246"/>
  <c r="D1964" i="246"/>
  <c r="D1963" i="246"/>
  <c r="C1951" i="246"/>
  <c r="C1950" i="246"/>
  <c r="C1949" i="246"/>
  <c r="C1948" i="246"/>
  <c r="C1947" i="246"/>
  <c r="C1946" i="246"/>
  <c r="C1945" i="246"/>
  <c r="C1944" i="246"/>
  <c r="C1943" i="246"/>
  <c r="C1942" i="246"/>
  <c r="C1941" i="246"/>
  <c r="C1940" i="246"/>
  <c r="C1939" i="246"/>
  <c r="C1938" i="246"/>
  <c r="C1937" i="246"/>
  <c r="C1936" i="246"/>
  <c r="C1935" i="246"/>
  <c r="O1931" i="246"/>
  <c r="D1928" i="246"/>
  <c r="D1925" i="246"/>
  <c r="D1924" i="246"/>
  <c r="C1909" i="246"/>
  <c r="C1908" i="246"/>
  <c r="C1907" i="246"/>
  <c r="C1906" i="246"/>
  <c r="C1905" i="246"/>
  <c r="C1904" i="246"/>
  <c r="C1903" i="246"/>
  <c r="C1902" i="246"/>
  <c r="C1901" i="246"/>
  <c r="C1900" i="246"/>
  <c r="C1899" i="246"/>
  <c r="C1898" i="246"/>
  <c r="C1897" i="246"/>
  <c r="C1896" i="246"/>
  <c r="C1895" i="246"/>
  <c r="O1891" i="246"/>
  <c r="D1888" i="246"/>
  <c r="D1885" i="246"/>
  <c r="D1884" i="246"/>
  <c r="O1855" i="246"/>
  <c r="D1852" i="246"/>
  <c r="D1849" i="246"/>
  <c r="D1848" i="246"/>
  <c r="O1831" i="246"/>
  <c r="D1828" i="246"/>
  <c r="D1825" i="246"/>
  <c r="D1824" i="246"/>
  <c r="O1813" i="246"/>
  <c r="O1808" i="246"/>
  <c r="D1805" i="246"/>
  <c r="D1802" i="246"/>
  <c r="R1802" i="246" s="1"/>
  <c r="D1801" i="246"/>
  <c r="O1780" i="246"/>
  <c r="D1777" i="246"/>
  <c r="D1774" i="246"/>
  <c r="D1773" i="246"/>
  <c r="C1767" i="246"/>
  <c r="R1767" i="246" s="1"/>
  <c r="O1748" i="246"/>
  <c r="D1745" i="246"/>
  <c r="D1742" i="246"/>
  <c r="D1741" i="246"/>
  <c r="O1722" i="246"/>
  <c r="D1719" i="246"/>
  <c r="D1716" i="246"/>
  <c r="D1715" i="246"/>
  <c r="C1703" i="246"/>
  <c r="C1702" i="246"/>
  <c r="C1701" i="246"/>
  <c r="C1700" i="246"/>
  <c r="C1699" i="246"/>
  <c r="C1698" i="246"/>
  <c r="C1691" i="246"/>
  <c r="C1689" i="246"/>
  <c r="C1683" i="246"/>
  <c r="C1681" i="246"/>
  <c r="C1680" i="246"/>
  <c r="C1679" i="246"/>
  <c r="C1670" i="246"/>
  <c r="O1663" i="246"/>
  <c r="D1660" i="246"/>
  <c r="D1657" i="246"/>
  <c r="D1656" i="246"/>
  <c r="C1640" i="246"/>
  <c r="C1639" i="246"/>
  <c r="C1638" i="246"/>
  <c r="C1637" i="246"/>
  <c r="C1636" i="246"/>
  <c r="O1632" i="246"/>
  <c r="D1629" i="246"/>
  <c r="D1626" i="246"/>
  <c r="D1625" i="246"/>
  <c r="C1608" i="246"/>
  <c r="C1607" i="246"/>
  <c r="C1606" i="246"/>
  <c r="C1605" i="246"/>
  <c r="C1604" i="246"/>
  <c r="O1600" i="246"/>
  <c r="D1597" i="246"/>
  <c r="D1594" i="246"/>
  <c r="D1593" i="246"/>
  <c r="O1490" i="246"/>
  <c r="D1487" i="246"/>
  <c r="D1484" i="246"/>
  <c r="D1483" i="246"/>
  <c r="D599" i="246"/>
  <c r="D596" i="246"/>
  <c r="R596" i="246" s="1"/>
  <c r="D595" i="246"/>
  <c r="B559" i="246"/>
  <c r="B570" i="246" s="1"/>
  <c r="O547" i="246"/>
  <c r="D541" i="246"/>
  <c r="R541" i="246" s="1"/>
  <c r="D540" i="246"/>
  <c r="O419" i="246"/>
  <c r="D413" i="246"/>
  <c r="R413" i="246" s="1"/>
  <c r="D412" i="246"/>
  <c r="O472" i="246"/>
  <c r="D466" i="246"/>
  <c r="R466" i="246" s="1"/>
  <c r="D465" i="246"/>
  <c r="D322" i="246"/>
  <c r="R271" i="246"/>
  <c r="C265" i="246"/>
  <c r="D258" i="246"/>
  <c r="D255" i="246"/>
  <c r="R255" i="246" s="1"/>
  <c r="D254" i="246"/>
  <c r="J147" i="246"/>
  <c r="J141" i="246"/>
  <c r="R141" i="246" s="1"/>
  <c r="J140" i="246"/>
  <c r="R140" i="246" s="1"/>
  <c r="J139" i="246"/>
  <c r="R139" i="246" s="1"/>
  <c r="J138" i="246"/>
  <c r="R138" i="246" s="1"/>
  <c r="J131" i="246"/>
  <c r="R131" i="246" s="1"/>
  <c r="J130" i="246"/>
  <c r="R130" i="246" s="1"/>
  <c r="J129" i="246"/>
  <c r="J128" i="246"/>
  <c r="J126" i="246"/>
  <c r="R126" i="246" s="1"/>
  <c r="J125" i="246"/>
  <c r="R125" i="246" s="1"/>
  <c r="J124" i="246"/>
  <c r="R124" i="246" s="1"/>
  <c r="J123" i="246"/>
  <c r="R123" i="246" s="1"/>
  <c r="J122" i="246"/>
  <c r="J120" i="246"/>
  <c r="R120" i="246" s="1"/>
  <c r="J119" i="246"/>
  <c r="R119" i="246" s="1"/>
  <c r="J118" i="246"/>
  <c r="R118" i="246" s="1"/>
  <c r="J117" i="246"/>
  <c r="R88" i="246"/>
  <c r="R87" i="246"/>
  <c r="R86" i="246"/>
  <c r="R85" i="246"/>
  <c r="O69" i="246"/>
  <c r="D62" i="246"/>
  <c r="D59" i="246"/>
  <c r="D58" i="246"/>
  <c r="R58" i="246" s="1"/>
  <c r="D57" i="246"/>
  <c r="A20" i="246"/>
  <c r="A16" i="246"/>
  <c r="K51" i="89"/>
  <c r="C274" i="246" l="1"/>
  <c r="C320" i="246" s="1"/>
  <c r="B581" i="246"/>
  <c r="J119" i="1" l="1"/>
  <c r="R119" i="1" s="1"/>
  <c r="C325" i="246" l="1"/>
  <c r="C332" i="246" l="1"/>
  <c r="C337" i="246" s="1"/>
  <c r="C350" i="246" s="1"/>
  <c r="C368" i="246" s="1"/>
  <c r="C385" i="246" s="1"/>
  <c r="C402" i="246" s="1"/>
  <c r="K281" i="89" l="1"/>
  <c r="K280" i="89"/>
  <c r="K279" i="89"/>
  <c r="K278" i="89"/>
  <c r="K277" i="89"/>
  <c r="K276" i="89"/>
  <c r="K275" i="89"/>
  <c r="K274" i="89"/>
  <c r="K273" i="89"/>
  <c r="K272" i="89"/>
  <c r="K271" i="89"/>
  <c r="K270" i="89"/>
  <c r="K269" i="89"/>
  <c r="K268" i="89"/>
  <c r="K267" i="89"/>
  <c r="K266" i="89"/>
  <c r="K265" i="89"/>
  <c r="K264" i="89"/>
  <c r="K263" i="89"/>
  <c r="K262" i="89"/>
  <c r="K261" i="89"/>
  <c r="K260" i="89"/>
  <c r="K259" i="89"/>
  <c r="K258" i="89"/>
  <c r="K257" i="89"/>
  <c r="K256" i="89"/>
  <c r="K255" i="89"/>
  <c r="K254" i="89"/>
  <c r="K243" i="89"/>
  <c r="K242" i="89"/>
  <c r="K241" i="89"/>
  <c r="K240" i="89"/>
  <c r="K239" i="89"/>
  <c r="K238" i="89"/>
  <c r="K237" i="89"/>
  <c r="K236" i="89"/>
  <c r="K235" i="89"/>
  <c r="K234" i="89"/>
  <c r="K233" i="89"/>
  <c r="K232" i="89"/>
  <c r="K231" i="89"/>
  <c r="K230" i="89"/>
  <c r="K229" i="89"/>
  <c r="K228" i="89"/>
  <c r="K227" i="89"/>
  <c r="K226" i="89"/>
  <c r="K225" i="89"/>
  <c r="K224" i="89"/>
  <c r="K223" i="89"/>
  <c r="K222" i="89"/>
  <c r="K209" i="89"/>
  <c r="K208" i="89"/>
  <c r="K207" i="89"/>
  <c r="K206" i="89"/>
  <c r="K205" i="89"/>
  <c r="K204" i="89"/>
  <c r="K203" i="89"/>
  <c r="K202" i="89"/>
  <c r="K201" i="89"/>
  <c r="K200" i="89"/>
  <c r="K199" i="89"/>
  <c r="K198" i="89"/>
  <c r="K197" i="89"/>
  <c r="K196" i="89"/>
  <c r="K195" i="89"/>
  <c r="K194" i="89"/>
  <c r="J390" i="89"/>
  <c r="J285" i="89"/>
  <c r="J246" i="89"/>
  <c r="I246" i="89"/>
  <c r="J212" i="89"/>
  <c r="J169" i="89"/>
  <c r="J393" i="89" s="1"/>
  <c r="I169" i="89"/>
  <c r="M250" i="136" l="1"/>
  <c r="G250" i="136" s="1"/>
  <c r="I250" i="136" s="1"/>
  <c r="F250" i="5" s="1"/>
  <c r="K250" i="136"/>
  <c r="M248" i="136"/>
  <c r="G248" i="136" s="1"/>
  <c r="I248" i="136" s="1"/>
  <c r="F248" i="5" s="1"/>
  <c r="K248" i="136"/>
  <c r="M247" i="136"/>
  <c r="G247" i="136" s="1"/>
  <c r="K247" i="136"/>
  <c r="M246" i="136"/>
  <c r="G246" i="136" s="1"/>
  <c r="I246" i="136" s="1"/>
  <c r="K246" i="136"/>
  <c r="M250" i="190"/>
  <c r="G250" i="190" s="1"/>
  <c r="I250" i="190" s="1"/>
  <c r="G250" i="5" s="1"/>
  <c r="K250" i="190"/>
  <c r="M248" i="190"/>
  <c r="G248" i="190" s="1"/>
  <c r="I248" i="190" s="1"/>
  <c r="G248" i="5" s="1"/>
  <c r="K248" i="190"/>
  <c r="M247" i="190"/>
  <c r="G247" i="190" s="1"/>
  <c r="K247" i="190"/>
  <c r="M246" i="190"/>
  <c r="G246" i="190" s="1"/>
  <c r="I246" i="190" s="1"/>
  <c r="K246" i="190"/>
  <c r="M250" i="192"/>
  <c r="G250" i="192" s="1"/>
  <c r="I250" i="192" s="1"/>
  <c r="H250" i="5" s="1"/>
  <c r="K250" i="192"/>
  <c r="M248" i="192"/>
  <c r="G248" i="192" s="1"/>
  <c r="I248" i="192" s="1"/>
  <c r="H248" i="5" s="1"/>
  <c r="K248" i="192"/>
  <c r="M247" i="192"/>
  <c r="G247" i="192" s="1"/>
  <c r="K247" i="192"/>
  <c r="M246" i="192"/>
  <c r="G246" i="192" s="1"/>
  <c r="I246" i="192" s="1"/>
  <c r="K246" i="192"/>
  <c r="P250" i="5"/>
  <c r="N250" i="5"/>
  <c r="O1434" i="1" s="1"/>
  <c r="U1434" i="1" s="1"/>
  <c r="O1430" i="1" s="1"/>
  <c r="P248" i="5"/>
  <c r="N248" i="5"/>
  <c r="O1422" i="1" s="1"/>
  <c r="U1422" i="1" s="1"/>
  <c r="P247" i="5"/>
  <c r="J247" i="5" s="1"/>
  <c r="N247" i="5"/>
  <c r="P246" i="5"/>
  <c r="J246" i="5" s="1"/>
  <c r="L246" i="5" s="1"/>
  <c r="N246" i="5"/>
  <c r="O479" i="1" s="1"/>
  <c r="I52" i="89"/>
  <c r="K50" i="89"/>
  <c r="K31" i="89"/>
  <c r="K30" i="89"/>
  <c r="K29" i="89"/>
  <c r="K28" i="89"/>
  <c r="K27" i="89"/>
  <c r="J52" i="89"/>
  <c r="G17" i="240"/>
  <c r="H17" i="240"/>
  <c r="H31" i="240"/>
  <c r="G31" i="240"/>
  <c r="I10" i="89" l="1"/>
  <c r="I393" i="89"/>
  <c r="O1444" i="1"/>
  <c r="O1414" i="1"/>
  <c r="O1410" i="1" s="1"/>
  <c r="F247" i="190"/>
  <c r="I247" i="190" s="1"/>
  <c r="F247" i="136"/>
  <c r="I247" i="136" s="1"/>
  <c r="F247" i="192"/>
  <c r="I247" i="192" s="1"/>
  <c r="I247" i="5"/>
  <c r="L247" i="5" s="1"/>
  <c r="J10" i="89"/>
  <c r="K52" i="89"/>
  <c r="K10" i="89" l="1"/>
  <c r="U1414" i="1"/>
  <c r="O1439" i="1" s="1"/>
  <c r="X1505" i="1" s="1"/>
  <c r="O1420" i="1"/>
  <c r="O1385" i="246"/>
  <c r="M1414" i="1"/>
  <c r="G6" i="240"/>
  <c r="E3" i="240"/>
  <c r="C2" i="240"/>
  <c r="S1414" i="1" l="1"/>
  <c r="V1414" i="1"/>
  <c r="M1410" i="1"/>
  <c r="S1385" i="246"/>
  <c r="O1381" i="246"/>
  <c r="O1391" i="246" s="1"/>
  <c r="X1439" i="1"/>
  <c r="X479" i="1"/>
  <c r="C117" i="192"/>
  <c r="C116" i="192"/>
  <c r="C115" i="192"/>
  <c r="C114" i="192"/>
  <c r="C113" i="192"/>
  <c r="C117" i="190"/>
  <c r="C116" i="190"/>
  <c r="C115" i="190"/>
  <c r="C114" i="190"/>
  <c r="C113" i="190"/>
  <c r="C117" i="136"/>
  <c r="C116" i="136"/>
  <c r="C115" i="136"/>
  <c r="C114" i="136"/>
  <c r="C113" i="136"/>
  <c r="C117" i="5"/>
  <c r="C116" i="5"/>
  <c r="C114" i="5"/>
  <c r="C113" i="5"/>
  <c r="P2" i="5"/>
  <c r="V1410" i="1" l="1"/>
  <c r="M1420" i="1"/>
  <c r="C986" i="246"/>
  <c r="C990" i="246"/>
  <c r="C989" i="246"/>
  <c r="C987" i="246"/>
  <c r="C988" i="246"/>
  <c r="D3315" i="1"/>
  <c r="D3399" i="1" s="1"/>
  <c r="O3318" i="1"/>
  <c r="D3329" i="1"/>
  <c r="D3330" i="1"/>
  <c r="D3331" i="1"/>
  <c r="D3332" i="1"/>
  <c r="D3333" i="1"/>
  <c r="D3344" i="1"/>
  <c r="D3345" i="1"/>
  <c r="D3346" i="1"/>
  <c r="D3347" i="1"/>
  <c r="D3375" i="1"/>
  <c r="D3376" i="1"/>
  <c r="D3377" i="1"/>
  <c r="D3378" i="1"/>
  <c r="D3379" i="1"/>
  <c r="D3380" i="1"/>
  <c r="D3381" i="1"/>
  <c r="D3382" i="1"/>
  <c r="D3383" i="1"/>
  <c r="D3384" i="1"/>
  <c r="O3402" i="1"/>
  <c r="D3432" i="1"/>
  <c r="D3433" i="1"/>
  <c r="D3434" i="1"/>
  <c r="D3435" i="1"/>
  <c r="D3436" i="1"/>
  <c r="D3437" i="1"/>
  <c r="D3438" i="1"/>
  <c r="D3439" i="1"/>
  <c r="D3440" i="1"/>
  <c r="D3441" i="1"/>
  <c r="D3150" i="1"/>
  <c r="D3234" i="1" s="1"/>
  <c r="M3153" i="1"/>
  <c r="D3164" i="1"/>
  <c r="D3165" i="1"/>
  <c r="D3166" i="1"/>
  <c r="D3167" i="1"/>
  <c r="D3168" i="1"/>
  <c r="D3179" i="1"/>
  <c r="D3180" i="1"/>
  <c r="D3181" i="1"/>
  <c r="D3182" i="1"/>
  <c r="D3210" i="1"/>
  <c r="D3211" i="1"/>
  <c r="D3212" i="1"/>
  <c r="D3213" i="1"/>
  <c r="D3214" i="1"/>
  <c r="D3215" i="1"/>
  <c r="D3216" i="1"/>
  <c r="D3217" i="1"/>
  <c r="D3218" i="1"/>
  <c r="D3219" i="1"/>
  <c r="M3237" i="1"/>
  <c r="D3267" i="1"/>
  <c r="D3268" i="1"/>
  <c r="D3269" i="1"/>
  <c r="D3270" i="1"/>
  <c r="D3271" i="1"/>
  <c r="D3272" i="1"/>
  <c r="D3273" i="1"/>
  <c r="D3274" i="1"/>
  <c r="D3275" i="1"/>
  <c r="D3276" i="1"/>
  <c r="K5" i="190"/>
  <c r="K10" i="190"/>
  <c r="K11" i="190"/>
  <c r="K12" i="190"/>
  <c r="K13" i="190"/>
  <c r="K14" i="190"/>
  <c r="K15" i="190"/>
  <c r="K16" i="190"/>
  <c r="K17" i="190"/>
  <c r="O2833" i="1" s="1"/>
  <c r="K18" i="190"/>
  <c r="O2834" i="1" s="1"/>
  <c r="K19" i="190"/>
  <c r="O2835" i="1" s="1"/>
  <c r="K20" i="190"/>
  <c r="O2836" i="1" s="1"/>
  <c r="K21" i="190"/>
  <c r="O2837" i="1" s="1"/>
  <c r="K22" i="190"/>
  <c r="O2838" i="1" s="1"/>
  <c r="K23" i="190"/>
  <c r="K24" i="190"/>
  <c r="K25" i="190"/>
  <c r="K26" i="190"/>
  <c r="K27" i="190"/>
  <c r="K28" i="190"/>
  <c r="O2848" i="1" s="1"/>
  <c r="K29" i="190"/>
  <c r="O2849" i="1" s="1"/>
  <c r="K30" i="190"/>
  <c r="O2850" i="1" s="1"/>
  <c r="K31" i="190"/>
  <c r="O2851" i="1" s="1"/>
  <c r="K32" i="190"/>
  <c r="O2852" i="1" s="1"/>
  <c r="K34" i="190"/>
  <c r="K35" i="190"/>
  <c r="K36" i="190"/>
  <c r="K37" i="190"/>
  <c r="K38" i="190"/>
  <c r="K39" i="190"/>
  <c r="K40" i="190"/>
  <c r="O2862" i="1" s="1"/>
  <c r="K41" i="190"/>
  <c r="O2863" i="1" s="1"/>
  <c r="K42" i="190"/>
  <c r="O2864" i="1" s="1"/>
  <c r="K43" i="190"/>
  <c r="K44" i="190"/>
  <c r="K45" i="190"/>
  <c r="K46" i="190"/>
  <c r="K47" i="190"/>
  <c r="O2866" i="1" s="1"/>
  <c r="K48" i="190"/>
  <c r="O2867" i="1" s="1"/>
  <c r="K49" i="190"/>
  <c r="O2868" i="1" s="1"/>
  <c r="K50" i="190"/>
  <c r="O2869" i="1" s="1"/>
  <c r="K51" i="190"/>
  <c r="K52" i="190"/>
  <c r="K53" i="190"/>
  <c r="O2871" i="1" s="1"/>
  <c r="K54" i="190"/>
  <c r="K55" i="190"/>
  <c r="K56" i="190"/>
  <c r="K57" i="190"/>
  <c r="K58" i="190"/>
  <c r="K59" i="190"/>
  <c r="K60" i="190"/>
  <c r="K61" i="190"/>
  <c r="K62" i="190"/>
  <c r="K63" i="190"/>
  <c r="K64" i="190"/>
  <c r="O2874" i="1" s="1"/>
  <c r="K66" i="190"/>
  <c r="K67" i="190"/>
  <c r="K68" i="190"/>
  <c r="K69" i="190"/>
  <c r="K70" i="190"/>
  <c r="K71" i="190"/>
  <c r="O2878" i="1" s="1"/>
  <c r="K72" i="190"/>
  <c r="O2879" i="1" s="1"/>
  <c r="K73" i="190"/>
  <c r="O2880" i="1" s="1"/>
  <c r="K74" i="190"/>
  <c r="O2881" i="1" s="1"/>
  <c r="K75" i="190"/>
  <c r="O2882" i="1" s="1"/>
  <c r="K76" i="190"/>
  <c r="O2883" i="1" s="1"/>
  <c r="K77" i="190"/>
  <c r="O2884" i="1" s="1"/>
  <c r="K78" i="190"/>
  <c r="O2885" i="1" s="1"/>
  <c r="K79" i="190"/>
  <c r="O2886" i="1" s="1"/>
  <c r="K80" i="190"/>
  <c r="O2887" i="1" s="1"/>
  <c r="K81" i="190"/>
  <c r="O2888" i="1" s="1"/>
  <c r="K82" i="190"/>
  <c r="O2889" i="1" s="1"/>
  <c r="K83" i="190"/>
  <c r="K84" i="190"/>
  <c r="O2961" i="1" s="1"/>
  <c r="K85" i="190"/>
  <c r="K86" i="190"/>
  <c r="K87" i="190"/>
  <c r="K88" i="190"/>
  <c r="K89" i="190"/>
  <c r="K90" i="190"/>
  <c r="K91" i="190"/>
  <c r="K93" i="190"/>
  <c r="K94" i="190"/>
  <c r="K95" i="190"/>
  <c r="O2956" i="1" s="1"/>
  <c r="K96" i="190"/>
  <c r="O2959" i="1" s="1"/>
  <c r="K98" i="190"/>
  <c r="K99" i="190"/>
  <c r="K100" i="190"/>
  <c r="K101" i="190"/>
  <c r="K102" i="190"/>
  <c r="K103" i="190"/>
  <c r="O2917" i="1" s="1"/>
  <c r="K104" i="190"/>
  <c r="O2916" i="1" s="1"/>
  <c r="K105" i="190"/>
  <c r="O2918" i="1" s="1"/>
  <c r="K106" i="190"/>
  <c r="O2919" i="1" s="1"/>
  <c r="K107" i="190"/>
  <c r="O2920" i="1" s="1"/>
  <c r="K109" i="190"/>
  <c r="K110" i="190"/>
  <c r="K111" i="190"/>
  <c r="K112" i="190"/>
  <c r="K113" i="190"/>
  <c r="K114" i="190"/>
  <c r="K115" i="190"/>
  <c r="K116" i="190"/>
  <c r="K117" i="190"/>
  <c r="K118" i="190"/>
  <c r="O2924" i="1" s="1"/>
  <c r="K119" i="190"/>
  <c r="O2925" i="1" s="1"/>
  <c r="K120" i="190"/>
  <c r="O2926" i="1" s="1"/>
  <c r="K121" i="190"/>
  <c r="O2927" i="1" s="1"/>
  <c r="K122" i="190"/>
  <c r="K123" i="190"/>
  <c r="K124" i="190"/>
  <c r="O2931" i="1" s="1"/>
  <c r="K125" i="190"/>
  <c r="O2932" i="1" s="1"/>
  <c r="K126" i="190"/>
  <c r="K127" i="190"/>
  <c r="K128" i="190"/>
  <c r="O2934" i="1" s="1"/>
  <c r="K129" i="190"/>
  <c r="O2935" i="1" s="1"/>
  <c r="K130" i="190"/>
  <c r="O2936" i="1" s="1"/>
  <c r="K131" i="190"/>
  <c r="O2937" i="1" s="1"/>
  <c r="K132" i="190"/>
  <c r="O2938" i="1" s="1"/>
  <c r="K133" i="190"/>
  <c r="O2939" i="1" s="1"/>
  <c r="K134" i="190"/>
  <c r="O2940" i="1" s="1"/>
  <c r="K135" i="190"/>
  <c r="O2941" i="1" s="1"/>
  <c r="K136" i="190"/>
  <c r="O2942" i="1" s="1"/>
  <c r="K137" i="190"/>
  <c r="O2943" i="1" s="1"/>
  <c r="K138" i="190"/>
  <c r="O2944" i="1" s="1"/>
  <c r="K139" i="190"/>
  <c r="O2945" i="1" s="1"/>
  <c r="K140" i="190"/>
  <c r="O2946" i="1" s="1"/>
  <c r="K142" i="190"/>
  <c r="K143" i="190"/>
  <c r="K144" i="190"/>
  <c r="K145" i="190"/>
  <c r="K146" i="190"/>
  <c r="K147" i="190"/>
  <c r="K148" i="190"/>
  <c r="K149" i="190"/>
  <c r="K150" i="190"/>
  <c r="K151" i="190"/>
  <c r="K152" i="190"/>
  <c r="K153" i="190"/>
  <c r="K154" i="190"/>
  <c r="K155" i="190"/>
  <c r="K156" i="190"/>
  <c r="O2928" i="1" s="1"/>
  <c r="K157" i="190"/>
  <c r="K158" i="190"/>
  <c r="K159" i="190"/>
  <c r="K160" i="190"/>
  <c r="K161" i="190"/>
  <c r="K5" i="136"/>
  <c r="K10" i="136"/>
  <c r="K11" i="136"/>
  <c r="O2497" i="1" s="1"/>
  <c r="U2497" i="1" s="1"/>
  <c r="K12" i="136"/>
  <c r="K13" i="136"/>
  <c r="K14" i="136"/>
  <c r="K15" i="136"/>
  <c r="K16" i="136"/>
  <c r="K17" i="136"/>
  <c r="O2503" i="1" s="1"/>
  <c r="K18" i="136"/>
  <c r="O2504" i="1" s="1"/>
  <c r="K19" i="136"/>
  <c r="O2505" i="1" s="1"/>
  <c r="K20" i="136"/>
  <c r="O2506" i="1" s="1"/>
  <c r="K21" i="136"/>
  <c r="O2507" i="1" s="1"/>
  <c r="K22" i="136"/>
  <c r="O2508" i="1" s="1"/>
  <c r="K23" i="136"/>
  <c r="K24" i="136"/>
  <c r="K25" i="136"/>
  <c r="K26" i="136"/>
  <c r="K27" i="136"/>
  <c r="K28" i="136"/>
  <c r="O2518" i="1" s="1"/>
  <c r="K29" i="136"/>
  <c r="O2519" i="1" s="1"/>
  <c r="K30" i="136"/>
  <c r="O2520" i="1" s="1"/>
  <c r="K31" i="136"/>
  <c r="O2521" i="1" s="1"/>
  <c r="K32" i="136"/>
  <c r="O2522" i="1" s="1"/>
  <c r="K34" i="136"/>
  <c r="K35" i="136"/>
  <c r="K36" i="136"/>
  <c r="K37" i="136"/>
  <c r="K38" i="136"/>
  <c r="K39" i="136"/>
  <c r="K40" i="136"/>
  <c r="O2532" i="1" s="1"/>
  <c r="K41" i="136"/>
  <c r="O2533" i="1" s="1"/>
  <c r="K42" i="136"/>
  <c r="O2534" i="1" s="1"/>
  <c r="K43" i="136"/>
  <c r="K44" i="136"/>
  <c r="K45" i="136"/>
  <c r="K46" i="136"/>
  <c r="K47" i="136"/>
  <c r="O2536" i="1" s="1"/>
  <c r="K48" i="136"/>
  <c r="O2537" i="1" s="1"/>
  <c r="K49" i="136"/>
  <c r="O2538" i="1" s="1"/>
  <c r="K50" i="136"/>
  <c r="O2539" i="1" s="1"/>
  <c r="K51" i="136"/>
  <c r="K52" i="136"/>
  <c r="K53" i="136"/>
  <c r="O2541" i="1" s="1"/>
  <c r="K54" i="136"/>
  <c r="K55" i="136"/>
  <c r="K56" i="136"/>
  <c r="K57" i="136"/>
  <c r="K58" i="136"/>
  <c r="K59" i="136"/>
  <c r="K60" i="136"/>
  <c r="K61" i="136"/>
  <c r="K62" i="136"/>
  <c r="K63" i="136"/>
  <c r="K64" i="136"/>
  <c r="O2544" i="1" s="1"/>
  <c r="K66" i="136"/>
  <c r="K67" i="136"/>
  <c r="K68" i="136"/>
  <c r="K69" i="136"/>
  <c r="K70" i="136"/>
  <c r="K71" i="136"/>
  <c r="O2548" i="1" s="1"/>
  <c r="K72" i="136"/>
  <c r="O2549" i="1" s="1"/>
  <c r="K73" i="136"/>
  <c r="O2550" i="1" s="1"/>
  <c r="K74" i="136"/>
  <c r="O2551" i="1" s="1"/>
  <c r="K75" i="136"/>
  <c r="O2552" i="1" s="1"/>
  <c r="K76" i="136"/>
  <c r="O2553" i="1" s="1"/>
  <c r="K77" i="136"/>
  <c r="O2554" i="1" s="1"/>
  <c r="K78" i="136"/>
  <c r="O2555" i="1" s="1"/>
  <c r="K79" i="136"/>
  <c r="O2556" i="1" s="1"/>
  <c r="K80" i="136"/>
  <c r="O2557" i="1" s="1"/>
  <c r="K81" i="136"/>
  <c r="O2558" i="1" s="1"/>
  <c r="K82" i="136"/>
  <c r="O2559" i="1" s="1"/>
  <c r="K83" i="136"/>
  <c r="K84" i="136"/>
  <c r="O2631" i="1" s="1"/>
  <c r="K85" i="136"/>
  <c r="K86" i="136"/>
  <c r="K87" i="136"/>
  <c r="K88" i="136"/>
  <c r="K89" i="136"/>
  <c r="K90" i="136"/>
  <c r="K91" i="136"/>
  <c r="K93" i="136"/>
  <c r="K94" i="136"/>
  <c r="O2600" i="1" s="1"/>
  <c r="K95" i="136"/>
  <c r="O2626" i="1" s="1"/>
  <c r="K96" i="136"/>
  <c r="O2629" i="1" s="1"/>
  <c r="K98" i="136"/>
  <c r="K99" i="136"/>
  <c r="K100" i="136"/>
  <c r="K101" i="136"/>
  <c r="K102" i="136"/>
  <c r="K103" i="136"/>
  <c r="O2587" i="1" s="1"/>
  <c r="K104" i="136"/>
  <c r="O2586" i="1" s="1"/>
  <c r="K105" i="136"/>
  <c r="O2588" i="1" s="1"/>
  <c r="K106" i="136"/>
  <c r="O2589" i="1" s="1"/>
  <c r="K107" i="136"/>
  <c r="O2590" i="1" s="1"/>
  <c r="K109" i="136"/>
  <c r="K110" i="136"/>
  <c r="K111" i="136"/>
  <c r="K112" i="136"/>
  <c r="K113" i="136"/>
  <c r="K114" i="136"/>
  <c r="K115" i="136"/>
  <c r="K116" i="136"/>
  <c r="K117" i="136"/>
  <c r="K118" i="136"/>
  <c r="O2594" i="1" s="1"/>
  <c r="K119" i="136"/>
  <c r="O2595" i="1" s="1"/>
  <c r="K120" i="136"/>
  <c r="O2596" i="1" s="1"/>
  <c r="K121" i="136"/>
  <c r="O2597" i="1" s="1"/>
  <c r="K122" i="136"/>
  <c r="K123" i="136"/>
  <c r="K124" i="136"/>
  <c r="O2601" i="1" s="1"/>
  <c r="K125" i="136"/>
  <c r="O2602" i="1" s="1"/>
  <c r="K126" i="136"/>
  <c r="K127" i="136"/>
  <c r="K128" i="136"/>
  <c r="O2604" i="1" s="1"/>
  <c r="K129" i="136"/>
  <c r="O2605" i="1" s="1"/>
  <c r="K130" i="136"/>
  <c r="O2606" i="1" s="1"/>
  <c r="K131" i="136"/>
  <c r="O2607" i="1" s="1"/>
  <c r="K132" i="136"/>
  <c r="K133" i="136"/>
  <c r="O2609" i="1" s="1"/>
  <c r="K134" i="136"/>
  <c r="O2610" i="1" s="1"/>
  <c r="K135" i="136"/>
  <c r="O2611" i="1" s="1"/>
  <c r="K136" i="136"/>
  <c r="O2612" i="1" s="1"/>
  <c r="K137" i="136"/>
  <c r="O2613" i="1" s="1"/>
  <c r="K138" i="136"/>
  <c r="O2614" i="1" s="1"/>
  <c r="K139" i="136"/>
  <c r="O2615" i="1" s="1"/>
  <c r="K140" i="136"/>
  <c r="O2616" i="1" s="1"/>
  <c r="K142" i="136"/>
  <c r="K143" i="136"/>
  <c r="K144" i="136"/>
  <c r="K145" i="136"/>
  <c r="K146" i="136"/>
  <c r="K147" i="136"/>
  <c r="K148" i="136"/>
  <c r="K149" i="136"/>
  <c r="K150" i="136"/>
  <c r="K151" i="136"/>
  <c r="K152" i="136"/>
  <c r="K153" i="136"/>
  <c r="K154" i="136"/>
  <c r="K155" i="136"/>
  <c r="K156" i="136"/>
  <c r="O2598" i="1" s="1"/>
  <c r="K157" i="136"/>
  <c r="K158" i="136"/>
  <c r="K159" i="136"/>
  <c r="D2985" i="1"/>
  <c r="D3069" i="1" s="1"/>
  <c r="O2988" i="1"/>
  <c r="D2999" i="1"/>
  <c r="D3000" i="1"/>
  <c r="D3001" i="1"/>
  <c r="D3002" i="1"/>
  <c r="D3003" i="1"/>
  <c r="D3014" i="1"/>
  <c r="D3015" i="1"/>
  <c r="D3016" i="1"/>
  <c r="D3017" i="1"/>
  <c r="D3045" i="1"/>
  <c r="D3046" i="1"/>
  <c r="D3047" i="1"/>
  <c r="D3048" i="1"/>
  <c r="D3049" i="1"/>
  <c r="D3050" i="1"/>
  <c r="D3051" i="1"/>
  <c r="D3052" i="1"/>
  <c r="D3053" i="1"/>
  <c r="D3054" i="1"/>
  <c r="O3072" i="1"/>
  <c r="D3102" i="1"/>
  <c r="D3103" i="1"/>
  <c r="D3104" i="1"/>
  <c r="D3105" i="1"/>
  <c r="D3106" i="1"/>
  <c r="D3107" i="1"/>
  <c r="D3108" i="1"/>
  <c r="D3109" i="1"/>
  <c r="D3110" i="1"/>
  <c r="D3111" i="1"/>
  <c r="D2820" i="1"/>
  <c r="D2904" i="1" s="1"/>
  <c r="M2823" i="1"/>
  <c r="D2834" i="1"/>
  <c r="D2835" i="1"/>
  <c r="D2836" i="1"/>
  <c r="D2837" i="1"/>
  <c r="D2838" i="1"/>
  <c r="D2849" i="1"/>
  <c r="D2850" i="1"/>
  <c r="D2851" i="1"/>
  <c r="D2852" i="1"/>
  <c r="D2880" i="1"/>
  <c r="D2881" i="1"/>
  <c r="D2882" i="1"/>
  <c r="D2883" i="1"/>
  <c r="D2884" i="1"/>
  <c r="D2885" i="1"/>
  <c r="D2886" i="1"/>
  <c r="D2887" i="1"/>
  <c r="D2888" i="1"/>
  <c r="D2889" i="1"/>
  <c r="M2907" i="1"/>
  <c r="D2937" i="1"/>
  <c r="D2938" i="1"/>
  <c r="D2939" i="1"/>
  <c r="D2940" i="1"/>
  <c r="D2941" i="1"/>
  <c r="D2942" i="1"/>
  <c r="D2943" i="1"/>
  <c r="D2944" i="1"/>
  <c r="D2945" i="1"/>
  <c r="D2946" i="1"/>
  <c r="D2655" i="1"/>
  <c r="D2739" i="1" s="1"/>
  <c r="O2658" i="1"/>
  <c r="D2669" i="1"/>
  <c r="D2670" i="1"/>
  <c r="D2671" i="1"/>
  <c r="D2672" i="1"/>
  <c r="D2673" i="1"/>
  <c r="D2684" i="1"/>
  <c r="D2685" i="1"/>
  <c r="D2686" i="1"/>
  <c r="D2687" i="1"/>
  <c r="D2715" i="1"/>
  <c r="D2716" i="1"/>
  <c r="D2717" i="1"/>
  <c r="D2718" i="1"/>
  <c r="D2719" i="1"/>
  <c r="D2720" i="1"/>
  <c r="D2721" i="1"/>
  <c r="D2722" i="1"/>
  <c r="D2723" i="1"/>
  <c r="D2724" i="1"/>
  <c r="O2742" i="1"/>
  <c r="D2772" i="1"/>
  <c r="D2773" i="1"/>
  <c r="D2774" i="1"/>
  <c r="D2775" i="1"/>
  <c r="D2776" i="1"/>
  <c r="D2777" i="1"/>
  <c r="D2778" i="1"/>
  <c r="D2779" i="1"/>
  <c r="D2780" i="1"/>
  <c r="D2781" i="1"/>
  <c r="D2490" i="1"/>
  <c r="D2574" i="1" s="1"/>
  <c r="M2493" i="1"/>
  <c r="D2504" i="1"/>
  <c r="D2505" i="1"/>
  <c r="D2506" i="1"/>
  <c r="D2507" i="1"/>
  <c r="D2508" i="1"/>
  <c r="D2519" i="1"/>
  <c r="D2520" i="1"/>
  <c r="D2521" i="1"/>
  <c r="D2522" i="1"/>
  <c r="D2550" i="1"/>
  <c r="D2551" i="1"/>
  <c r="D2552" i="1"/>
  <c r="D2553" i="1"/>
  <c r="D2554" i="1"/>
  <c r="D2555" i="1"/>
  <c r="D2556" i="1"/>
  <c r="D2557" i="1"/>
  <c r="D2558" i="1"/>
  <c r="D2559" i="1"/>
  <c r="M2577" i="1"/>
  <c r="D2607" i="1"/>
  <c r="D2608" i="1"/>
  <c r="D2609" i="1"/>
  <c r="D2610" i="1"/>
  <c r="D2611" i="1"/>
  <c r="D2612" i="1"/>
  <c r="D2613" i="1"/>
  <c r="D2614" i="1"/>
  <c r="D2615" i="1"/>
  <c r="D2616" i="1"/>
  <c r="O2468" i="1" l="1"/>
  <c r="O2467" i="1"/>
  <c r="O2515" i="1"/>
  <c r="U2515" i="1" s="1"/>
  <c r="O2845" i="1"/>
  <c r="U2845" i="1" s="1"/>
  <c r="O2593" i="1"/>
  <c r="O2592" i="1"/>
  <c r="O2627" i="1"/>
  <c r="O2495" i="1"/>
  <c r="U2495" i="1" s="1"/>
  <c r="O2540" i="1"/>
  <c r="O2876" i="1"/>
  <c r="O2825" i="1"/>
  <c r="U2825" i="1" s="1"/>
  <c r="O2870" i="1"/>
  <c r="O2827" i="1"/>
  <c r="U2827" i="1" s="1"/>
  <c r="O2628" i="1"/>
  <c r="O2546" i="1"/>
  <c r="O2543" i="1"/>
  <c r="O2547" i="1"/>
  <c r="O2542" i="1"/>
  <c r="O2603" i="1"/>
  <c r="O2599" i="1"/>
  <c r="O2922" i="1"/>
  <c r="O2915" i="1"/>
  <c r="O2958" i="1"/>
  <c r="O2877" i="1"/>
  <c r="O2872" i="1"/>
  <c r="O2865" i="1"/>
  <c r="O2968" i="1"/>
  <c r="U2968" i="1" s="1"/>
  <c r="O2960" i="1"/>
  <c r="O2923" i="1"/>
  <c r="O2839" i="1"/>
  <c r="O2930" i="1"/>
  <c r="O2933" i="1"/>
  <c r="O2929" i="1"/>
  <c r="O2957" i="1"/>
  <c r="O2873" i="1"/>
  <c r="O2832" i="1"/>
  <c r="O2638" i="1"/>
  <c r="U2638" i="1" s="1"/>
  <c r="O2535" i="1"/>
  <c r="O2502" i="1"/>
  <c r="O2585" i="1"/>
  <c r="O2509" i="1"/>
  <c r="O2608" i="1"/>
  <c r="O2630" i="1"/>
  <c r="K163" i="190"/>
  <c r="K164" i="190"/>
  <c r="K165" i="190"/>
  <c r="K160" i="136"/>
  <c r="K161" i="136"/>
  <c r="K163" i="136"/>
  <c r="K164" i="136"/>
  <c r="K165" i="136"/>
  <c r="O2529" i="1" l="1"/>
  <c r="U2529" i="1" s="1"/>
  <c r="O2623" i="1"/>
  <c r="U2623" i="1" s="1"/>
  <c r="O2859" i="1"/>
  <c r="U2859" i="1" s="1"/>
  <c r="O2953" i="1"/>
  <c r="U2953" i="1" s="1"/>
  <c r="O2582" i="1"/>
  <c r="U2582" i="1" s="1"/>
  <c r="O2499" i="1"/>
  <c r="U2499" i="1" s="1"/>
  <c r="O2513" i="1" s="1"/>
  <c r="O2829" i="1"/>
  <c r="U2829" i="1" s="1"/>
  <c r="O2912" i="1"/>
  <c r="U2912" i="1" s="1"/>
  <c r="O2527" i="1" l="1"/>
  <c r="O2843" i="1"/>
  <c r="O2636" i="1"/>
  <c r="O2579" i="1"/>
  <c r="O2621" i="1"/>
  <c r="O2971" i="1"/>
  <c r="O2563" i="1"/>
  <c r="O2951" i="1"/>
  <c r="O2966" i="1"/>
  <c r="O2909" i="1"/>
  <c r="O2893" i="1"/>
  <c r="O2857" i="1"/>
  <c r="O2641" i="1"/>
  <c r="X2579" i="1" l="1"/>
  <c r="X2909" i="1"/>
  <c r="M107" i="192"/>
  <c r="G107" i="192" s="1"/>
  <c r="I107" i="192" s="1"/>
  <c r="O2890" i="246" s="1"/>
  <c r="K107" i="192"/>
  <c r="O3250" i="1" s="1"/>
  <c r="M107" i="190"/>
  <c r="G107" i="190" s="1"/>
  <c r="I107" i="190" s="1"/>
  <c r="O2725" i="246" s="1"/>
  <c r="M107" i="136"/>
  <c r="G107" i="136" s="1"/>
  <c r="I107" i="136" s="1"/>
  <c r="O2560" i="246" s="1"/>
  <c r="P107" i="5"/>
  <c r="J107" i="5" s="1"/>
  <c r="L107" i="5" s="1"/>
  <c r="O2383" i="246" s="1"/>
  <c r="R2383" i="246" s="1"/>
  <c r="N107" i="5"/>
  <c r="O2413" i="1" s="1"/>
  <c r="O3085" i="1" l="1"/>
  <c r="M2920" i="1"/>
  <c r="O2755" i="1"/>
  <c r="M2590" i="1"/>
  <c r="M2413" i="1"/>
  <c r="O3415" i="1"/>
  <c r="M3250" i="1"/>
  <c r="R2413" i="1" l="1"/>
  <c r="C1719" i="1"/>
  <c r="P348" i="5"/>
  <c r="J348" i="5" s="1"/>
  <c r="N348" i="5"/>
  <c r="P343" i="5"/>
  <c r="J343" i="5" s="1"/>
  <c r="N343" i="5"/>
  <c r="M348" i="192"/>
  <c r="G348" i="192" s="1"/>
  <c r="I348" i="192" s="1"/>
  <c r="K348" i="192"/>
  <c r="M343" i="192"/>
  <c r="G343" i="192" s="1"/>
  <c r="I343" i="192" s="1"/>
  <c r="K343" i="192"/>
  <c r="M348" i="190"/>
  <c r="G348" i="190" s="1"/>
  <c r="I348" i="190" s="1"/>
  <c r="K348" i="190"/>
  <c r="M343" i="190"/>
  <c r="G343" i="190" s="1"/>
  <c r="I343" i="190" s="1"/>
  <c r="K343" i="190"/>
  <c r="M348" i="136"/>
  <c r="G348" i="136" s="1"/>
  <c r="I348" i="136" s="1"/>
  <c r="K348" i="136"/>
  <c r="M343" i="136"/>
  <c r="G343" i="136" s="1"/>
  <c r="I343" i="136" s="1"/>
  <c r="K343" i="136"/>
  <c r="L348" i="5" l="1"/>
  <c r="L343" i="5"/>
  <c r="P331" i="5"/>
  <c r="J331" i="5" s="1"/>
  <c r="N331" i="5"/>
  <c r="P320" i="5"/>
  <c r="J320" i="5" s="1"/>
  <c r="N320" i="5"/>
  <c r="M331" i="192"/>
  <c r="G331" i="192" s="1"/>
  <c r="I331" i="192" s="1"/>
  <c r="K331" i="192"/>
  <c r="M320" i="192"/>
  <c r="G320" i="192" s="1"/>
  <c r="I320" i="192" s="1"/>
  <c r="K320" i="192"/>
  <c r="M331" i="190"/>
  <c r="G331" i="190" s="1"/>
  <c r="I331" i="190" s="1"/>
  <c r="K331" i="190"/>
  <c r="M320" i="190"/>
  <c r="G320" i="190" s="1"/>
  <c r="I320" i="190" s="1"/>
  <c r="K320" i="190"/>
  <c r="M331" i="136"/>
  <c r="G331" i="136" s="1"/>
  <c r="I331" i="136" s="1"/>
  <c r="K331" i="136"/>
  <c r="M320" i="136"/>
  <c r="G320" i="136" s="1"/>
  <c r="I320" i="136" s="1"/>
  <c r="K320" i="136"/>
  <c r="C2160" i="1" l="1"/>
  <c r="L320" i="5" l="1"/>
  <c r="L331" i="5"/>
  <c r="C1930" i="1"/>
  <c r="C1931" i="1"/>
  <c r="C1932" i="1"/>
  <c r="C1933" i="1"/>
  <c r="C1934" i="1"/>
  <c r="C1935" i="1"/>
  <c r="C1936" i="1"/>
  <c r="C1937" i="1"/>
  <c r="C1938" i="1"/>
  <c r="C1939" i="1"/>
  <c r="K130" i="89" l="1"/>
  <c r="K135" i="89" l="1"/>
  <c r="K134" i="89"/>
  <c r="K167" i="89" l="1"/>
  <c r="C256" i="231" l="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18" i="230" s="1"/>
  <c r="G8" i="230"/>
  <c r="G6" i="230"/>
  <c r="E3" i="230"/>
  <c r="C2" i="230"/>
  <c r="H89" i="167"/>
  <c r="G89" i="167"/>
  <c r="H72" i="167"/>
  <c r="G72" i="167"/>
  <c r="H52" i="167"/>
  <c r="G52" i="167"/>
  <c r="H35" i="167"/>
  <c r="G35" i="167"/>
  <c r="H18" i="167"/>
  <c r="G18" i="167"/>
  <c r="G37" i="178"/>
  <c r="H37" i="178"/>
  <c r="H22" i="187"/>
  <c r="G22" i="187"/>
  <c r="C258" i="231" l="1"/>
  <c r="G21" i="230"/>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E44" i="231" l="1"/>
  <c r="F44" i="231" s="1"/>
  <c r="G44" i="231" s="1"/>
  <c r="E45" i="231" l="1"/>
  <c r="F45" i="231" s="1"/>
  <c r="G45" i="231" s="1"/>
  <c r="E46" i="231" l="1"/>
  <c r="F46" i="231" s="1"/>
  <c r="G46" i="231" s="1"/>
  <c r="E47" i="231" l="1"/>
  <c r="F47" i="231" s="1"/>
  <c r="G47" i="231"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393" i="1"/>
  <c r="R2309" i="1"/>
  <c r="D2393" i="1"/>
  <c r="D2309" i="1"/>
  <c r="E60" i="231" l="1"/>
  <c r="F60" i="231" s="1"/>
  <c r="G60" i="231" s="1"/>
  <c r="C22" i="168"/>
  <c r="C21" i="168"/>
  <c r="C20" i="168"/>
  <c r="C19" i="168"/>
  <c r="G6" i="206"/>
  <c r="E3" i="206"/>
  <c r="C2" i="206"/>
  <c r="E61" i="231" l="1"/>
  <c r="F61" i="231" s="1"/>
  <c r="G61" i="231" s="1"/>
  <c r="M199" i="192"/>
  <c r="G199" i="192" s="1"/>
  <c r="K199" i="192"/>
  <c r="F199" i="192" s="1"/>
  <c r="M198" i="192"/>
  <c r="G198" i="192" s="1"/>
  <c r="K198" i="192"/>
  <c r="F198" i="192" s="1"/>
  <c r="M199" i="190"/>
  <c r="G199" i="190" s="1"/>
  <c r="K199" i="190"/>
  <c r="F199" i="190" s="1"/>
  <c r="M198" i="190"/>
  <c r="G198" i="190" s="1"/>
  <c r="K198" i="190"/>
  <c r="F198" i="190" s="1"/>
  <c r="M199" i="136"/>
  <c r="G199" i="136" s="1"/>
  <c r="K199" i="136"/>
  <c r="F199" i="136" s="1"/>
  <c r="M198" i="136"/>
  <c r="G198" i="136" s="1"/>
  <c r="K198" i="136"/>
  <c r="F198" i="136" s="1"/>
  <c r="E62" i="231" l="1"/>
  <c r="F62" i="231" s="1"/>
  <c r="G62" i="231" s="1"/>
  <c r="I198" i="136"/>
  <c r="F198" i="5" s="1"/>
  <c r="I199" i="136"/>
  <c r="F199" i="5" s="1"/>
  <c r="I198" i="192"/>
  <c r="H198" i="5" s="1"/>
  <c r="I199" i="192"/>
  <c r="H199" i="5" s="1"/>
  <c r="I199" i="190"/>
  <c r="G199" i="5" s="1"/>
  <c r="I198" i="190"/>
  <c r="G198" i="5" s="1"/>
  <c r="C1175" i="1"/>
  <c r="C1174" i="1"/>
  <c r="C1173" i="1"/>
  <c r="C1164" i="1"/>
  <c r="C1163" i="1"/>
  <c r="C1162" i="1"/>
  <c r="C1153" i="1"/>
  <c r="C1152" i="1"/>
  <c r="C1151" i="1"/>
  <c r="M152" i="192"/>
  <c r="G152" i="192" s="1"/>
  <c r="I152" i="192" s="1"/>
  <c r="O1174" i="246" s="1"/>
  <c r="R1174" i="246" s="1"/>
  <c r="K152" i="192"/>
  <c r="O1175" i="1" s="1"/>
  <c r="M151" i="192"/>
  <c r="G151" i="192" s="1"/>
  <c r="I151" i="192" s="1"/>
  <c r="O1173" i="246" s="1"/>
  <c r="R1173" i="246" s="1"/>
  <c r="K151" i="192"/>
  <c r="O1174" i="1" s="1"/>
  <c r="M150" i="192"/>
  <c r="G150" i="192" s="1"/>
  <c r="I150" i="192" s="1"/>
  <c r="O1172" i="246" s="1"/>
  <c r="R1172" i="246" s="1"/>
  <c r="K150" i="192"/>
  <c r="O1173" i="1" s="1"/>
  <c r="M152" i="136"/>
  <c r="G152" i="136" s="1"/>
  <c r="I152" i="136" s="1"/>
  <c r="O1152" i="246" s="1"/>
  <c r="R1152" i="246" s="1"/>
  <c r="O1153" i="1"/>
  <c r="M151" i="136"/>
  <c r="G151" i="136" s="1"/>
  <c r="I151" i="136" s="1"/>
  <c r="O1151" i="246" s="1"/>
  <c r="R1151" i="246" s="1"/>
  <c r="O1152" i="1"/>
  <c r="M150" i="136"/>
  <c r="G150" i="136" s="1"/>
  <c r="I150" i="136" s="1"/>
  <c r="O1150" i="246" s="1"/>
  <c r="R1150" i="246" s="1"/>
  <c r="O1151" i="1"/>
  <c r="M152" i="190"/>
  <c r="G152" i="190" s="1"/>
  <c r="I152" i="190" s="1"/>
  <c r="O1163" i="246" s="1"/>
  <c r="R1163" i="246" s="1"/>
  <c r="O1164" i="1"/>
  <c r="M151" i="190"/>
  <c r="G151" i="190" s="1"/>
  <c r="I151" i="190" s="1"/>
  <c r="O1162" i="246" s="1"/>
  <c r="R1162" i="246" s="1"/>
  <c r="O1163" i="1"/>
  <c r="M150" i="190"/>
  <c r="G150" i="190" s="1"/>
  <c r="I150" i="190" s="1"/>
  <c r="O1161" i="246" s="1"/>
  <c r="R1161" i="246" s="1"/>
  <c r="O1162" i="1"/>
  <c r="M1162" i="1" l="1"/>
  <c r="R1162" i="1" s="1"/>
  <c r="M1164" i="1"/>
  <c r="R1164" i="1" s="1"/>
  <c r="M1173" i="1"/>
  <c r="R1173" i="1" s="1"/>
  <c r="M1175" i="1"/>
  <c r="R1175" i="1" s="1"/>
  <c r="M1163" i="1"/>
  <c r="R1163" i="1" s="1"/>
  <c r="M1174" i="1"/>
  <c r="R1174" i="1" s="1"/>
  <c r="E63" i="231"/>
  <c r="F63" i="231" s="1"/>
  <c r="G63" i="231" s="1"/>
  <c r="M1152" i="1"/>
  <c r="R1152" i="1" s="1"/>
  <c r="M1151" i="1"/>
  <c r="R1151" i="1" s="1"/>
  <c r="M1153" i="1"/>
  <c r="R1153" i="1" s="1"/>
  <c r="E64" i="231" l="1"/>
  <c r="F64" i="231" s="1"/>
  <c r="G64" i="231" s="1"/>
  <c r="E65" i="231" l="1"/>
  <c r="F65" i="231" s="1"/>
  <c r="G65" i="231" s="1"/>
  <c r="E66" i="231" l="1"/>
  <c r="F66" i="231" s="1"/>
  <c r="G66" i="231" s="1"/>
  <c r="K386" i="89"/>
  <c r="K385" i="89"/>
  <c r="K384" i="89"/>
  <c r="K383" i="89"/>
  <c r="K382" i="89"/>
  <c r="K381" i="89"/>
  <c r="K380" i="89"/>
  <c r="K379" i="89"/>
  <c r="K378" i="89"/>
  <c r="K377" i="89"/>
  <c r="K376" i="89"/>
  <c r="K375" i="89"/>
  <c r="K374" i="89"/>
  <c r="K373" i="89"/>
  <c r="K372" i="89"/>
  <c r="K371" i="89"/>
  <c r="K370" i="89"/>
  <c r="K369" i="89"/>
  <c r="K368" i="89"/>
  <c r="K367" i="89"/>
  <c r="K366" i="89"/>
  <c r="K365" i="89"/>
  <c r="K364" i="89"/>
  <c r="K363" i="89"/>
  <c r="K362" i="89"/>
  <c r="K361" i="89"/>
  <c r="K360" i="89"/>
  <c r="K359" i="89"/>
  <c r="K358" i="89"/>
  <c r="K357" i="89"/>
  <c r="K356" i="89"/>
  <c r="K355" i="89"/>
  <c r="K354" i="89"/>
  <c r="K353" i="89"/>
  <c r="K352" i="89"/>
  <c r="K351" i="89"/>
  <c r="K350" i="89"/>
  <c r="K349" i="89"/>
  <c r="K348" i="89"/>
  <c r="K347" i="89"/>
  <c r="K346" i="89"/>
  <c r="K345" i="89"/>
  <c r="K344" i="89"/>
  <c r="K343" i="89"/>
  <c r="K342" i="89"/>
  <c r="K341" i="89"/>
  <c r="K340" i="89"/>
  <c r="K339" i="89"/>
  <c r="K338" i="89"/>
  <c r="K337" i="89"/>
  <c r="K336" i="89"/>
  <c r="K335" i="89"/>
  <c r="K334" i="89"/>
  <c r="K333" i="89"/>
  <c r="K332" i="89"/>
  <c r="K331" i="89"/>
  <c r="K330" i="89"/>
  <c r="K329" i="89"/>
  <c r="K328" i="89"/>
  <c r="K327" i="89"/>
  <c r="K326" i="89"/>
  <c r="K325" i="89"/>
  <c r="K324" i="89"/>
  <c r="K323" i="89"/>
  <c r="K322" i="89"/>
  <c r="K321" i="89"/>
  <c r="K320" i="89"/>
  <c r="K319" i="89"/>
  <c r="K318" i="89"/>
  <c r="K317" i="89"/>
  <c r="K316" i="89"/>
  <c r="K315" i="89"/>
  <c r="K314" i="89"/>
  <c r="K166" i="89"/>
  <c r="K165" i="89"/>
  <c r="K164" i="89"/>
  <c r="K163" i="89"/>
  <c r="K162" i="89"/>
  <c r="K161" i="89"/>
  <c r="K160" i="89"/>
  <c r="K159" i="89"/>
  <c r="K158" i="89"/>
  <c r="K157" i="89"/>
  <c r="K156" i="89"/>
  <c r="K155" i="89"/>
  <c r="K154" i="89"/>
  <c r="K153" i="89"/>
  <c r="K152" i="89"/>
  <c r="K151" i="89"/>
  <c r="K150" i="89"/>
  <c r="K149" i="89"/>
  <c r="K138" i="89"/>
  <c r="K137" i="89"/>
  <c r="K136" i="89"/>
  <c r="K133" i="89"/>
  <c r="K132" i="89"/>
  <c r="K131" i="89"/>
  <c r="K129" i="89"/>
  <c r="C337" i="4"/>
  <c r="C332" i="4"/>
  <c r="P198" i="5"/>
  <c r="N198" i="5"/>
  <c r="O1937" i="1" s="1"/>
  <c r="P197" i="5"/>
  <c r="N197" i="5"/>
  <c r="O1936" i="1" s="1"/>
  <c r="E67" i="231" l="1"/>
  <c r="F67" i="231" s="1"/>
  <c r="G67" i="231" s="1"/>
  <c r="I197" i="5"/>
  <c r="H19" i="168"/>
  <c r="I198" i="5"/>
  <c r="H20" i="168"/>
  <c r="E68" i="231" l="1"/>
  <c r="F68" i="231" s="1"/>
  <c r="G68" i="231" s="1"/>
  <c r="C1139" i="1"/>
  <c r="C1138" i="1"/>
  <c r="C1137" i="1"/>
  <c r="P149" i="5"/>
  <c r="N149" i="5"/>
  <c r="P148" i="5"/>
  <c r="N148" i="5"/>
  <c r="P147" i="5"/>
  <c r="J147" i="5" s="1"/>
  <c r="L147" i="5" s="1"/>
  <c r="O1136" i="246" s="1"/>
  <c r="R1136" i="246" s="1"/>
  <c r="N147" i="5"/>
  <c r="E69" i="231" l="1"/>
  <c r="F69" i="231" s="1"/>
  <c r="G69" i="231" s="1"/>
  <c r="M1137" i="1"/>
  <c r="O1138" i="1"/>
  <c r="O1137" i="1"/>
  <c r="O1139" i="1"/>
  <c r="E70" i="231" l="1"/>
  <c r="F70" i="231" s="1"/>
  <c r="G70" i="231" s="1"/>
  <c r="R1137" i="1"/>
  <c r="N386" i="5"/>
  <c r="O2186" i="1" s="1"/>
  <c r="E71" i="231" l="1"/>
  <c r="F71" i="231" s="1"/>
  <c r="G71" i="231" s="1"/>
  <c r="E72" i="231" l="1"/>
  <c r="F72" i="231" s="1"/>
  <c r="G72" i="231" s="1"/>
  <c r="E73" i="231" l="1"/>
  <c r="F73" i="231" s="1"/>
  <c r="G73" i="231" s="1"/>
  <c r="E74" i="231" l="1"/>
  <c r="F74" i="231" s="1"/>
  <c r="G74" i="231" s="1"/>
  <c r="E75" i="231" l="1"/>
  <c r="F75" i="231" s="1"/>
  <c r="G75" i="231" s="1"/>
  <c r="K128" i="89"/>
  <c r="K127" i="89"/>
  <c r="K126" i="89"/>
  <c r="K125" i="89"/>
  <c r="K124" i="89"/>
  <c r="K123" i="89"/>
  <c r="K122" i="89"/>
  <c r="K121" i="89"/>
  <c r="K120" i="89"/>
  <c r="K119" i="89"/>
  <c r="K118" i="89"/>
  <c r="K117" i="89"/>
  <c r="K116" i="89"/>
  <c r="K115" i="89"/>
  <c r="K114" i="89"/>
  <c r="K113" i="89"/>
  <c r="K112" i="89"/>
  <c r="K111" i="89"/>
  <c r="K110" i="89"/>
  <c r="K109" i="89"/>
  <c r="K108" i="89"/>
  <c r="K107" i="89"/>
  <c r="K106" i="89"/>
  <c r="K105" i="89"/>
  <c r="K104" i="89"/>
  <c r="K103" i="89"/>
  <c r="K102" i="89"/>
  <c r="E76" i="231" l="1"/>
  <c r="F76" i="231" s="1"/>
  <c r="G76" i="231" s="1"/>
  <c r="C2114" i="1"/>
  <c r="C2113" i="1"/>
  <c r="E77" i="231" l="1"/>
  <c r="F77" i="231" s="1"/>
  <c r="G77" i="231" s="1"/>
  <c r="E78" i="231" l="1"/>
  <c r="F78" i="231" s="1"/>
  <c r="G78" i="231" s="1"/>
  <c r="K141" i="89"/>
  <c r="E79" i="231" l="1"/>
  <c r="F79" i="231" s="1"/>
  <c r="G79" i="231" s="1"/>
  <c r="E80" i="231" l="1"/>
  <c r="F80" i="231" s="1"/>
  <c r="G80" i="231" s="1"/>
  <c r="E81" i="231" l="1"/>
  <c r="F81" i="231" s="1"/>
  <c r="G81" i="231" s="1"/>
  <c r="G24" i="4"/>
  <c r="D263" i="246" l="1"/>
  <c r="D264" i="1"/>
  <c r="I8" i="89"/>
  <c r="E82" i="231"/>
  <c r="F82" i="231" s="1"/>
  <c r="G82" i="231" s="1"/>
  <c r="E83" i="231" l="1"/>
  <c r="F83" i="231" s="1"/>
  <c r="G83" i="231" s="1"/>
  <c r="E84" i="231" l="1"/>
  <c r="F84" i="231" s="1"/>
  <c r="G84" i="231" s="1"/>
  <c r="K140" i="89"/>
  <c r="K139" i="89"/>
  <c r="K101" i="89"/>
  <c r="K100" i="89"/>
  <c r="K99" i="89"/>
  <c r="E85" i="231" l="1"/>
  <c r="F85" i="231" s="1"/>
  <c r="G85" i="231" s="1"/>
  <c r="E86" i="231" l="1"/>
  <c r="F86" i="231" s="1"/>
  <c r="G86" i="231" s="1"/>
  <c r="E87" i="231" l="1"/>
  <c r="F87" i="231" s="1"/>
  <c r="G87" i="231" s="1"/>
  <c r="E88" i="231" l="1"/>
  <c r="F88" i="231" s="1"/>
  <c r="G88" i="231" s="1"/>
  <c r="E89" i="231" l="1"/>
  <c r="F89" i="231" s="1"/>
  <c r="G89" i="231" s="1"/>
  <c r="E90" i="231" l="1"/>
  <c r="F90" i="231" s="1"/>
  <c r="G90" i="231" s="1"/>
  <c r="R85" i="1"/>
  <c r="R86" i="1"/>
  <c r="R87" i="1"/>
  <c r="R88" i="1"/>
  <c r="E91" i="231" l="1"/>
  <c r="F91" i="231" s="1"/>
  <c r="G91" i="231" s="1"/>
  <c r="K148" i="89"/>
  <c r="K147" i="89"/>
  <c r="K146" i="89"/>
  <c r="K145" i="89"/>
  <c r="K144" i="89"/>
  <c r="K143" i="89"/>
  <c r="K142" i="89"/>
  <c r="K98" i="89"/>
  <c r="K97" i="89"/>
  <c r="K96" i="89"/>
  <c r="K95" i="89"/>
  <c r="K94" i="89"/>
  <c r="K93" i="89"/>
  <c r="K92" i="89"/>
  <c r="K91" i="89"/>
  <c r="K90" i="89"/>
  <c r="K89" i="89"/>
  <c r="K88" i="89"/>
  <c r="K293" i="89"/>
  <c r="K292" i="89"/>
  <c r="E92" i="231" l="1"/>
  <c r="F92" i="231" s="1"/>
  <c r="G92" i="231" s="1"/>
  <c r="E93" i="231" l="1"/>
  <c r="F93" i="231" s="1"/>
  <c r="G93" i="231" s="1"/>
  <c r="E94" i="231" l="1"/>
  <c r="F94" i="231" s="1"/>
  <c r="G94" i="231" s="1"/>
  <c r="E95" i="231" l="1"/>
  <c r="F95" i="231" s="1"/>
  <c r="G95" i="231" s="1"/>
  <c r="E96" i="231" l="1"/>
  <c r="F96" i="231" s="1"/>
  <c r="G96" i="231" s="1"/>
  <c r="M1661" i="1"/>
  <c r="D1658" i="1"/>
  <c r="D1655" i="1"/>
  <c r="D1654" i="1"/>
  <c r="M1629" i="1"/>
  <c r="D1626" i="1"/>
  <c r="D1623" i="1"/>
  <c r="D1622" i="1"/>
  <c r="E97" i="231" l="1"/>
  <c r="F97" i="231" s="1"/>
  <c r="G97" i="231" s="1"/>
  <c r="C1177" i="1"/>
  <c r="C1176" i="1"/>
  <c r="C1172" i="1"/>
  <c r="C1171" i="1"/>
  <c r="C1170" i="1"/>
  <c r="C1169" i="1"/>
  <c r="C1168" i="1"/>
  <c r="C1167" i="1"/>
  <c r="D1101" i="1"/>
  <c r="D1100" i="1"/>
  <c r="D1099" i="1"/>
  <c r="D1098" i="1"/>
  <c r="C1026" i="1"/>
  <c r="C1025" i="1"/>
  <c r="C1024" i="1"/>
  <c r="C938" i="1"/>
  <c r="C937" i="1"/>
  <c r="C936" i="1"/>
  <c r="C935"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G108" i="192" s="1"/>
  <c r="I108" i="192" s="1"/>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I393" i="192"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K386" i="192"/>
  <c r="M385" i="192"/>
  <c r="G385" i="192" s="1"/>
  <c r="I385" i="192" s="1"/>
  <c r="K385" i="192"/>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K379" i="192"/>
  <c r="M378" i="192"/>
  <c r="G378" i="192" s="1"/>
  <c r="K378" i="192"/>
  <c r="M377" i="192"/>
  <c r="G377" i="192" s="1"/>
  <c r="K377" i="192"/>
  <c r="F377" i="192" s="1"/>
  <c r="M376" i="192"/>
  <c r="G376" i="192" s="1"/>
  <c r="K376" i="192"/>
  <c r="F376" i="192" s="1"/>
  <c r="M375" i="192"/>
  <c r="G375" i="192" s="1"/>
  <c r="K375" i="192"/>
  <c r="F375" i="192" s="1"/>
  <c r="M374" i="192"/>
  <c r="G374" i="192" s="1"/>
  <c r="I374" i="192" s="1"/>
  <c r="K374" i="192"/>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I366" i="192" s="1"/>
  <c r="K366" i="192"/>
  <c r="M365" i="192"/>
  <c r="G365" i="192" s="1"/>
  <c r="K365" i="192"/>
  <c r="F365" i="192" s="1"/>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I359" i="192" s="1"/>
  <c r="K359" i="192"/>
  <c r="M358" i="192"/>
  <c r="G358" i="192" s="1"/>
  <c r="K358" i="192"/>
  <c r="F358" i="192" s="1"/>
  <c r="M357" i="192"/>
  <c r="G357" i="192" s="1"/>
  <c r="K357" i="192"/>
  <c r="F357" i="192" s="1"/>
  <c r="M356" i="192"/>
  <c r="G356" i="192" s="1"/>
  <c r="K356" i="192"/>
  <c r="F356" i="192" s="1"/>
  <c r="M355" i="192"/>
  <c r="K355" i="192"/>
  <c r="F355" i="192" s="1"/>
  <c r="M354" i="192"/>
  <c r="G354" i="192" s="1"/>
  <c r="I354" i="192" s="1"/>
  <c r="K354" i="192"/>
  <c r="M353" i="192"/>
  <c r="G353" i="192" s="1"/>
  <c r="K353" i="192"/>
  <c r="F353" i="192" s="1"/>
  <c r="M352" i="192"/>
  <c r="G352" i="192" s="1"/>
  <c r="K352" i="192"/>
  <c r="F352" i="192" s="1"/>
  <c r="M351" i="192"/>
  <c r="G351" i="192" s="1"/>
  <c r="K351" i="192"/>
  <c r="F351" i="192" s="1"/>
  <c r="M350" i="192"/>
  <c r="G350" i="192" s="1"/>
  <c r="K350" i="192"/>
  <c r="F350" i="192" s="1"/>
  <c r="M349" i="192"/>
  <c r="G349" i="192" s="1"/>
  <c r="K349" i="192"/>
  <c r="F349" i="192" s="1"/>
  <c r="M347" i="192"/>
  <c r="G347" i="192" s="1"/>
  <c r="K347" i="192"/>
  <c r="F347" i="192" s="1"/>
  <c r="M346" i="192"/>
  <c r="G346" i="192" s="1"/>
  <c r="K346" i="192"/>
  <c r="F346" i="192" s="1"/>
  <c r="M344" i="192"/>
  <c r="G344" i="192" s="1"/>
  <c r="K344" i="192"/>
  <c r="F344" i="192" s="1"/>
  <c r="M342" i="192"/>
  <c r="G342" i="192" s="1"/>
  <c r="K342" i="192"/>
  <c r="M341" i="192"/>
  <c r="G341" i="192" s="1"/>
  <c r="K341" i="192"/>
  <c r="F341" i="192" s="1"/>
  <c r="M334" i="192"/>
  <c r="G334" i="192" s="1"/>
  <c r="K334" i="192"/>
  <c r="F334" i="192" s="1"/>
  <c r="M332" i="192"/>
  <c r="G332" i="192" s="1"/>
  <c r="K332" i="192"/>
  <c r="F332" i="192" s="1"/>
  <c r="M330" i="192"/>
  <c r="G330" i="192" s="1"/>
  <c r="K330" i="192"/>
  <c r="F330" i="192" s="1"/>
  <c r="M321" i="192"/>
  <c r="G321" i="192" s="1"/>
  <c r="K321" i="192"/>
  <c r="F321" i="192" s="1"/>
  <c r="M319" i="192"/>
  <c r="G319" i="192" s="1"/>
  <c r="K319" i="192"/>
  <c r="M318" i="192"/>
  <c r="G318" i="192" s="1"/>
  <c r="K318" i="192"/>
  <c r="F318" i="192" s="1"/>
  <c r="M317" i="192"/>
  <c r="G317" i="192" s="1"/>
  <c r="K317" i="192"/>
  <c r="F317" i="192" s="1"/>
  <c r="M316" i="192"/>
  <c r="G316" i="192" s="1"/>
  <c r="K316" i="192"/>
  <c r="F316" i="192" s="1"/>
  <c r="M315" i="192"/>
  <c r="G315" i="192" s="1"/>
  <c r="K315" i="192"/>
  <c r="F315" i="192" s="1"/>
  <c r="M314" i="192"/>
  <c r="G314" i="192" s="1"/>
  <c r="K314" i="192"/>
  <c r="F314" i="192" s="1"/>
  <c r="M313" i="192"/>
  <c r="G313" i="192" s="1"/>
  <c r="K313" i="192"/>
  <c r="M312" i="192"/>
  <c r="G312" i="192" s="1"/>
  <c r="K312" i="192"/>
  <c r="F312" i="192" s="1"/>
  <c r="M311" i="192"/>
  <c r="G311" i="192" s="1"/>
  <c r="K311" i="192"/>
  <c r="F311" i="192" s="1"/>
  <c r="M310" i="192"/>
  <c r="G310" i="192" s="1"/>
  <c r="K310" i="192"/>
  <c r="F310" i="192" s="1"/>
  <c r="M309" i="192"/>
  <c r="G309" i="192" s="1"/>
  <c r="K309" i="192"/>
  <c r="F309" i="192" s="1"/>
  <c r="M308" i="192"/>
  <c r="G308" i="192" s="1"/>
  <c r="K308" i="192"/>
  <c r="F308" i="192" s="1"/>
  <c r="M307" i="192"/>
  <c r="G307" i="192" s="1"/>
  <c r="I307" i="192" s="1"/>
  <c r="K307" i="192"/>
  <c r="M302" i="192"/>
  <c r="G302" i="192" s="1"/>
  <c r="I302" i="192" s="1"/>
  <c r="K302" i="192"/>
  <c r="M283" i="192"/>
  <c r="G283" i="192" s="1"/>
  <c r="I283" i="192" s="1"/>
  <c r="K283" i="192"/>
  <c r="M282" i="192"/>
  <c r="G282" i="192" s="1"/>
  <c r="I282" i="192" s="1"/>
  <c r="H282" i="5"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I277" i="192" s="1"/>
  <c r="H277" i="5" s="1"/>
  <c r="K277" i="192"/>
  <c r="M276" i="192"/>
  <c r="G276" i="192" s="1"/>
  <c r="K276" i="192"/>
  <c r="M275" i="192"/>
  <c r="G275" i="192" s="1"/>
  <c r="I275" i="192" s="1"/>
  <c r="K275" i="192"/>
  <c r="M274" i="192"/>
  <c r="G274" i="192" s="1"/>
  <c r="K274" i="192"/>
  <c r="M273" i="192"/>
  <c r="G273" i="192" s="1"/>
  <c r="K273" i="192"/>
  <c r="M272" i="192"/>
  <c r="G272" i="192" s="1"/>
  <c r="K272" i="192"/>
  <c r="M271" i="192"/>
  <c r="G271" i="192" s="1"/>
  <c r="I271" i="192" s="1"/>
  <c r="K271" i="192"/>
  <c r="M270" i="192"/>
  <c r="G270" i="192" s="1"/>
  <c r="I270" i="192" s="1"/>
  <c r="H270" i="5" s="1"/>
  <c r="K270" i="192"/>
  <c r="M269" i="192"/>
  <c r="G269" i="192" s="1"/>
  <c r="K269" i="192"/>
  <c r="M268" i="192"/>
  <c r="G268" i="192" s="1"/>
  <c r="K268" i="192"/>
  <c r="M267" i="192"/>
  <c r="G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I261" i="192" s="1"/>
  <c r="H261" i="5" s="1"/>
  <c r="K261" i="192"/>
  <c r="M260" i="192"/>
  <c r="G260" i="192" s="1"/>
  <c r="K260" i="192"/>
  <c r="M259" i="192"/>
  <c r="G259" i="192" s="1"/>
  <c r="K259" i="192"/>
  <c r="M258" i="192"/>
  <c r="G258" i="192" s="1"/>
  <c r="K258" i="192"/>
  <c r="M257" i="192"/>
  <c r="G257" i="192" s="1"/>
  <c r="I257" i="192" s="1"/>
  <c r="H257" i="5" s="1"/>
  <c r="K257" i="192"/>
  <c r="M256" i="192"/>
  <c r="G256" i="192" s="1"/>
  <c r="K256" i="192"/>
  <c r="M255" i="192"/>
  <c r="G255" i="192" s="1"/>
  <c r="I255" i="192" s="1"/>
  <c r="K255" i="192"/>
  <c r="M254" i="192"/>
  <c r="G254" i="192" s="1"/>
  <c r="K254" i="192"/>
  <c r="M253" i="192"/>
  <c r="G253" i="192" s="1"/>
  <c r="K253" i="192"/>
  <c r="M252" i="192"/>
  <c r="G252" i="192" s="1"/>
  <c r="K252" i="192"/>
  <c r="M251" i="192"/>
  <c r="G251" i="192" s="1"/>
  <c r="I251" i="192" s="1"/>
  <c r="K251" i="192"/>
  <c r="M238" i="192"/>
  <c r="G238" i="192" s="1"/>
  <c r="I238" i="192" s="1"/>
  <c r="H238" i="5" s="1"/>
  <c r="K238" i="192"/>
  <c r="M237" i="192"/>
  <c r="G237" i="192" s="1"/>
  <c r="I237" i="192" s="1"/>
  <c r="H237" i="5" s="1"/>
  <c r="K237" i="192"/>
  <c r="M236" i="192"/>
  <c r="G236" i="192" s="1"/>
  <c r="K236" i="192"/>
  <c r="M235" i="192"/>
  <c r="G235" i="192" s="1"/>
  <c r="I235" i="192" s="1"/>
  <c r="K235" i="192"/>
  <c r="M232" i="192"/>
  <c r="G232" i="192" s="1"/>
  <c r="I232" i="192" s="1"/>
  <c r="H232" i="5" s="1"/>
  <c r="K232" i="192"/>
  <c r="M231" i="192"/>
  <c r="G231" i="192" s="1"/>
  <c r="I231" i="192" s="1"/>
  <c r="H231" i="5" s="1"/>
  <c r="K231" i="192"/>
  <c r="M230" i="192"/>
  <c r="G230" i="192" s="1"/>
  <c r="K230" i="192"/>
  <c r="M229" i="192"/>
  <c r="G229" i="192" s="1"/>
  <c r="I229" i="192" s="1"/>
  <c r="K229" i="192"/>
  <c r="M228" i="192"/>
  <c r="G228" i="192" s="1"/>
  <c r="I228" i="192" s="1"/>
  <c r="H228" i="5" s="1"/>
  <c r="K228" i="192"/>
  <c r="M227" i="192"/>
  <c r="G227" i="192" s="1"/>
  <c r="K227" i="192"/>
  <c r="M226" i="192"/>
  <c r="G226" i="192" s="1"/>
  <c r="K226" i="192"/>
  <c r="M225" i="192"/>
  <c r="G225" i="192" s="1"/>
  <c r="K225" i="192"/>
  <c r="M222" i="192"/>
  <c r="G222" i="192" s="1"/>
  <c r="K222" i="192"/>
  <c r="F222" i="192" s="1"/>
  <c r="M221" i="192"/>
  <c r="G221" i="192" s="1"/>
  <c r="K221" i="192"/>
  <c r="F221" i="192" s="1"/>
  <c r="M220" i="192"/>
  <c r="G220" i="192" s="1"/>
  <c r="I220" i="192" s="1"/>
  <c r="K220" i="192"/>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I185" i="192" s="1"/>
  <c r="K185" i="192"/>
  <c r="M184" i="192"/>
  <c r="G184" i="192" s="1"/>
  <c r="K184" i="192"/>
  <c r="M183" i="192"/>
  <c r="G183" i="192" s="1"/>
  <c r="I183" i="192" s="1"/>
  <c r="H183" i="5" s="1"/>
  <c r="K183" i="192"/>
  <c r="M182" i="192"/>
  <c r="G182" i="192" s="1"/>
  <c r="I182" i="192" s="1"/>
  <c r="H182" i="5" s="1"/>
  <c r="K182" i="192"/>
  <c r="M181" i="192"/>
  <c r="G181" i="192" s="1"/>
  <c r="K181" i="192"/>
  <c r="M180" i="192"/>
  <c r="G180" i="192" s="1"/>
  <c r="I180" i="192" s="1"/>
  <c r="K180" i="192"/>
  <c r="M179" i="192"/>
  <c r="G179" i="192" s="1"/>
  <c r="I179" i="192" s="1"/>
  <c r="H179" i="5" s="1"/>
  <c r="K179" i="192"/>
  <c r="M178" i="192"/>
  <c r="G178" i="192" s="1"/>
  <c r="I178" i="192" s="1"/>
  <c r="H178" i="5" s="1"/>
  <c r="K178" i="192"/>
  <c r="M177" i="192"/>
  <c r="G177" i="192" s="1"/>
  <c r="K177" i="192"/>
  <c r="M176" i="192"/>
  <c r="G176" i="192" s="1"/>
  <c r="K176" i="192"/>
  <c r="M175" i="192"/>
  <c r="G175" i="192" s="1"/>
  <c r="K175" i="192"/>
  <c r="M174" i="192"/>
  <c r="G174" i="192" s="1"/>
  <c r="I174" i="192" s="1"/>
  <c r="H174" i="5" s="1"/>
  <c r="K174" i="192"/>
  <c r="M173" i="192"/>
  <c r="G173" i="192" s="1"/>
  <c r="K173" i="192"/>
  <c r="M172" i="192"/>
  <c r="G172" i="192" s="1"/>
  <c r="I172" i="192" s="1"/>
  <c r="K172" i="192"/>
  <c r="M171" i="192"/>
  <c r="G171" i="192" s="1"/>
  <c r="I171" i="192" s="1"/>
  <c r="H171" i="5" s="1"/>
  <c r="K171" i="192"/>
  <c r="M170" i="192"/>
  <c r="G170" i="192" s="1"/>
  <c r="K170" i="192"/>
  <c r="M169" i="192"/>
  <c r="G169" i="192" s="1"/>
  <c r="I169" i="192" s="1"/>
  <c r="K169" i="192"/>
  <c r="M168" i="192"/>
  <c r="K168" i="192"/>
  <c r="M167" i="192"/>
  <c r="K167" i="192"/>
  <c r="M166" i="192"/>
  <c r="K166" i="192"/>
  <c r="M165" i="192"/>
  <c r="G165" i="192" s="1"/>
  <c r="I165" i="192" s="1"/>
  <c r="H165" i="5" s="1"/>
  <c r="K165" i="192"/>
  <c r="M164" i="192"/>
  <c r="G164" i="192" s="1"/>
  <c r="I164" i="192" s="1"/>
  <c r="H164" i="5" s="1"/>
  <c r="K164" i="192"/>
  <c r="M163" i="192"/>
  <c r="G163" i="192" s="1"/>
  <c r="K163" i="192"/>
  <c r="M161" i="192"/>
  <c r="G161" i="192" s="1"/>
  <c r="K161" i="192"/>
  <c r="M160" i="192"/>
  <c r="G160" i="192" s="1"/>
  <c r="I160" i="192" s="1"/>
  <c r="K160" i="192"/>
  <c r="M159" i="192"/>
  <c r="G159" i="192" s="1"/>
  <c r="K159" i="192"/>
  <c r="M158" i="192"/>
  <c r="G158" i="192" s="1"/>
  <c r="K158" i="192"/>
  <c r="M157" i="192"/>
  <c r="G157" i="192" s="1"/>
  <c r="I157" i="192" s="1"/>
  <c r="K157" i="192"/>
  <c r="M156" i="192"/>
  <c r="G156" i="192" s="1"/>
  <c r="I156" i="192" s="1"/>
  <c r="K156" i="192"/>
  <c r="O3258" i="1" s="1"/>
  <c r="M155" i="192"/>
  <c r="G155" i="192" s="1"/>
  <c r="K155" i="192"/>
  <c r="M154" i="192"/>
  <c r="G154" i="192" s="1"/>
  <c r="K154" i="192"/>
  <c r="O1177" i="1" s="1"/>
  <c r="M153" i="192"/>
  <c r="G153" i="192" s="1"/>
  <c r="I153" i="192" s="1"/>
  <c r="O1175" i="246" s="1"/>
  <c r="R1175" i="246" s="1"/>
  <c r="K153" i="192"/>
  <c r="O1176" i="1" s="1"/>
  <c r="M149" i="192"/>
  <c r="G149" i="192" s="1"/>
  <c r="I149" i="192" s="1"/>
  <c r="O1171" i="246" s="1"/>
  <c r="R1171" i="246" s="1"/>
  <c r="K149" i="192"/>
  <c r="O1172" i="1" s="1"/>
  <c r="M148" i="192"/>
  <c r="G148" i="192" s="1"/>
  <c r="K148" i="192"/>
  <c r="O1171" i="1" s="1"/>
  <c r="M147" i="192"/>
  <c r="G147" i="192" s="1"/>
  <c r="K147" i="192"/>
  <c r="O1170" i="1" s="1"/>
  <c r="M146" i="192"/>
  <c r="G146" i="192" s="1"/>
  <c r="I146" i="192" s="1"/>
  <c r="O1168" i="246" s="1"/>
  <c r="R1168" i="246" s="1"/>
  <c r="K146" i="192"/>
  <c r="O1169" i="1" s="1"/>
  <c r="M145" i="192"/>
  <c r="G145" i="192" s="1"/>
  <c r="I145" i="192" s="1"/>
  <c r="O1167" i="246" s="1"/>
  <c r="R1167" i="246" s="1"/>
  <c r="K145" i="192"/>
  <c r="O1168" i="1" s="1"/>
  <c r="M144" i="192"/>
  <c r="G144" i="192" s="1"/>
  <c r="K144" i="192"/>
  <c r="M143" i="192"/>
  <c r="G143" i="192" s="1"/>
  <c r="K143" i="192"/>
  <c r="M142" i="192"/>
  <c r="G142" i="192" s="1"/>
  <c r="I142" i="192" s="1"/>
  <c r="K142" i="192"/>
  <c r="M140" i="192"/>
  <c r="G140" i="192" s="1"/>
  <c r="K140" i="192"/>
  <c r="O3276" i="1" s="1"/>
  <c r="M139" i="192"/>
  <c r="G139" i="192" s="1"/>
  <c r="K139" i="192"/>
  <c r="O3275" i="1" s="1"/>
  <c r="M138" i="192"/>
  <c r="G138" i="192" s="1"/>
  <c r="I138" i="192" s="1"/>
  <c r="O2914" i="246" s="1"/>
  <c r="K138" i="192"/>
  <c r="O3274" i="1" s="1"/>
  <c r="M137" i="192"/>
  <c r="G137" i="192" s="1"/>
  <c r="I137" i="192" s="1"/>
  <c r="O2913" i="246" s="1"/>
  <c r="K137" i="192"/>
  <c r="O3273" i="1" s="1"/>
  <c r="M136" i="192"/>
  <c r="G136" i="192" s="1"/>
  <c r="I136" i="192" s="1"/>
  <c r="O2912" i="246" s="1"/>
  <c r="K136" i="192"/>
  <c r="O3272" i="1" s="1"/>
  <c r="M135" i="192"/>
  <c r="G135" i="192" s="1"/>
  <c r="I135" i="192" s="1"/>
  <c r="O2911" i="246" s="1"/>
  <c r="K135" i="192"/>
  <c r="O3271" i="1" s="1"/>
  <c r="M134" i="192"/>
  <c r="G134" i="192" s="1"/>
  <c r="I134" i="192" s="1"/>
  <c r="O2910" i="246" s="1"/>
  <c r="K134" i="192"/>
  <c r="O3270" i="1" s="1"/>
  <c r="M133" i="192"/>
  <c r="G133" i="192" s="1"/>
  <c r="I133" i="192" s="1"/>
  <c r="O2909" i="246" s="1"/>
  <c r="K133" i="192"/>
  <c r="O3269" i="1" s="1"/>
  <c r="M132" i="192"/>
  <c r="G132" i="192" s="1"/>
  <c r="I132" i="192" s="1"/>
  <c r="O2908" i="246" s="1"/>
  <c r="K132" i="192"/>
  <c r="O3268" i="1" s="1"/>
  <c r="M131" i="192"/>
  <c r="G131" i="192" s="1"/>
  <c r="I131" i="192" s="1"/>
  <c r="O2907" i="246" s="1"/>
  <c r="K131" i="192"/>
  <c r="O3267" i="1" s="1"/>
  <c r="M130" i="192"/>
  <c r="G130" i="192" s="1"/>
  <c r="I130" i="192" s="1"/>
  <c r="O2906" i="246" s="1"/>
  <c r="K130" i="192"/>
  <c r="O3266" i="1" s="1"/>
  <c r="M129" i="192"/>
  <c r="G129" i="192" s="1"/>
  <c r="I129" i="192" s="1"/>
  <c r="O2905" i="246" s="1"/>
  <c r="K129" i="192"/>
  <c r="O3265" i="1" s="1"/>
  <c r="M128" i="192"/>
  <c r="G128" i="192" s="1"/>
  <c r="I128" i="192" s="1"/>
  <c r="O2904" i="246" s="1"/>
  <c r="K128" i="192"/>
  <c r="O3264" i="1" s="1"/>
  <c r="M127" i="192"/>
  <c r="G127" i="192" s="1"/>
  <c r="I127" i="192" s="1"/>
  <c r="K127" i="192"/>
  <c r="M126" i="192"/>
  <c r="G126" i="192" s="1"/>
  <c r="I126" i="192" s="1"/>
  <c r="K126" i="192"/>
  <c r="M125" i="192"/>
  <c r="G125" i="192" s="1"/>
  <c r="I125" i="192" s="1"/>
  <c r="O2902" i="246" s="1"/>
  <c r="K125" i="192"/>
  <c r="O3262" i="1" s="1"/>
  <c r="M124" i="192"/>
  <c r="G124" i="192" s="1"/>
  <c r="I124" i="192" s="1"/>
  <c r="O2901" i="246" s="1"/>
  <c r="K124" i="192"/>
  <c r="O3261" i="1" s="1"/>
  <c r="M123" i="192"/>
  <c r="G123" i="192" s="1"/>
  <c r="I123" i="192" s="1"/>
  <c r="K123" i="192"/>
  <c r="M122" i="192"/>
  <c r="G122" i="192" s="1"/>
  <c r="I122" i="192" s="1"/>
  <c r="K122" i="192"/>
  <c r="M121" i="192"/>
  <c r="G121" i="192" s="1"/>
  <c r="I121" i="192" s="1"/>
  <c r="O2897" i="246" s="1"/>
  <c r="K121" i="192"/>
  <c r="O3257" i="1" s="1"/>
  <c r="M120" i="192"/>
  <c r="G120" i="192" s="1"/>
  <c r="I120" i="192" s="1"/>
  <c r="O2896" i="246" s="1"/>
  <c r="K120" i="192"/>
  <c r="O3256" i="1" s="1"/>
  <c r="M119" i="192"/>
  <c r="G119" i="192" s="1"/>
  <c r="I119" i="192" s="1"/>
  <c r="O2895" i="246" s="1"/>
  <c r="K119" i="192"/>
  <c r="O3255" i="1" s="1"/>
  <c r="M118" i="192"/>
  <c r="G118" i="192" s="1"/>
  <c r="I118" i="192" s="1"/>
  <c r="O2894" i="246" s="1"/>
  <c r="K118" i="192"/>
  <c r="O3254" i="1" s="1"/>
  <c r="M117" i="192"/>
  <c r="G117" i="192" s="1"/>
  <c r="I117" i="192" s="1"/>
  <c r="K117" i="192"/>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6" i="192"/>
  <c r="G106" i="192" s="1"/>
  <c r="I106" i="192" s="1"/>
  <c r="O2889" i="246" s="1"/>
  <c r="K106" i="192"/>
  <c r="O3249" i="1" s="1"/>
  <c r="M105" i="192"/>
  <c r="G105" i="192" s="1"/>
  <c r="I105" i="192" s="1"/>
  <c r="O2888" i="246" s="1"/>
  <c r="K105" i="192"/>
  <c r="O3248" i="1" s="1"/>
  <c r="M104" i="192"/>
  <c r="G104" i="192" s="1"/>
  <c r="I104" i="192" s="1"/>
  <c r="O2887" i="246" s="1"/>
  <c r="K104" i="192"/>
  <c r="O3246" i="1" s="1"/>
  <c r="M103" i="192"/>
  <c r="G103" i="192" s="1"/>
  <c r="I103" i="192" s="1"/>
  <c r="O2886" i="246" s="1"/>
  <c r="K103" i="192"/>
  <c r="O3247" i="1" s="1"/>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2929" i="246" s="1"/>
  <c r="K96" i="192"/>
  <c r="O3289" i="1" s="1"/>
  <c r="M95" i="192"/>
  <c r="G95" i="192" s="1"/>
  <c r="I95" i="192" s="1"/>
  <c r="O2926" i="246" s="1"/>
  <c r="K95" i="192"/>
  <c r="O3286" i="1" s="1"/>
  <c r="M94" i="192"/>
  <c r="G94" i="192" s="1"/>
  <c r="I94" i="192" s="1"/>
  <c r="K94" i="192"/>
  <c r="M93" i="192"/>
  <c r="G93" i="192" s="1"/>
  <c r="I93" i="192" s="1"/>
  <c r="K93" i="192"/>
  <c r="M91" i="192"/>
  <c r="G91" i="192" s="1"/>
  <c r="I91" i="192" s="1"/>
  <c r="K91" i="192"/>
  <c r="M90" i="192"/>
  <c r="G90" i="192" s="1"/>
  <c r="I90" i="192" s="1"/>
  <c r="K90" i="192"/>
  <c r="M89" i="192"/>
  <c r="G89" i="192" s="1"/>
  <c r="I89" i="192" s="1"/>
  <c r="O1100" i="246" s="1"/>
  <c r="R1100" i="246" s="1"/>
  <c r="K89" i="192"/>
  <c r="O1101" i="1" s="1"/>
  <c r="M88" i="192"/>
  <c r="G88" i="192" s="1"/>
  <c r="I88" i="192" s="1"/>
  <c r="O1099" i="246" s="1"/>
  <c r="R1099" i="246" s="1"/>
  <c r="K88" i="192"/>
  <c r="O1100" i="1" s="1"/>
  <c r="M87" i="192"/>
  <c r="G87" i="192" s="1"/>
  <c r="I87" i="192" s="1"/>
  <c r="O1098" i="246" s="1"/>
  <c r="R1098" i="246" s="1"/>
  <c r="K87" i="192"/>
  <c r="O1099" i="1" s="1"/>
  <c r="M86" i="192"/>
  <c r="G86" i="192" s="1"/>
  <c r="I86" i="192" s="1"/>
  <c r="K86" i="192"/>
  <c r="M85" i="192"/>
  <c r="G85" i="192" s="1"/>
  <c r="I85" i="192" s="1"/>
  <c r="K85" i="192"/>
  <c r="M84" i="192"/>
  <c r="G84" i="192" s="1"/>
  <c r="I84" i="192" s="1"/>
  <c r="O2931" i="246" s="1"/>
  <c r="K84" i="192"/>
  <c r="O3291" i="1" s="1"/>
  <c r="M83" i="192"/>
  <c r="G83" i="192" s="1"/>
  <c r="I83" i="192" s="1"/>
  <c r="K83" i="192"/>
  <c r="M82" i="192"/>
  <c r="G82" i="192" s="1"/>
  <c r="I82" i="192" s="1"/>
  <c r="O2859" i="246" s="1"/>
  <c r="K82" i="192"/>
  <c r="O3219" i="1" s="1"/>
  <c r="M81" i="192"/>
  <c r="G81" i="192" s="1"/>
  <c r="I81" i="192" s="1"/>
  <c r="O2858" i="246" s="1"/>
  <c r="K81" i="192"/>
  <c r="O3218" i="1" s="1"/>
  <c r="M80" i="192"/>
  <c r="G80" i="192" s="1"/>
  <c r="I80" i="192" s="1"/>
  <c r="O2857" i="246" s="1"/>
  <c r="K80" i="192"/>
  <c r="O3217" i="1" s="1"/>
  <c r="M79" i="192"/>
  <c r="G79" i="192" s="1"/>
  <c r="I79" i="192" s="1"/>
  <c r="O2856" i="246" s="1"/>
  <c r="K79" i="192"/>
  <c r="O3216" i="1" s="1"/>
  <c r="M78" i="192"/>
  <c r="G78" i="192" s="1"/>
  <c r="I78" i="192" s="1"/>
  <c r="O2855" i="246" s="1"/>
  <c r="K78" i="192"/>
  <c r="O3215" i="1" s="1"/>
  <c r="M77" i="192"/>
  <c r="G77" i="192" s="1"/>
  <c r="I77" i="192" s="1"/>
  <c r="O2854" i="246" s="1"/>
  <c r="K77" i="192"/>
  <c r="O3214" i="1" s="1"/>
  <c r="M76" i="192"/>
  <c r="G76" i="192" s="1"/>
  <c r="I76" i="192" s="1"/>
  <c r="O2853" i="246" s="1"/>
  <c r="K76" i="192"/>
  <c r="O3213" i="1" s="1"/>
  <c r="M75" i="192"/>
  <c r="G75" i="192" s="1"/>
  <c r="I75" i="192" s="1"/>
  <c r="O2852" i="246" s="1"/>
  <c r="K75" i="192"/>
  <c r="O3212" i="1" s="1"/>
  <c r="M74" i="192"/>
  <c r="G74" i="192" s="1"/>
  <c r="I74" i="192" s="1"/>
  <c r="O2851" i="246" s="1"/>
  <c r="K74" i="192"/>
  <c r="O3211" i="1" s="1"/>
  <c r="M73" i="192"/>
  <c r="G73" i="192" s="1"/>
  <c r="I73" i="192" s="1"/>
  <c r="O2850" i="246" s="1"/>
  <c r="K73" i="192"/>
  <c r="O3210" i="1" s="1"/>
  <c r="M72" i="192"/>
  <c r="G72" i="192" s="1"/>
  <c r="I72" i="192" s="1"/>
  <c r="O2849" i="246" s="1"/>
  <c r="K72" i="192"/>
  <c r="O3209" i="1" s="1"/>
  <c r="M71" i="192"/>
  <c r="G71" i="192" s="1"/>
  <c r="I71" i="192" s="1"/>
  <c r="O2848" i="246" s="1"/>
  <c r="K71" i="192"/>
  <c r="O3208"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2844" i="246" s="1"/>
  <c r="K64" i="192"/>
  <c r="O3204" i="1" s="1"/>
  <c r="M63" i="192"/>
  <c r="G63" i="192" s="1"/>
  <c r="I63" i="192" s="1"/>
  <c r="O1025" i="246" s="1"/>
  <c r="R1025" i="246" s="1"/>
  <c r="K63" i="192"/>
  <c r="O1026" i="1" s="1"/>
  <c r="M62" i="192"/>
  <c r="G62" i="192" s="1"/>
  <c r="I62" i="192" s="1"/>
  <c r="O1024" i="246" s="1"/>
  <c r="R1024" i="246" s="1"/>
  <c r="K62" i="192"/>
  <c r="O1025"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2841" i="246" s="1"/>
  <c r="K53" i="192"/>
  <c r="O3201" i="1" s="1"/>
  <c r="M52" i="192"/>
  <c r="G52" i="192" s="1"/>
  <c r="I52" i="192" s="1"/>
  <c r="K52" i="192"/>
  <c r="M51" i="192"/>
  <c r="G51" i="192" s="1"/>
  <c r="I51" i="192" s="1"/>
  <c r="K51" i="192"/>
  <c r="M50" i="192"/>
  <c r="G50" i="192" s="1"/>
  <c r="I50" i="192" s="1"/>
  <c r="O2839" i="246" s="1"/>
  <c r="K50" i="192"/>
  <c r="O3199" i="1" s="1"/>
  <c r="M49" i="192"/>
  <c r="G49" i="192" s="1"/>
  <c r="I49" i="192" s="1"/>
  <c r="O2838" i="246" s="1"/>
  <c r="K49" i="192"/>
  <c r="O3198" i="1" s="1"/>
  <c r="M48" i="192"/>
  <c r="G48" i="192" s="1"/>
  <c r="I48" i="192" s="1"/>
  <c r="O2837" i="246" s="1"/>
  <c r="K48" i="192"/>
  <c r="O3197" i="1" s="1"/>
  <c r="M47" i="192"/>
  <c r="G47" i="192" s="1"/>
  <c r="I47" i="192" s="1"/>
  <c r="O2836" i="246" s="1"/>
  <c r="K47" i="192"/>
  <c r="O3196" i="1" s="1"/>
  <c r="M46" i="192"/>
  <c r="G46" i="192" s="1"/>
  <c r="I46" i="192" s="1"/>
  <c r="K46" i="192"/>
  <c r="M45" i="192"/>
  <c r="G45" i="192" s="1"/>
  <c r="I45" i="192" s="1"/>
  <c r="K45" i="192"/>
  <c r="M44" i="192"/>
  <c r="G44" i="192" s="1"/>
  <c r="I44" i="192" s="1"/>
  <c r="K44" i="192"/>
  <c r="M43" i="192"/>
  <c r="G43" i="192" s="1"/>
  <c r="I43" i="192" s="1"/>
  <c r="K43" i="192"/>
  <c r="M42" i="192"/>
  <c r="G42" i="192" s="1"/>
  <c r="I42" i="192" s="1"/>
  <c r="O2834" i="246" s="1"/>
  <c r="K42" i="192"/>
  <c r="O3194" i="1" s="1"/>
  <c r="M41" i="192"/>
  <c r="G41" i="192" s="1"/>
  <c r="I41" i="192" s="1"/>
  <c r="O2833" i="246" s="1"/>
  <c r="K41" i="192"/>
  <c r="O3193" i="1" s="1"/>
  <c r="M40" i="192"/>
  <c r="G40" i="192" s="1"/>
  <c r="I40" i="192" s="1"/>
  <c r="O2832" i="246" s="1"/>
  <c r="K40" i="192"/>
  <c r="O3192"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182" i="1" s="1"/>
  <c r="M31" i="192"/>
  <c r="G31" i="192" s="1"/>
  <c r="I31" i="192" s="1"/>
  <c r="K31" i="192"/>
  <c r="O3181" i="1" s="1"/>
  <c r="M30" i="192"/>
  <c r="G30" i="192" s="1"/>
  <c r="I30" i="192" s="1"/>
  <c r="K30" i="192"/>
  <c r="O3180" i="1" s="1"/>
  <c r="M29" i="192"/>
  <c r="G29" i="192" s="1"/>
  <c r="I29" i="192" s="1"/>
  <c r="K29" i="192"/>
  <c r="O3179" i="1" s="1"/>
  <c r="K28" i="192"/>
  <c r="O3178"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2808" i="246" s="1"/>
  <c r="K22" i="192"/>
  <c r="O3168" i="1" s="1"/>
  <c r="M21" i="192"/>
  <c r="G21" i="192" s="1"/>
  <c r="I21" i="192" s="1"/>
  <c r="O2807" i="246" s="1"/>
  <c r="K21" i="192"/>
  <c r="O3167" i="1" s="1"/>
  <c r="M20" i="192"/>
  <c r="G20" i="192" s="1"/>
  <c r="I20" i="192" s="1"/>
  <c r="O2806" i="246" s="1"/>
  <c r="K20" i="192"/>
  <c r="O3166" i="1" s="1"/>
  <c r="M19" i="192"/>
  <c r="G19" i="192" s="1"/>
  <c r="I19" i="192" s="1"/>
  <c r="O2805" i="246" s="1"/>
  <c r="K19" i="192"/>
  <c r="O3165" i="1" s="1"/>
  <c r="M18" i="192"/>
  <c r="G18" i="192" s="1"/>
  <c r="I18" i="192" s="1"/>
  <c r="O2804" i="246" s="1"/>
  <c r="K18" i="192"/>
  <c r="O3164" i="1" s="1"/>
  <c r="M17" i="192"/>
  <c r="G17" i="192" s="1"/>
  <c r="I17" i="192" s="1"/>
  <c r="O2803" i="246" s="1"/>
  <c r="K17" i="192"/>
  <c r="O3163"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O2891" i="246" l="1"/>
  <c r="O3416" i="1"/>
  <c r="M3251" i="1"/>
  <c r="O2469" i="1"/>
  <c r="O3155" i="1"/>
  <c r="F230" i="192"/>
  <c r="F236" i="192"/>
  <c r="O3175" i="1"/>
  <c r="U3175" i="1" s="1"/>
  <c r="O3423" i="1"/>
  <c r="M3258" i="1"/>
  <c r="O2898" i="246"/>
  <c r="I230" i="192"/>
  <c r="G233" i="192"/>
  <c r="I233" i="192" s="1"/>
  <c r="H233" i="5" s="1"/>
  <c r="G6" i="192"/>
  <c r="I6" i="192" s="1"/>
  <c r="G304" i="192"/>
  <c r="I304" i="192" s="1"/>
  <c r="H304" i="5" s="1"/>
  <c r="O3195" i="1"/>
  <c r="O3207" i="1"/>
  <c r="O3287" i="1"/>
  <c r="O3245" i="1"/>
  <c r="O3253" i="1"/>
  <c r="U3155" i="1"/>
  <c r="O3169" i="1"/>
  <c r="O2847" i="246"/>
  <c r="O3162" i="1"/>
  <c r="O3157" i="1"/>
  <c r="U3157" i="1" s="1"/>
  <c r="O2797" i="246"/>
  <c r="S2797" i="246" s="1"/>
  <c r="O3322" i="1"/>
  <c r="S3322" i="1" s="1"/>
  <c r="O2835" i="246"/>
  <c r="O934" i="246"/>
  <c r="R934" i="246" s="1"/>
  <c r="O2819" i="246"/>
  <c r="O936" i="246"/>
  <c r="R936" i="246" s="1"/>
  <c r="O2821" i="246"/>
  <c r="O2930" i="246"/>
  <c r="O2900" i="246"/>
  <c r="O2822" i="246"/>
  <c r="O937" i="246"/>
  <c r="R937" i="246" s="1"/>
  <c r="O2840" i="246"/>
  <c r="O2842" i="246"/>
  <c r="O1023" i="246"/>
  <c r="R1023" i="246" s="1"/>
  <c r="O2843" i="246"/>
  <c r="O1097" i="246"/>
  <c r="R1097" i="246" s="1"/>
  <c r="O2928" i="246"/>
  <c r="O2899" i="246"/>
  <c r="O2820" i="246"/>
  <c r="O935" i="246"/>
  <c r="R935" i="246" s="1"/>
  <c r="O2846" i="246"/>
  <c r="O2885" i="246"/>
  <c r="O2892" i="246"/>
  <c r="O2903" i="246"/>
  <c r="O2927" i="246"/>
  <c r="O2893" i="246"/>
  <c r="C934" i="1"/>
  <c r="D2818" i="246"/>
  <c r="C933" i="246"/>
  <c r="D2653" i="246"/>
  <c r="C927" i="246"/>
  <c r="M28" i="192"/>
  <c r="G28" i="192" s="1"/>
  <c r="I28" i="192" s="1"/>
  <c r="D3013" i="1"/>
  <c r="D2848" i="1"/>
  <c r="D3343" i="1"/>
  <c r="D3178" i="1"/>
  <c r="M3164" i="1"/>
  <c r="O3329" i="1"/>
  <c r="M3166" i="1"/>
  <c r="O3331" i="1"/>
  <c r="M3168" i="1"/>
  <c r="O3333" i="1"/>
  <c r="M3180" i="1"/>
  <c r="O3345" i="1"/>
  <c r="M3182" i="1"/>
  <c r="O3347" i="1"/>
  <c r="M3193" i="1"/>
  <c r="O3358" i="1"/>
  <c r="M3196" i="1"/>
  <c r="O3361" i="1"/>
  <c r="O3363" i="1"/>
  <c r="M3198" i="1"/>
  <c r="M3200" i="1"/>
  <c r="O3365" i="1"/>
  <c r="M3201" i="1"/>
  <c r="O3366" i="1"/>
  <c r="O3367" i="1"/>
  <c r="M3202" i="1"/>
  <c r="M3203" i="1"/>
  <c r="O3368" i="1"/>
  <c r="O3371" i="1"/>
  <c r="M3206" i="1"/>
  <c r="M3209" i="1"/>
  <c r="O3374" i="1"/>
  <c r="M3211" i="1"/>
  <c r="O3376" i="1"/>
  <c r="M3213" i="1"/>
  <c r="O3378" i="1"/>
  <c r="M3215" i="1"/>
  <c r="O3380" i="1"/>
  <c r="M3217" i="1"/>
  <c r="O3382" i="1"/>
  <c r="M3219" i="1"/>
  <c r="O3384" i="1"/>
  <c r="O3456" i="1"/>
  <c r="M3291" i="1"/>
  <c r="O3453" i="1"/>
  <c r="M3288" i="1"/>
  <c r="O3451" i="1"/>
  <c r="M3286" i="1"/>
  <c r="O3411" i="1"/>
  <c r="M3246" i="1"/>
  <c r="O3414" i="1"/>
  <c r="M3249" i="1"/>
  <c r="O3417" i="1"/>
  <c r="M3252" i="1"/>
  <c r="O3419" i="1"/>
  <c r="M3254" i="1"/>
  <c r="O3421" i="1"/>
  <c r="M3256" i="1"/>
  <c r="O3424" i="1"/>
  <c r="M3259" i="1"/>
  <c r="O3426" i="1"/>
  <c r="M3261" i="1"/>
  <c r="O3428" i="1"/>
  <c r="M3263" i="1"/>
  <c r="O3429" i="1"/>
  <c r="M3264" i="1"/>
  <c r="O3431" i="1"/>
  <c r="M3266" i="1"/>
  <c r="O3433" i="1"/>
  <c r="M3268" i="1"/>
  <c r="O3435" i="1"/>
  <c r="M3270" i="1"/>
  <c r="O3437" i="1"/>
  <c r="M3272" i="1"/>
  <c r="O3439" i="1"/>
  <c r="M3274" i="1"/>
  <c r="O3330" i="1"/>
  <c r="M3165" i="1"/>
  <c r="M3181" i="1"/>
  <c r="O3346" i="1"/>
  <c r="O3359" i="1"/>
  <c r="M3194" i="1"/>
  <c r="M3204" i="1"/>
  <c r="O3369" i="1"/>
  <c r="M3208" i="1"/>
  <c r="O3373" i="1"/>
  <c r="M3212" i="1"/>
  <c r="O3377" i="1"/>
  <c r="M3218" i="1"/>
  <c r="O3383" i="1"/>
  <c r="O3452" i="1"/>
  <c r="M3287" i="1"/>
  <c r="O3454" i="1"/>
  <c r="M3289" i="1"/>
  <c r="O3412" i="1"/>
  <c r="M3247" i="1"/>
  <c r="O3420" i="1"/>
  <c r="M3255" i="1"/>
  <c r="O3430" i="1"/>
  <c r="M3265" i="1"/>
  <c r="O3432" i="1"/>
  <c r="M3267" i="1"/>
  <c r="O3434" i="1"/>
  <c r="M3269" i="1"/>
  <c r="O3438" i="1"/>
  <c r="M3273" i="1"/>
  <c r="M3157" i="1"/>
  <c r="S3157" i="1" s="1"/>
  <c r="O3328" i="1"/>
  <c r="M3163" i="1"/>
  <c r="O3332" i="1"/>
  <c r="M3167" i="1"/>
  <c r="M3179" i="1"/>
  <c r="O3344" i="1"/>
  <c r="M3192" i="1"/>
  <c r="O3357" i="1"/>
  <c r="M3195" i="1"/>
  <c r="O3360" i="1"/>
  <c r="M3197" i="1"/>
  <c r="O3362" i="1"/>
  <c r="M3199" i="1"/>
  <c r="O3364" i="1"/>
  <c r="M3207" i="1"/>
  <c r="O3372" i="1"/>
  <c r="M3210" i="1"/>
  <c r="O3375" i="1"/>
  <c r="M3214" i="1"/>
  <c r="O3379" i="1"/>
  <c r="M3216" i="1"/>
  <c r="O3381" i="1"/>
  <c r="O3425" i="1"/>
  <c r="M3260" i="1"/>
  <c r="O3455" i="1"/>
  <c r="M3290" i="1"/>
  <c r="O3410" i="1"/>
  <c r="M3245" i="1"/>
  <c r="O3413" i="1"/>
  <c r="M3248" i="1"/>
  <c r="O3418" i="1"/>
  <c r="M3253" i="1"/>
  <c r="O3422" i="1"/>
  <c r="M3257" i="1"/>
  <c r="O3427" i="1"/>
  <c r="M3262" i="1"/>
  <c r="O3436" i="1"/>
  <c r="M3271" i="1"/>
  <c r="O3260" i="1"/>
  <c r="O3290" i="1"/>
  <c r="O3200" i="1"/>
  <c r="O3202" i="1"/>
  <c r="O3203" i="1"/>
  <c r="O3206" i="1"/>
  <c r="O3288" i="1"/>
  <c r="O3252" i="1"/>
  <c r="O3259" i="1"/>
  <c r="O3263" i="1"/>
  <c r="O3298" i="1"/>
  <c r="U3298" i="1" s="1"/>
  <c r="M1025" i="1"/>
  <c r="R1025" i="1" s="1"/>
  <c r="M1099" i="1"/>
  <c r="R1099" i="1" s="1"/>
  <c r="M1172" i="1"/>
  <c r="R1172" i="1" s="1"/>
  <c r="M1026" i="1"/>
  <c r="R1026" i="1" s="1"/>
  <c r="M1100" i="1"/>
  <c r="R1100" i="1" s="1"/>
  <c r="M1101" i="1"/>
  <c r="R1101" i="1" s="1"/>
  <c r="M1168" i="1"/>
  <c r="R1168" i="1" s="1"/>
  <c r="M1098" i="1"/>
  <c r="M1169" i="1"/>
  <c r="R1169" i="1" s="1"/>
  <c r="M1176" i="1"/>
  <c r="R1176" i="1" s="1"/>
  <c r="E98" i="231"/>
  <c r="F98" i="231" s="1"/>
  <c r="G98" i="231" s="1"/>
  <c r="D2" i="192"/>
  <c r="H2" i="192" s="1"/>
  <c r="I187" i="192"/>
  <c r="H187" i="5" s="1"/>
  <c r="F264" i="192"/>
  <c r="I264" i="192" s="1"/>
  <c r="F170" i="192"/>
  <c r="I170" i="192" s="1"/>
  <c r="F181" i="192"/>
  <c r="I181" i="192" s="1"/>
  <c r="I190" i="192"/>
  <c r="H190" i="5" s="1"/>
  <c r="F268" i="192"/>
  <c r="I268" i="192" s="1"/>
  <c r="F272" i="192"/>
  <c r="I272" i="192" s="1"/>
  <c r="F276" i="192"/>
  <c r="I276" i="192" s="1"/>
  <c r="I352" i="192"/>
  <c r="H352" i="5" s="1"/>
  <c r="I346" i="192"/>
  <c r="H346" i="5" s="1"/>
  <c r="I195" i="192"/>
  <c r="H195" i="5" s="1"/>
  <c r="I308" i="192"/>
  <c r="H308" i="5" s="1"/>
  <c r="I316" i="192"/>
  <c r="H316" i="5" s="1"/>
  <c r="H401" i="5"/>
  <c r="I205" i="192"/>
  <c r="H205" i="5" s="1"/>
  <c r="I208" i="192"/>
  <c r="H208" i="5" s="1"/>
  <c r="I218" i="192"/>
  <c r="H218" i="5" s="1"/>
  <c r="I236" i="192"/>
  <c r="F252" i="192"/>
  <c r="I252" i="192" s="1"/>
  <c r="F260" i="192"/>
  <c r="I260" i="192" s="1"/>
  <c r="I384" i="192"/>
  <c r="H384" i="5" s="1"/>
  <c r="I197" i="192"/>
  <c r="H197" i="5" s="1"/>
  <c r="F280" i="192"/>
  <c r="I280" i="192" s="1"/>
  <c r="I357" i="192"/>
  <c r="H357" i="5" s="1"/>
  <c r="I364" i="192"/>
  <c r="H364" i="5" s="1"/>
  <c r="I380" i="192"/>
  <c r="H380" i="5" s="1"/>
  <c r="F386" i="192"/>
  <c r="I386" i="192" s="1"/>
  <c r="G355" i="192"/>
  <c r="I355" i="192" s="1"/>
  <c r="H355" i="5" s="1"/>
  <c r="I189" i="192"/>
  <c r="H189" i="5" s="1"/>
  <c r="I207" i="192"/>
  <c r="H207" i="5" s="1"/>
  <c r="I351" i="192"/>
  <c r="H351" i="5" s="1"/>
  <c r="I369" i="192"/>
  <c r="H369" i="5" s="1"/>
  <c r="I344" i="192"/>
  <c r="H344" i="5" s="1"/>
  <c r="I373" i="192"/>
  <c r="H373" i="5" s="1"/>
  <c r="F173" i="192"/>
  <c r="I173" i="192" s="1"/>
  <c r="I193" i="192"/>
  <c r="H193" i="5" s="1"/>
  <c r="I217" i="192"/>
  <c r="H217" i="5" s="1"/>
  <c r="I311" i="192"/>
  <c r="H311" i="5" s="1"/>
  <c r="I317" i="192"/>
  <c r="H317" i="5" s="1"/>
  <c r="I330" i="192"/>
  <c r="H330" i="5" s="1"/>
  <c r="I350" i="192"/>
  <c r="H350" i="5" s="1"/>
  <c r="I360" i="192"/>
  <c r="H360" i="5" s="1"/>
  <c r="I362" i="192"/>
  <c r="H362" i="5" s="1"/>
  <c r="I394" i="192"/>
  <c r="I365" i="192"/>
  <c r="H365" i="5" s="1"/>
  <c r="I375" i="192"/>
  <c r="H375" i="5" s="1"/>
  <c r="I361" i="192"/>
  <c r="H361" i="5" s="1"/>
  <c r="I358" i="192"/>
  <c r="H358" i="5" s="1"/>
  <c r="I203" i="192"/>
  <c r="H203" i="5" s="1"/>
  <c r="I219" i="192"/>
  <c r="H219" i="5" s="1"/>
  <c r="I363" i="192"/>
  <c r="H363" i="5" s="1"/>
  <c r="I397" i="192"/>
  <c r="H397" i="5" s="1"/>
  <c r="O935" i="1"/>
  <c r="O937" i="1"/>
  <c r="O1024" i="1"/>
  <c r="F184" i="192"/>
  <c r="I184" i="192" s="1"/>
  <c r="I200" i="192"/>
  <c r="H200" i="5" s="1"/>
  <c r="O934" i="1"/>
  <c r="O936" i="1"/>
  <c r="O938" i="1"/>
  <c r="O1098" i="1"/>
  <c r="O1167" i="1"/>
  <c r="I353" i="192"/>
  <c r="H353" i="5" s="1"/>
  <c r="I211" i="192"/>
  <c r="H211" i="5" s="1"/>
  <c r="I332" i="192"/>
  <c r="H332" i="5" s="1"/>
  <c r="F256" i="192"/>
  <c r="I256" i="192" s="1"/>
  <c r="G23" i="192"/>
  <c r="I23" i="192" s="1"/>
  <c r="O2809" i="246" s="1"/>
  <c r="I367" i="192"/>
  <c r="H367" i="5" s="1"/>
  <c r="I379" i="192"/>
  <c r="I383" i="192"/>
  <c r="H383" i="5" s="1"/>
  <c r="M938" i="1"/>
  <c r="I265" i="192"/>
  <c r="H265" i="5" s="1"/>
  <c r="I269" i="192"/>
  <c r="H269" i="5" s="1"/>
  <c r="I273" i="192"/>
  <c r="H273" i="5" s="1"/>
  <c r="I319" i="192"/>
  <c r="M937" i="1"/>
  <c r="M936" i="1"/>
  <c r="M935" i="1"/>
  <c r="M1024" i="1"/>
  <c r="A59" i="193"/>
  <c r="A145" i="193"/>
  <c r="A213" i="193"/>
  <c r="A221" i="193"/>
  <c r="A253" i="193"/>
  <c r="A228" i="193"/>
  <c r="A210" i="193"/>
  <c r="A434" i="193"/>
  <c r="A472" i="193"/>
  <c r="A333" i="193"/>
  <c r="A353" i="193"/>
  <c r="A361" i="193"/>
  <c r="A383" i="193"/>
  <c r="A385" i="193"/>
  <c r="A407" i="193"/>
  <c r="A190" i="193"/>
  <c r="A220" i="193"/>
  <c r="A232" i="193"/>
  <c r="I253" i="192"/>
  <c r="H253" i="5" s="1"/>
  <c r="I227" i="192"/>
  <c r="H227" i="5" s="1"/>
  <c r="I315" i="192"/>
  <c r="H315" i="5" s="1"/>
  <c r="F486" i="193"/>
  <c r="F9" i="193" s="1"/>
  <c r="I158" i="192"/>
  <c r="H158" i="5" s="1"/>
  <c r="I310" i="192"/>
  <c r="H310" i="5" s="1"/>
  <c r="F8" i="193"/>
  <c r="D8" i="193" s="1"/>
  <c r="I168" i="192"/>
  <c r="I166" i="192"/>
  <c r="I204" i="192"/>
  <c r="H204" i="5" s="1"/>
  <c r="I370" i="192"/>
  <c r="H370" i="5" s="1"/>
  <c r="G13" i="192"/>
  <c r="I13" i="192" s="1"/>
  <c r="O2802" i="246" s="1"/>
  <c r="I167" i="192"/>
  <c r="I194" i="192"/>
  <c r="H194" i="5" s="1"/>
  <c r="I216" i="192"/>
  <c r="H216" i="5" s="1"/>
  <c r="I314" i="192"/>
  <c r="H314" i="5" s="1"/>
  <c r="I396" i="192"/>
  <c r="H396" i="5" s="1"/>
  <c r="A391" i="193"/>
  <c r="A278" i="193"/>
  <c r="A354" i="193"/>
  <c r="A382" i="193"/>
  <c r="A384" i="193"/>
  <c r="A388" i="193"/>
  <c r="A390" i="193"/>
  <c r="A392" i="193"/>
  <c r="A406" i="193"/>
  <c r="A420" i="193"/>
  <c r="A424" i="193"/>
  <c r="I175" i="192"/>
  <c r="H175" i="5" s="1"/>
  <c r="I140" i="192"/>
  <c r="O2916" i="246" s="1"/>
  <c r="I144" i="192"/>
  <c r="O1166" i="246" s="1"/>
  <c r="R1166" i="246" s="1"/>
  <c r="I148" i="192"/>
  <c r="O1170" i="246" s="1"/>
  <c r="R1170" i="246" s="1"/>
  <c r="I155" i="192"/>
  <c r="I159" i="192"/>
  <c r="H159" i="5" s="1"/>
  <c r="I163" i="192"/>
  <c r="H163" i="5" s="1"/>
  <c r="I349" i="192"/>
  <c r="H349" i="5" s="1"/>
  <c r="A81" i="193"/>
  <c r="A102" i="193"/>
  <c r="A123" i="193"/>
  <c r="A357" i="193"/>
  <c r="A376" i="193"/>
  <c r="A397" i="193"/>
  <c r="A80" i="193"/>
  <c r="A98" i="193"/>
  <c r="A118" i="193"/>
  <c r="A120" i="193"/>
  <c r="A121" i="193"/>
  <c r="A122" i="193"/>
  <c r="A126" i="193"/>
  <c r="A364" i="193"/>
  <c r="A365" i="193"/>
  <c r="A370" i="193"/>
  <c r="A377" i="193"/>
  <c r="A381" i="193"/>
  <c r="A398" i="193"/>
  <c r="I139" i="192"/>
  <c r="O2915" i="246" s="1"/>
  <c r="I154"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3" i="192"/>
  <c r="I147" i="192"/>
  <c r="O1169" i="246" s="1"/>
  <c r="R1169"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8"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1" i="192"/>
  <c r="H161" i="5" s="1"/>
  <c r="I186" i="192"/>
  <c r="H186" i="5" s="1"/>
  <c r="I188" i="192"/>
  <c r="H18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6" i="192"/>
  <c r="H196" i="5" s="1"/>
  <c r="I258" i="192"/>
  <c r="H258" i="5" s="1"/>
  <c r="I206" i="192"/>
  <c r="H206" i="5" s="1"/>
  <c r="I225" i="192"/>
  <c r="H225" i="5" s="1"/>
  <c r="I313" i="192"/>
  <c r="I176" i="192"/>
  <c r="I215" i="192"/>
  <c r="H215" i="5" s="1"/>
  <c r="I267" i="192"/>
  <c r="I274" i="192"/>
  <c r="H274" i="5" s="1"/>
  <c r="I309" i="192"/>
  <c r="H309" i="5" s="1"/>
  <c r="I356" i="192"/>
  <c r="H356" i="5" s="1"/>
  <c r="I381" i="192"/>
  <c r="H381" i="5" s="1"/>
  <c r="I192" i="192"/>
  <c r="H192" i="5" s="1"/>
  <c r="I210" i="192"/>
  <c r="H210" i="5" s="1"/>
  <c r="I202" i="192"/>
  <c r="I222" i="192"/>
  <c r="I254" i="192"/>
  <c r="H254" i="5" s="1"/>
  <c r="I266" i="192"/>
  <c r="H266" i="5" s="1"/>
  <c r="I342" i="192"/>
  <c r="I377" i="192"/>
  <c r="H377" i="5" s="1"/>
  <c r="I226" i="192"/>
  <c r="H226" i="5" s="1"/>
  <c r="I259" i="192"/>
  <c r="I341" i="192"/>
  <c r="H341" i="5" s="1"/>
  <c r="I382" i="192"/>
  <c r="H382"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91" i="192"/>
  <c r="H191" i="5" s="1"/>
  <c r="I201" i="192"/>
  <c r="I209" i="192"/>
  <c r="H209" i="5" s="1"/>
  <c r="I212" i="192"/>
  <c r="H212" i="5" s="1"/>
  <c r="I214" i="192"/>
  <c r="H214" i="5" s="1"/>
  <c r="I321" i="192"/>
  <c r="H321" i="5" s="1"/>
  <c r="I368" i="192"/>
  <c r="H368" i="5" s="1"/>
  <c r="I371" i="192"/>
  <c r="H371" i="5" s="1"/>
  <c r="I372" i="192"/>
  <c r="H372" i="5" s="1"/>
  <c r="F177" i="192"/>
  <c r="I177" i="192" s="1"/>
  <c r="I213" i="192"/>
  <c r="H213" i="5" s="1"/>
  <c r="I312" i="192"/>
  <c r="H312" i="5" s="1"/>
  <c r="I395" i="192"/>
  <c r="H395" i="5" s="1"/>
  <c r="I221" i="192"/>
  <c r="I318" i="192"/>
  <c r="H318" i="5" s="1"/>
  <c r="I334" i="192"/>
  <c r="H334" i="5" s="1"/>
  <c r="I347" i="192"/>
  <c r="H347" i="5" s="1"/>
  <c r="I376" i="192"/>
  <c r="H376" i="5" s="1"/>
  <c r="K404" i="192"/>
  <c r="K2" i="192" s="1"/>
  <c r="C1023" i="1"/>
  <c r="C1022" i="1"/>
  <c r="C1021" i="1"/>
  <c r="C1166" i="1"/>
  <c r="C1165" i="1"/>
  <c r="C1161" i="1"/>
  <c r="C1160" i="1"/>
  <c r="C1159" i="1"/>
  <c r="C1158" i="1"/>
  <c r="C1157" i="1"/>
  <c r="C1156" i="1"/>
  <c r="D1097" i="1"/>
  <c r="D1096" i="1"/>
  <c r="D1095" i="1"/>
  <c r="D1094" i="1"/>
  <c r="C932" i="1"/>
  <c r="C931" i="1"/>
  <c r="C930" i="1"/>
  <c r="C929" i="1"/>
  <c r="C928" i="1"/>
  <c r="O2439" i="246" l="1"/>
  <c r="M2469" i="1"/>
  <c r="M3155" i="1"/>
  <c r="S3155" i="1" s="1"/>
  <c r="O3159" i="1"/>
  <c r="U3159" i="1" s="1"/>
  <c r="O3173" i="1" s="1"/>
  <c r="N2" i="192"/>
  <c r="H37" i="5" s="1"/>
  <c r="O2923" i="246"/>
  <c r="S2923" i="246" s="1"/>
  <c r="O3283" i="1"/>
  <c r="U3283" i="1" s="1"/>
  <c r="O3448" i="1"/>
  <c r="S3448" i="1" s="1"/>
  <c r="M3283" i="1"/>
  <c r="S3283" i="1" s="1"/>
  <c r="O2795" i="246"/>
  <c r="S2795" i="246" s="1"/>
  <c r="O2799" i="246"/>
  <c r="S2799" i="246" s="1"/>
  <c r="O2829" i="246"/>
  <c r="S2829" i="246" s="1"/>
  <c r="O1176" i="246"/>
  <c r="R1176" i="246" s="1"/>
  <c r="O2938" i="246"/>
  <c r="S2938" i="246" s="1"/>
  <c r="O2882" i="246"/>
  <c r="S2882" i="246" s="1"/>
  <c r="O2818" i="246"/>
  <c r="O933" i="246"/>
  <c r="R933" i="246" s="1"/>
  <c r="O3343" i="1"/>
  <c r="M3178" i="1"/>
  <c r="M934" i="1"/>
  <c r="R934" i="1" s="1"/>
  <c r="M3189" i="1"/>
  <c r="S3189" i="1" s="1"/>
  <c r="O3242" i="1"/>
  <c r="U3242" i="1" s="1"/>
  <c r="O3189" i="1"/>
  <c r="U3189" i="1" s="1"/>
  <c r="O3320" i="1"/>
  <c r="S3320" i="1" s="1"/>
  <c r="O3463" i="1"/>
  <c r="S3463" i="1" s="1"/>
  <c r="M3298" i="1"/>
  <c r="S3298" i="1" s="1"/>
  <c r="O3354" i="1"/>
  <c r="S3354" i="1" s="1"/>
  <c r="M3169" i="1"/>
  <c r="O3334" i="1"/>
  <c r="O3441" i="1"/>
  <c r="M3276" i="1"/>
  <c r="O3440" i="1"/>
  <c r="M3275" i="1"/>
  <c r="M3162" i="1"/>
  <c r="O3327" i="1"/>
  <c r="R1098" i="1"/>
  <c r="M1170" i="1"/>
  <c r="R1170" i="1" s="1"/>
  <c r="M1177" i="1"/>
  <c r="R1177" i="1" s="1"/>
  <c r="M1171" i="1"/>
  <c r="R1171" i="1" s="1"/>
  <c r="E99" i="231"/>
  <c r="F99" i="231" s="1"/>
  <c r="G99" i="231" s="1"/>
  <c r="R1024" i="1"/>
  <c r="R936" i="1"/>
  <c r="R937" i="1"/>
  <c r="R935" i="1"/>
  <c r="R938" i="1"/>
  <c r="M1167" i="1"/>
  <c r="R1167" i="1" s="1"/>
  <c r="G404" i="192"/>
  <c r="G2" i="192" s="1"/>
  <c r="I404" i="192"/>
  <c r="I2" i="192" s="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4" i="190"/>
  <c r="M401" i="190"/>
  <c r="G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M392" i="190"/>
  <c r="G392" i="190" s="1"/>
  <c r="I392" i="190" s="1"/>
  <c r="G392" i="5" s="1"/>
  <c r="K392" i="190"/>
  <c r="M391" i="190"/>
  <c r="G391" i="190" s="1"/>
  <c r="I391" i="190" s="1"/>
  <c r="G391" i="5" s="1"/>
  <c r="K391" i="190"/>
  <c r="M390" i="190"/>
  <c r="G390" i="190" s="1"/>
  <c r="K390" i="190"/>
  <c r="M389" i="190"/>
  <c r="G389" i="190" s="1"/>
  <c r="K389" i="190"/>
  <c r="M388" i="190"/>
  <c r="G388" i="190" s="1"/>
  <c r="I388" i="190" s="1"/>
  <c r="G388" i="5" s="1"/>
  <c r="K388" i="190"/>
  <c r="M387" i="190"/>
  <c r="G387" i="190" s="1"/>
  <c r="I387" i="190" s="1"/>
  <c r="G387" i="5" s="1"/>
  <c r="K387" i="190"/>
  <c r="M386" i="190"/>
  <c r="G386" i="190" s="1"/>
  <c r="K386" i="190"/>
  <c r="M385" i="190"/>
  <c r="G385" i="190" s="1"/>
  <c r="K385" i="190"/>
  <c r="M384" i="190"/>
  <c r="G384" i="190" s="1"/>
  <c r="K384" i="190"/>
  <c r="F384" i="190" s="1"/>
  <c r="M383" i="190"/>
  <c r="G383" i="190" s="1"/>
  <c r="K383" i="190"/>
  <c r="F383" i="190" s="1"/>
  <c r="M382" i="190"/>
  <c r="G382" i="190" s="1"/>
  <c r="K382" i="190"/>
  <c r="F382" i="190" s="1"/>
  <c r="M381" i="190"/>
  <c r="G381" i="190" s="1"/>
  <c r="K381" i="190"/>
  <c r="F381" i="190" s="1"/>
  <c r="M380" i="190"/>
  <c r="G380" i="190" s="1"/>
  <c r="K380" i="190"/>
  <c r="F380" i="190" s="1"/>
  <c r="M379" i="190"/>
  <c r="G379" i="190" s="1"/>
  <c r="K379" i="190"/>
  <c r="M378" i="190"/>
  <c r="G378" i="190" s="1"/>
  <c r="I378" i="190" s="1"/>
  <c r="K378" i="190"/>
  <c r="M377" i="190"/>
  <c r="G377" i="190" s="1"/>
  <c r="K377" i="190"/>
  <c r="F377" i="190" s="1"/>
  <c r="M376" i="190"/>
  <c r="G376" i="190" s="1"/>
  <c r="K376" i="190"/>
  <c r="F376" i="190" s="1"/>
  <c r="M375" i="190"/>
  <c r="G375" i="190" s="1"/>
  <c r="K375" i="190"/>
  <c r="F375" i="190" s="1"/>
  <c r="M374" i="190"/>
  <c r="G374" i="190" s="1"/>
  <c r="I374" i="190" s="1"/>
  <c r="K374" i="190"/>
  <c r="M373" i="190"/>
  <c r="G373" i="190" s="1"/>
  <c r="K373" i="190"/>
  <c r="F373" i="190" s="1"/>
  <c r="M372" i="190"/>
  <c r="G372" i="190" s="1"/>
  <c r="K372" i="190"/>
  <c r="F372" i="190" s="1"/>
  <c r="M371" i="190"/>
  <c r="G371" i="190" s="1"/>
  <c r="K371" i="190"/>
  <c r="F371" i="190" s="1"/>
  <c r="M370" i="190"/>
  <c r="G370" i="190" s="1"/>
  <c r="K370" i="190"/>
  <c r="F370" i="190" s="1"/>
  <c r="M369" i="190"/>
  <c r="G369" i="190" s="1"/>
  <c r="K369" i="190"/>
  <c r="F369" i="190" s="1"/>
  <c r="M368" i="190"/>
  <c r="K368" i="190"/>
  <c r="F368" i="190" s="1"/>
  <c r="M367" i="190"/>
  <c r="G367" i="190" s="1"/>
  <c r="K367" i="190"/>
  <c r="F367" i="190" s="1"/>
  <c r="M366" i="190"/>
  <c r="G366" i="190" s="1"/>
  <c r="I366" i="190" s="1"/>
  <c r="K366" i="190"/>
  <c r="M365" i="190"/>
  <c r="G365" i="190" s="1"/>
  <c r="K365" i="190"/>
  <c r="F365" i="190" s="1"/>
  <c r="M364" i="190"/>
  <c r="G364" i="190" s="1"/>
  <c r="K364" i="190"/>
  <c r="F364" i="190" s="1"/>
  <c r="M363" i="190"/>
  <c r="K363" i="190"/>
  <c r="F363" i="190" s="1"/>
  <c r="M362" i="190"/>
  <c r="G362" i="190" s="1"/>
  <c r="K362" i="190"/>
  <c r="F362" i="190" s="1"/>
  <c r="M361" i="190"/>
  <c r="G361" i="190" s="1"/>
  <c r="K361" i="190"/>
  <c r="F361" i="190" s="1"/>
  <c r="M360" i="190"/>
  <c r="G360" i="190" s="1"/>
  <c r="K360" i="190"/>
  <c r="F360" i="190" s="1"/>
  <c r="M359" i="190"/>
  <c r="G359" i="190" s="1"/>
  <c r="I359" i="190" s="1"/>
  <c r="K359" i="190"/>
  <c r="M358" i="190"/>
  <c r="G358" i="190" s="1"/>
  <c r="K358" i="190"/>
  <c r="F358" i="190" s="1"/>
  <c r="M357" i="190"/>
  <c r="G357" i="190" s="1"/>
  <c r="K357" i="190"/>
  <c r="F357" i="190" s="1"/>
  <c r="M356" i="190"/>
  <c r="G356" i="190" s="1"/>
  <c r="K356" i="190"/>
  <c r="F356" i="190" s="1"/>
  <c r="M355" i="190"/>
  <c r="K355" i="190"/>
  <c r="F355" i="190" s="1"/>
  <c r="M354" i="190"/>
  <c r="G354" i="190" s="1"/>
  <c r="I354" i="190" s="1"/>
  <c r="K354" i="190"/>
  <c r="M353" i="190"/>
  <c r="G353" i="190" s="1"/>
  <c r="K353" i="190"/>
  <c r="F353" i="190" s="1"/>
  <c r="M352" i="190"/>
  <c r="G352" i="190" s="1"/>
  <c r="K352" i="190"/>
  <c r="F352" i="190" s="1"/>
  <c r="M351" i="190"/>
  <c r="G351" i="190" s="1"/>
  <c r="K351" i="190"/>
  <c r="F351" i="190" s="1"/>
  <c r="M350" i="190"/>
  <c r="G350" i="190" s="1"/>
  <c r="K350" i="190"/>
  <c r="F350" i="190" s="1"/>
  <c r="M349" i="190"/>
  <c r="G349" i="190" s="1"/>
  <c r="K349" i="190"/>
  <c r="F349" i="190" s="1"/>
  <c r="M347" i="190"/>
  <c r="G347" i="190" s="1"/>
  <c r="K347" i="190"/>
  <c r="F347" i="190" s="1"/>
  <c r="M346" i="190"/>
  <c r="G346" i="190" s="1"/>
  <c r="K346" i="190"/>
  <c r="F346" i="190" s="1"/>
  <c r="M344" i="190"/>
  <c r="G344" i="190" s="1"/>
  <c r="K344" i="190"/>
  <c r="F344" i="190" s="1"/>
  <c r="M342" i="190"/>
  <c r="G342" i="190" s="1"/>
  <c r="K342" i="190"/>
  <c r="M341" i="190"/>
  <c r="G341" i="190" s="1"/>
  <c r="K341" i="190"/>
  <c r="F341" i="190" s="1"/>
  <c r="M334" i="190"/>
  <c r="G334" i="190" s="1"/>
  <c r="K334" i="190"/>
  <c r="F334" i="190" s="1"/>
  <c r="M332" i="190"/>
  <c r="G332" i="190" s="1"/>
  <c r="K332" i="190"/>
  <c r="F332" i="190" s="1"/>
  <c r="M330" i="190"/>
  <c r="G330" i="190" s="1"/>
  <c r="K330" i="190"/>
  <c r="F330" i="190" s="1"/>
  <c r="M321" i="190"/>
  <c r="G321" i="190" s="1"/>
  <c r="K321" i="190"/>
  <c r="F321" i="190" s="1"/>
  <c r="M319" i="190"/>
  <c r="G319" i="190" s="1"/>
  <c r="I319" i="190" s="1"/>
  <c r="K319" i="190"/>
  <c r="M318" i="190"/>
  <c r="G318" i="190" s="1"/>
  <c r="K318" i="190"/>
  <c r="F318" i="190" s="1"/>
  <c r="M317" i="190"/>
  <c r="G317" i="190" s="1"/>
  <c r="K317" i="190"/>
  <c r="F317" i="190" s="1"/>
  <c r="M316" i="190"/>
  <c r="G316" i="190" s="1"/>
  <c r="K316" i="190"/>
  <c r="F316" i="190" s="1"/>
  <c r="M315" i="190"/>
  <c r="G315" i="190" s="1"/>
  <c r="K315" i="190"/>
  <c r="F315" i="190" s="1"/>
  <c r="M314" i="190"/>
  <c r="G314" i="190" s="1"/>
  <c r="K314" i="190"/>
  <c r="F314" i="190" s="1"/>
  <c r="M313" i="190"/>
  <c r="G313" i="190" s="1"/>
  <c r="K313" i="190"/>
  <c r="M312" i="190"/>
  <c r="G312" i="190" s="1"/>
  <c r="K312" i="190"/>
  <c r="F312" i="190" s="1"/>
  <c r="M311" i="190"/>
  <c r="G311" i="190" s="1"/>
  <c r="K311" i="190"/>
  <c r="F311" i="190" s="1"/>
  <c r="M310" i="190"/>
  <c r="G310" i="190" s="1"/>
  <c r="K310" i="190"/>
  <c r="F310" i="190" s="1"/>
  <c r="M309" i="190"/>
  <c r="G309" i="190" s="1"/>
  <c r="K309" i="190"/>
  <c r="F309" i="190" s="1"/>
  <c r="M308" i="190"/>
  <c r="G308" i="190" s="1"/>
  <c r="K308" i="190"/>
  <c r="F308" i="190" s="1"/>
  <c r="M307" i="190"/>
  <c r="G307" i="190" s="1"/>
  <c r="K307" i="190"/>
  <c r="M302" i="190"/>
  <c r="G302" i="190" s="1"/>
  <c r="I302" i="190" s="1"/>
  <c r="K302" i="190"/>
  <c r="M283" i="190"/>
  <c r="G283" i="190" s="1"/>
  <c r="I283" i="190" s="1"/>
  <c r="K283" i="190"/>
  <c r="M282" i="190"/>
  <c r="G282" i="190" s="1"/>
  <c r="I282" i="190" s="1"/>
  <c r="G282" i="5" s="1"/>
  <c r="K282" i="190"/>
  <c r="M281" i="190"/>
  <c r="G281" i="190" s="1"/>
  <c r="K281" i="190"/>
  <c r="M280" i="190"/>
  <c r="G280" i="190" s="1"/>
  <c r="K280" i="190"/>
  <c r="M279" i="190"/>
  <c r="G279" i="190" s="1"/>
  <c r="I279" i="190" s="1"/>
  <c r="K279" i="190"/>
  <c r="M278" i="190"/>
  <c r="G278" i="190" s="1"/>
  <c r="I278" i="190" s="1"/>
  <c r="G278" i="5" s="1"/>
  <c r="K278" i="190"/>
  <c r="M277" i="190"/>
  <c r="G277" i="190" s="1"/>
  <c r="K277" i="190"/>
  <c r="M276" i="190"/>
  <c r="G276" i="190" s="1"/>
  <c r="K276" i="190"/>
  <c r="M275" i="190"/>
  <c r="G275" i="190" s="1"/>
  <c r="I275" i="190" s="1"/>
  <c r="K275" i="190"/>
  <c r="M274" i="190"/>
  <c r="G274" i="190" s="1"/>
  <c r="K274" i="190"/>
  <c r="M273" i="190"/>
  <c r="G273" i="190" s="1"/>
  <c r="K273" i="190"/>
  <c r="M272" i="190"/>
  <c r="G272" i="190" s="1"/>
  <c r="K272" i="190"/>
  <c r="M271" i="190"/>
  <c r="G271" i="190" s="1"/>
  <c r="I271" i="190" s="1"/>
  <c r="K271" i="190"/>
  <c r="M270" i="190"/>
  <c r="G270" i="190" s="1"/>
  <c r="I270" i="190" s="1"/>
  <c r="G270" i="5" s="1"/>
  <c r="K270" i="190"/>
  <c r="M269" i="190"/>
  <c r="G269" i="190" s="1"/>
  <c r="I269" i="190" s="1"/>
  <c r="G269" i="5"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I253" i="190" s="1"/>
  <c r="G253" i="5" s="1"/>
  <c r="K253" i="190"/>
  <c r="M252" i="190"/>
  <c r="G252" i="190" s="1"/>
  <c r="K252" i="190"/>
  <c r="M251" i="190"/>
  <c r="G251" i="190" s="1"/>
  <c r="K251" i="190"/>
  <c r="M238" i="190"/>
  <c r="G238" i="190" s="1"/>
  <c r="K238" i="190"/>
  <c r="M237" i="190"/>
  <c r="G237" i="190" s="1"/>
  <c r="I237" i="190" s="1"/>
  <c r="G237" i="5" s="1"/>
  <c r="K237" i="190"/>
  <c r="M236" i="190"/>
  <c r="G236" i="190" s="1"/>
  <c r="K236" i="190"/>
  <c r="M235" i="190"/>
  <c r="G235" i="190" s="1"/>
  <c r="I235" i="190" s="1"/>
  <c r="K235" i="190"/>
  <c r="M232" i="190"/>
  <c r="G232" i="190" s="1"/>
  <c r="I232" i="190" s="1"/>
  <c r="G232" i="5" s="1"/>
  <c r="K232" i="190"/>
  <c r="M231" i="190"/>
  <c r="G231" i="190" s="1"/>
  <c r="K231" i="190"/>
  <c r="M230" i="190"/>
  <c r="G230" i="190" s="1"/>
  <c r="K230" i="190"/>
  <c r="M229" i="190"/>
  <c r="G229" i="190" s="1"/>
  <c r="K229" i="190"/>
  <c r="M228" i="190"/>
  <c r="G228" i="190" s="1"/>
  <c r="K228" i="190"/>
  <c r="M227" i="190"/>
  <c r="G227" i="190" s="1"/>
  <c r="K227" i="190"/>
  <c r="M226" i="190"/>
  <c r="G226" i="190" s="1"/>
  <c r="K226" i="190"/>
  <c r="M225" i="190"/>
  <c r="G225" i="190" s="1"/>
  <c r="K225" i="190"/>
  <c r="M222" i="190"/>
  <c r="G222" i="190" s="1"/>
  <c r="K222" i="190"/>
  <c r="F222" i="190" s="1"/>
  <c r="M221" i="190"/>
  <c r="G221" i="190" s="1"/>
  <c r="K221" i="190"/>
  <c r="F221" i="190" s="1"/>
  <c r="M220" i="190"/>
  <c r="G220" i="190" s="1"/>
  <c r="K220" i="190"/>
  <c r="M219" i="190"/>
  <c r="G219" i="190" s="1"/>
  <c r="K219" i="190"/>
  <c r="F219" i="190" s="1"/>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K210" i="190"/>
  <c r="F210" i="190" s="1"/>
  <c r="M209" i="190"/>
  <c r="G209" i="190" s="1"/>
  <c r="K209" i="190"/>
  <c r="F209" i="190" s="1"/>
  <c r="M208" i="190"/>
  <c r="G208" i="190" s="1"/>
  <c r="K208" i="190"/>
  <c r="F208" i="190" s="1"/>
  <c r="M207" i="190"/>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M184" i="190"/>
  <c r="G184" i="190" s="1"/>
  <c r="K184" i="190"/>
  <c r="M183" i="190"/>
  <c r="G183" i="190" s="1"/>
  <c r="I183" i="190" s="1"/>
  <c r="G183" i="5" s="1"/>
  <c r="K183" i="190"/>
  <c r="M182" i="190"/>
  <c r="G182" i="190" s="1"/>
  <c r="I182" i="190" s="1"/>
  <c r="G182" i="5" s="1"/>
  <c r="K182" i="190"/>
  <c r="M181" i="190"/>
  <c r="G181" i="190" s="1"/>
  <c r="K181" i="190"/>
  <c r="M180" i="190"/>
  <c r="G180" i="190" s="1"/>
  <c r="I180" i="190" s="1"/>
  <c r="K180" i="190"/>
  <c r="M179" i="190"/>
  <c r="G179" i="190" s="1"/>
  <c r="I179" i="190" s="1"/>
  <c r="G179" i="5" s="1"/>
  <c r="K179" i="190"/>
  <c r="M178" i="190"/>
  <c r="G178" i="190" s="1"/>
  <c r="K178" i="190"/>
  <c r="M177" i="190"/>
  <c r="G177" i="190" s="1"/>
  <c r="K177" i="190"/>
  <c r="M176" i="190"/>
  <c r="G176" i="190" s="1"/>
  <c r="I176" i="190" s="1"/>
  <c r="K176" i="190"/>
  <c r="M175" i="190"/>
  <c r="G175" i="190" s="1"/>
  <c r="I175" i="190" s="1"/>
  <c r="G175" i="5" s="1"/>
  <c r="K175" i="190"/>
  <c r="M174" i="190"/>
  <c r="G174" i="190" s="1"/>
  <c r="I174" i="190" s="1"/>
  <c r="G174" i="5" s="1"/>
  <c r="K174" i="190"/>
  <c r="M173" i="190"/>
  <c r="G173" i="190" s="1"/>
  <c r="K173" i="190"/>
  <c r="M172" i="190"/>
  <c r="G172" i="190" s="1"/>
  <c r="K172" i="190"/>
  <c r="M171" i="190"/>
  <c r="G171" i="190" s="1"/>
  <c r="I171" i="190" s="1"/>
  <c r="G171" i="5" s="1"/>
  <c r="K171" i="190"/>
  <c r="M170" i="190"/>
  <c r="G170" i="190" s="1"/>
  <c r="K170" i="190"/>
  <c r="M169" i="190"/>
  <c r="G169" i="190" s="1"/>
  <c r="K169" i="190"/>
  <c r="M168" i="190"/>
  <c r="K168" i="190"/>
  <c r="M167" i="190"/>
  <c r="K167" i="190"/>
  <c r="M166" i="190"/>
  <c r="K166" i="190"/>
  <c r="M165" i="190"/>
  <c r="G165" i="190" s="1"/>
  <c r="I165" i="190" s="1"/>
  <c r="G165" i="5" s="1"/>
  <c r="M164" i="190"/>
  <c r="G164" i="190" s="1"/>
  <c r="I164" i="190" s="1"/>
  <c r="G164" i="5" s="1"/>
  <c r="M163" i="190"/>
  <c r="G163" i="190" s="1"/>
  <c r="I163" i="190" s="1"/>
  <c r="G163" i="5" s="1"/>
  <c r="M161" i="190"/>
  <c r="G161" i="190" s="1"/>
  <c r="I161" i="190" s="1"/>
  <c r="G161" i="5" s="1"/>
  <c r="M160" i="190"/>
  <c r="G160" i="190" s="1"/>
  <c r="I160" i="190" s="1"/>
  <c r="M159" i="190"/>
  <c r="G159" i="190" s="1"/>
  <c r="I159" i="190" s="1"/>
  <c r="G159" i="5" s="1"/>
  <c r="M158" i="190"/>
  <c r="G158" i="190" s="1"/>
  <c r="I158" i="190" s="1"/>
  <c r="G158" i="5" s="1"/>
  <c r="M157" i="190"/>
  <c r="G157" i="190" s="1"/>
  <c r="I157" i="190" s="1"/>
  <c r="M156" i="190"/>
  <c r="G156" i="190" s="1"/>
  <c r="I156" i="190" s="1"/>
  <c r="M155" i="190"/>
  <c r="G155" i="190" s="1"/>
  <c r="I155" i="190" s="1"/>
  <c r="M154" i="190"/>
  <c r="G154" i="190" s="1"/>
  <c r="I154" i="190" s="1"/>
  <c r="O1165" i="246" s="1"/>
  <c r="R1165" i="246" s="1"/>
  <c r="O1166" i="1"/>
  <c r="M153" i="190"/>
  <c r="G153" i="190" s="1"/>
  <c r="I153" i="190" s="1"/>
  <c r="O1164" i="246" s="1"/>
  <c r="R1164" i="246" s="1"/>
  <c r="O1165" i="1"/>
  <c r="M149" i="190"/>
  <c r="G149" i="190" s="1"/>
  <c r="I149" i="190" s="1"/>
  <c r="O1160" i="246" s="1"/>
  <c r="R1160" i="246" s="1"/>
  <c r="O1161" i="1"/>
  <c r="M148" i="190"/>
  <c r="G148" i="190" s="1"/>
  <c r="I148" i="190" s="1"/>
  <c r="O1159" i="246" s="1"/>
  <c r="R1159" i="246" s="1"/>
  <c r="O1160" i="1"/>
  <c r="M147" i="190"/>
  <c r="G147" i="190" s="1"/>
  <c r="I147" i="190" s="1"/>
  <c r="O1158" i="246" s="1"/>
  <c r="R1158" i="246" s="1"/>
  <c r="O1159" i="1"/>
  <c r="M146" i="190"/>
  <c r="G146" i="190" s="1"/>
  <c r="I146" i="190" s="1"/>
  <c r="O1157" i="246" s="1"/>
  <c r="R1157" i="246" s="1"/>
  <c r="O1158" i="1"/>
  <c r="M145" i="190"/>
  <c r="G145" i="190" s="1"/>
  <c r="I145" i="190" s="1"/>
  <c r="O1156" i="246" s="1"/>
  <c r="R1156" i="246" s="1"/>
  <c r="O1157" i="1"/>
  <c r="M144" i="190"/>
  <c r="G144" i="190" s="1"/>
  <c r="I144" i="190" s="1"/>
  <c r="M143" i="190"/>
  <c r="G143" i="190" s="1"/>
  <c r="I143" i="190" s="1"/>
  <c r="M142" i="190"/>
  <c r="G142" i="190" s="1"/>
  <c r="I142" i="190" s="1"/>
  <c r="M140" i="190"/>
  <c r="G140" i="190" s="1"/>
  <c r="I140" i="190" s="1"/>
  <c r="O2751" i="246" s="1"/>
  <c r="M139" i="190"/>
  <c r="G139" i="190" s="1"/>
  <c r="I139" i="190" s="1"/>
  <c r="O2750" i="246" s="1"/>
  <c r="M138" i="190"/>
  <c r="G138" i="190" s="1"/>
  <c r="I138" i="190" s="1"/>
  <c r="O2749" i="246" s="1"/>
  <c r="M137" i="190"/>
  <c r="G137" i="190" s="1"/>
  <c r="I137" i="190" s="1"/>
  <c r="O2748" i="246" s="1"/>
  <c r="M136" i="190"/>
  <c r="G136" i="190" s="1"/>
  <c r="I136" i="190" s="1"/>
  <c r="O2747" i="246" s="1"/>
  <c r="M135" i="190"/>
  <c r="G135" i="190" s="1"/>
  <c r="I135" i="190" s="1"/>
  <c r="O2746" i="246" s="1"/>
  <c r="M134" i="190"/>
  <c r="G134" i="190" s="1"/>
  <c r="I134" i="190" s="1"/>
  <c r="O2745" i="246" s="1"/>
  <c r="M133" i="190"/>
  <c r="G133" i="190" s="1"/>
  <c r="I133" i="190" s="1"/>
  <c r="O2744" i="246" s="1"/>
  <c r="M132" i="190"/>
  <c r="G132" i="190" s="1"/>
  <c r="I132" i="190" s="1"/>
  <c r="O2743" i="246" s="1"/>
  <c r="M131" i="190"/>
  <c r="G131" i="190" s="1"/>
  <c r="I131" i="190" s="1"/>
  <c r="O2742" i="246" s="1"/>
  <c r="M130" i="190"/>
  <c r="G130" i="190" s="1"/>
  <c r="I130" i="190" s="1"/>
  <c r="O2741" i="246" s="1"/>
  <c r="M129" i="190"/>
  <c r="G129" i="190" s="1"/>
  <c r="I129" i="190" s="1"/>
  <c r="O2740" i="246" s="1"/>
  <c r="M128" i="190"/>
  <c r="G128" i="190" s="1"/>
  <c r="I128" i="190" s="1"/>
  <c r="O2739" i="246" s="1"/>
  <c r="M127" i="190"/>
  <c r="G127" i="190" s="1"/>
  <c r="I127" i="190" s="1"/>
  <c r="M126" i="190"/>
  <c r="G126" i="190" s="1"/>
  <c r="I126" i="190" s="1"/>
  <c r="M125" i="190"/>
  <c r="G125" i="190" s="1"/>
  <c r="I125" i="190" s="1"/>
  <c r="O2737" i="246" s="1"/>
  <c r="M124" i="190"/>
  <c r="G124" i="190" s="1"/>
  <c r="I124" i="190" s="1"/>
  <c r="O2736" i="246" s="1"/>
  <c r="M123" i="190"/>
  <c r="G123" i="190" s="1"/>
  <c r="I123" i="190" s="1"/>
  <c r="M122" i="190"/>
  <c r="G122" i="190" s="1"/>
  <c r="I122" i="190" s="1"/>
  <c r="M121" i="190"/>
  <c r="G121" i="190" s="1"/>
  <c r="I121" i="190" s="1"/>
  <c r="O2732" i="246" s="1"/>
  <c r="M120" i="190"/>
  <c r="G120" i="190" s="1"/>
  <c r="I120" i="190" s="1"/>
  <c r="O2731" i="246" s="1"/>
  <c r="M119" i="190"/>
  <c r="G119" i="190" s="1"/>
  <c r="I119" i="190" s="1"/>
  <c r="O2730" i="246" s="1"/>
  <c r="M118" i="190"/>
  <c r="G118" i="190" s="1"/>
  <c r="I118" i="190" s="1"/>
  <c r="O2729" i="246" s="1"/>
  <c r="M117" i="190"/>
  <c r="G117" i="190" s="1"/>
  <c r="I117" i="190" s="1"/>
  <c r="M116" i="190"/>
  <c r="G116" i="190" s="1"/>
  <c r="I116" i="190"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6" i="190"/>
  <c r="G106" i="190" s="1"/>
  <c r="I106" i="190" s="1"/>
  <c r="O2724" i="246" s="1"/>
  <c r="M105" i="190"/>
  <c r="G105" i="190" s="1"/>
  <c r="I105" i="190" s="1"/>
  <c r="O2723" i="246" s="1"/>
  <c r="M104" i="190"/>
  <c r="G104" i="190" s="1"/>
  <c r="I104" i="190" s="1"/>
  <c r="O2722" i="246" s="1"/>
  <c r="M103" i="190"/>
  <c r="G103" i="190" s="1"/>
  <c r="I103" i="190" s="1"/>
  <c r="O2721" i="246" s="1"/>
  <c r="M102" i="190"/>
  <c r="G102" i="190" s="1"/>
  <c r="I102" i="190" s="1"/>
  <c r="M101" i="190"/>
  <c r="G101" i="190" s="1"/>
  <c r="I101" i="190" s="1"/>
  <c r="M100" i="190"/>
  <c r="G100" i="190" s="1"/>
  <c r="I100" i="190" s="1"/>
  <c r="M99" i="190"/>
  <c r="G99" i="190" s="1"/>
  <c r="I99" i="190" s="1"/>
  <c r="M98" i="190"/>
  <c r="G98" i="190" s="1"/>
  <c r="I98" i="190" s="1"/>
  <c r="M96" i="190"/>
  <c r="G96" i="190" s="1"/>
  <c r="I96" i="190" s="1"/>
  <c r="O2764" i="246" s="1"/>
  <c r="M95" i="190"/>
  <c r="G95" i="190" s="1"/>
  <c r="I95" i="190" s="1"/>
  <c r="O2761" i="246" s="1"/>
  <c r="M94" i="190"/>
  <c r="G94" i="190" s="1"/>
  <c r="I94" i="190" s="1"/>
  <c r="M93" i="190"/>
  <c r="G93" i="190" s="1"/>
  <c r="I93" i="190" s="1"/>
  <c r="M91" i="190"/>
  <c r="G91" i="190" s="1"/>
  <c r="I91" i="190" s="1"/>
  <c r="M90" i="190"/>
  <c r="G90" i="190" s="1"/>
  <c r="I90" i="190" s="1"/>
  <c r="M89" i="190"/>
  <c r="G89" i="190" s="1"/>
  <c r="I89" i="190" s="1"/>
  <c r="O1096" i="246" s="1"/>
  <c r="R1096" i="246" s="1"/>
  <c r="O1097" i="1"/>
  <c r="M88" i="190"/>
  <c r="G88" i="190" s="1"/>
  <c r="I88" i="190" s="1"/>
  <c r="O1095" i="246" s="1"/>
  <c r="R1095" i="246" s="1"/>
  <c r="O1096" i="1"/>
  <c r="M87" i="190"/>
  <c r="G87" i="190" s="1"/>
  <c r="I87" i="190" s="1"/>
  <c r="O1094" i="246" s="1"/>
  <c r="R1094" i="246" s="1"/>
  <c r="O1095" i="1"/>
  <c r="M86" i="190"/>
  <c r="G86" i="190" s="1"/>
  <c r="I86" i="190" s="1"/>
  <c r="M85" i="190"/>
  <c r="G85" i="190" s="1"/>
  <c r="I85" i="190" s="1"/>
  <c r="M84" i="190"/>
  <c r="G84" i="190" s="1"/>
  <c r="I84" i="190" s="1"/>
  <c r="O2766" i="246" s="1"/>
  <c r="M83" i="190"/>
  <c r="G83" i="190" s="1"/>
  <c r="I83" i="190" s="1"/>
  <c r="M82" i="190"/>
  <c r="G82" i="190" s="1"/>
  <c r="I82" i="190" s="1"/>
  <c r="O2694" i="246" s="1"/>
  <c r="M81" i="190"/>
  <c r="G81" i="190" s="1"/>
  <c r="I81" i="190" s="1"/>
  <c r="O2693" i="246" s="1"/>
  <c r="M80" i="190"/>
  <c r="G80" i="190" s="1"/>
  <c r="I80" i="190" s="1"/>
  <c r="O2692" i="246" s="1"/>
  <c r="M79" i="190"/>
  <c r="G79" i="190" s="1"/>
  <c r="I79" i="190" s="1"/>
  <c r="O2691" i="246" s="1"/>
  <c r="M78" i="190"/>
  <c r="G78" i="190" s="1"/>
  <c r="I78" i="190" s="1"/>
  <c r="O2690" i="246" s="1"/>
  <c r="M77" i="190"/>
  <c r="G77" i="190" s="1"/>
  <c r="I77" i="190" s="1"/>
  <c r="O2689" i="246" s="1"/>
  <c r="M76" i="190"/>
  <c r="G76" i="190" s="1"/>
  <c r="I76" i="190" s="1"/>
  <c r="O2688" i="246" s="1"/>
  <c r="M75" i="190"/>
  <c r="G75" i="190" s="1"/>
  <c r="I75" i="190" s="1"/>
  <c r="O2687" i="246" s="1"/>
  <c r="M74" i="190"/>
  <c r="G74" i="190" s="1"/>
  <c r="I74" i="190" s="1"/>
  <c r="O2686" i="246" s="1"/>
  <c r="M73" i="190"/>
  <c r="G73" i="190" s="1"/>
  <c r="I73" i="190" s="1"/>
  <c r="O2685" i="246" s="1"/>
  <c r="M72" i="190"/>
  <c r="G72" i="190" s="1"/>
  <c r="I72" i="190" s="1"/>
  <c r="O2684" i="246" s="1"/>
  <c r="M71" i="190"/>
  <c r="G71" i="190" s="1"/>
  <c r="I71" i="190" s="1"/>
  <c r="O2683" i="246" s="1"/>
  <c r="M70" i="190"/>
  <c r="G70" i="190" s="1"/>
  <c r="I70" i="190" s="1"/>
  <c r="M69" i="190"/>
  <c r="G69" i="190" s="1"/>
  <c r="I69" i="190" s="1"/>
  <c r="M68" i="190"/>
  <c r="G68" i="190" s="1"/>
  <c r="I68" i="190" s="1"/>
  <c r="M67" i="190"/>
  <c r="G67" i="190" s="1"/>
  <c r="I67" i="190" s="1"/>
  <c r="M66" i="190"/>
  <c r="G66" i="190" s="1"/>
  <c r="I66" i="190" s="1"/>
  <c r="M64" i="190"/>
  <c r="G64" i="190" s="1"/>
  <c r="I64" i="190" s="1"/>
  <c r="O2679" i="246" s="1"/>
  <c r="M63" i="190"/>
  <c r="G63" i="190" s="1"/>
  <c r="I63" i="190" s="1"/>
  <c r="O1022" i="246" s="1"/>
  <c r="R1022" i="246" s="1"/>
  <c r="O1023" i="1"/>
  <c r="M62" i="190"/>
  <c r="G62" i="190" s="1"/>
  <c r="I62" i="190" s="1"/>
  <c r="O1021" i="246" s="1"/>
  <c r="R1021" i="246" s="1"/>
  <c r="O1022"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2676" i="246" s="1"/>
  <c r="M52" i="190"/>
  <c r="G52" i="190" s="1"/>
  <c r="I52" i="190" s="1"/>
  <c r="M51" i="190"/>
  <c r="G51" i="190" s="1"/>
  <c r="I51" i="190" s="1"/>
  <c r="M50" i="190"/>
  <c r="G50" i="190" s="1"/>
  <c r="I50" i="190" s="1"/>
  <c r="O2674" i="246" s="1"/>
  <c r="M49" i="190"/>
  <c r="G49" i="190" s="1"/>
  <c r="I49" i="190" s="1"/>
  <c r="O2673" i="246" s="1"/>
  <c r="M48" i="190"/>
  <c r="G48" i="190" s="1"/>
  <c r="I48" i="190" s="1"/>
  <c r="O2672" i="246" s="1"/>
  <c r="M47" i="190"/>
  <c r="G47" i="190" s="1"/>
  <c r="I47" i="190" s="1"/>
  <c r="O2671" i="246" s="1"/>
  <c r="M46" i="190"/>
  <c r="G46" i="190" s="1"/>
  <c r="I46" i="190" s="1"/>
  <c r="M45" i="190"/>
  <c r="G45" i="190" s="1"/>
  <c r="I45" i="190" s="1"/>
  <c r="M44" i="190"/>
  <c r="G44" i="190" s="1"/>
  <c r="I44" i="190" s="1"/>
  <c r="M43" i="190"/>
  <c r="G43" i="190" s="1"/>
  <c r="I43" i="190" s="1"/>
  <c r="M42" i="190"/>
  <c r="G42" i="190" s="1"/>
  <c r="I42" i="190" s="1"/>
  <c r="O2669" i="246" s="1"/>
  <c r="M41" i="190"/>
  <c r="G41" i="190" s="1"/>
  <c r="I41" i="190" s="1"/>
  <c r="O2668" i="246" s="1"/>
  <c r="M40" i="190"/>
  <c r="G40" i="190" s="1"/>
  <c r="I40" i="190" s="1"/>
  <c r="O2667"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2643" i="246" s="1"/>
  <c r="M21" i="190"/>
  <c r="G21" i="190" s="1"/>
  <c r="I21" i="190" s="1"/>
  <c r="O2642" i="246" s="1"/>
  <c r="M20" i="190"/>
  <c r="G20" i="190" s="1"/>
  <c r="I20" i="190" s="1"/>
  <c r="O2641" i="246" s="1"/>
  <c r="M19" i="190"/>
  <c r="G19" i="190" s="1"/>
  <c r="I19" i="190" s="1"/>
  <c r="O2640" i="246" s="1"/>
  <c r="M18" i="190"/>
  <c r="G18" i="190" s="1"/>
  <c r="I18" i="190" s="1"/>
  <c r="O2639"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K15" i="189"/>
  <c r="J15" i="189"/>
  <c r="G108" i="190" s="1"/>
  <c r="I108" i="190" s="1"/>
  <c r="D4" i="189"/>
  <c r="C2" i="189"/>
  <c r="O3086" i="1" l="1"/>
  <c r="O2726" i="246"/>
  <c r="M2921" i="1"/>
  <c r="I401" i="190"/>
  <c r="M3159" i="1"/>
  <c r="S3159" i="1" s="1"/>
  <c r="F230" i="190"/>
  <c r="I230" i="190" s="1"/>
  <c r="F236" i="190"/>
  <c r="I236" i="190" s="1"/>
  <c r="O2815" i="246"/>
  <c r="S2815" i="246" s="1"/>
  <c r="O3340" i="1"/>
  <c r="S3340" i="1" s="1"/>
  <c r="M3175" i="1"/>
  <c r="S3175" i="1" s="1"/>
  <c r="M2928" i="1"/>
  <c r="O2733" i="246"/>
  <c r="O3093" i="1"/>
  <c r="O2813" i="246"/>
  <c r="D2813" i="246" s="1"/>
  <c r="G233" i="190"/>
  <c r="I233" i="190" s="1"/>
  <c r="G233" i="5" s="1"/>
  <c r="G6" i="190"/>
  <c r="I6" i="190" s="1"/>
  <c r="O2990" i="1" s="1"/>
  <c r="S2990" i="1" s="1"/>
  <c r="G304" i="190"/>
  <c r="I304" i="190" s="1"/>
  <c r="G304" i="5" s="1"/>
  <c r="O3187" i="1"/>
  <c r="O3223" i="1"/>
  <c r="O2675" i="246"/>
  <c r="O2992" i="1"/>
  <c r="S2992" i="1" s="1"/>
  <c r="O2632" i="246"/>
  <c r="S2632" i="246" s="1"/>
  <c r="O2682" i="246"/>
  <c r="O2727" i="246"/>
  <c r="O2738" i="246"/>
  <c r="O2720" i="246"/>
  <c r="O2765" i="246"/>
  <c r="O2735" i="246"/>
  <c r="O928" i="246"/>
  <c r="R928" i="246" s="1"/>
  <c r="O2654" i="246"/>
  <c r="O2656" i="246"/>
  <c r="O930" i="246"/>
  <c r="R930" i="246" s="1"/>
  <c r="O2670" i="246"/>
  <c r="O1155" i="246"/>
  <c r="R1155" i="246" s="1"/>
  <c r="O2773" i="246"/>
  <c r="S2773" i="246" s="1"/>
  <c r="O2657" i="246"/>
  <c r="O931" i="246"/>
  <c r="R931" i="246" s="1"/>
  <c r="O2678" i="246"/>
  <c r="O1020" i="246"/>
  <c r="R1020" i="246" s="1"/>
  <c r="M2929" i="1"/>
  <c r="O2734" i="246"/>
  <c r="O2655" i="246"/>
  <c r="O929" i="246"/>
  <c r="R929" i="246" s="1"/>
  <c r="O2677" i="246"/>
  <c r="O2681" i="246"/>
  <c r="O1093" i="246"/>
  <c r="R1093" i="246" s="1"/>
  <c r="O2763" i="246"/>
  <c r="O2762" i="246"/>
  <c r="O927" i="246"/>
  <c r="R927" i="246" s="1"/>
  <c r="O2653" i="246"/>
  <c r="O2728" i="246"/>
  <c r="O3324" i="1"/>
  <c r="S3324" i="1" s="1"/>
  <c r="M2865" i="1"/>
  <c r="O3133" i="1"/>
  <c r="S3133" i="1" s="1"/>
  <c r="M2852" i="1"/>
  <c r="O3017" i="1"/>
  <c r="M2863" i="1"/>
  <c r="O3028" i="1"/>
  <c r="O3033" i="1"/>
  <c r="M2868" i="1"/>
  <c r="M2879" i="1"/>
  <c r="O3044" i="1"/>
  <c r="M2887" i="1"/>
  <c r="O3052" i="1"/>
  <c r="O3125" i="1"/>
  <c r="M2960" i="1"/>
  <c r="O3095" i="1"/>
  <c r="M2930" i="1"/>
  <c r="O3082" i="1"/>
  <c r="M2917" i="1"/>
  <c r="M2927" i="1"/>
  <c r="O3092" i="1"/>
  <c r="M2939" i="1"/>
  <c r="O3104" i="1"/>
  <c r="M2864" i="1"/>
  <c r="O3029" i="1"/>
  <c r="O3034" i="1"/>
  <c r="M2869" i="1"/>
  <c r="O3042" i="1"/>
  <c r="M2877" i="1"/>
  <c r="M2884" i="1"/>
  <c r="O3049" i="1"/>
  <c r="M2922" i="1"/>
  <c r="O3087" i="1"/>
  <c r="M2936" i="1"/>
  <c r="O3101" i="1"/>
  <c r="O3109" i="1"/>
  <c r="M2944" i="1"/>
  <c r="M2827" i="1"/>
  <c r="S2827" i="1" s="1"/>
  <c r="O3000" i="1"/>
  <c r="M2835" i="1"/>
  <c r="M2851" i="1"/>
  <c r="O3016" i="1"/>
  <c r="O3027" i="1"/>
  <c r="M2862" i="1"/>
  <c r="O3032" i="1"/>
  <c r="M2867" i="1"/>
  <c r="O3043" i="1"/>
  <c r="M2878" i="1"/>
  <c r="O3047" i="1"/>
  <c r="M2882" i="1"/>
  <c r="O3051" i="1"/>
  <c r="M2886" i="1"/>
  <c r="M2915" i="1"/>
  <c r="O3084" i="1"/>
  <c r="M2919" i="1"/>
  <c r="M2926" i="1"/>
  <c r="O3091" i="1"/>
  <c r="M2931" i="1"/>
  <c r="O3096" i="1"/>
  <c r="M2934" i="1"/>
  <c r="O3099" i="1"/>
  <c r="M2938" i="1"/>
  <c r="O3103" i="1"/>
  <c r="O3107" i="1"/>
  <c r="M2942" i="1"/>
  <c r="M2946" i="1"/>
  <c r="O3111" i="1"/>
  <c r="M2968" i="1"/>
  <c r="S2968" i="1" s="1"/>
  <c r="O3001" i="1"/>
  <c r="M2836" i="1"/>
  <c r="O3036" i="1"/>
  <c r="M2871" i="1"/>
  <c r="O3038" i="1"/>
  <c r="M2873" i="1"/>
  <c r="M2883" i="1"/>
  <c r="O3048" i="1"/>
  <c r="O3126" i="1"/>
  <c r="M2961" i="1"/>
  <c r="M2932" i="1"/>
  <c r="O3097" i="1"/>
  <c r="O3100" i="1"/>
  <c r="M2935" i="1"/>
  <c r="M2943" i="1"/>
  <c r="O3108" i="1"/>
  <c r="O3002" i="1"/>
  <c r="M2837" i="1"/>
  <c r="O3014" i="1"/>
  <c r="M2849" i="1"/>
  <c r="O3030" i="1"/>
  <c r="O3039" i="1"/>
  <c r="M2874" i="1"/>
  <c r="O3045" i="1"/>
  <c r="M2880" i="1"/>
  <c r="O3053" i="1"/>
  <c r="M2888" i="1"/>
  <c r="M2956" i="1"/>
  <c r="O3121" i="1"/>
  <c r="O3081" i="1"/>
  <c r="M2916" i="1"/>
  <c r="O3089" i="1"/>
  <c r="M2924" i="1"/>
  <c r="M2933" i="1"/>
  <c r="O3098" i="1"/>
  <c r="O3105" i="1"/>
  <c r="M2940" i="1"/>
  <c r="M2834" i="1"/>
  <c r="O2999" i="1"/>
  <c r="M2838" i="1"/>
  <c r="O3003" i="1"/>
  <c r="O3015" i="1"/>
  <c r="M2850" i="1"/>
  <c r="O3031" i="1"/>
  <c r="M2866" i="1"/>
  <c r="M2870" i="1"/>
  <c r="O3035" i="1"/>
  <c r="O3037" i="1"/>
  <c r="M2872" i="1"/>
  <c r="O3041" i="1"/>
  <c r="M2876" i="1"/>
  <c r="M2881" i="1"/>
  <c r="O3046" i="1"/>
  <c r="M2885" i="1"/>
  <c r="O3050" i="1"/>
  <c r="M2889" i="1"/>
  <c r="O3054" i="1"/>
  <c r="M2958" i="1"/>
  <c r="O3123" i="1"/>
  <c r="M2957" i="1"/>
  <c r="O3122" i="1"/>
  <c r="M2959" i="1"/>
  <c r="O3124" i="1"/>
  <c r="O3080" i="1"/>
  <c r="O3083" i="1"/>
  <c r="M2918" i="1"/>
  <c r="O3090" i="1"/>
  <c r="M2925" i="1"/>
  <c r="O3094" i="1"/>
  <c r="O3102" i="1"/>
  <c r="M2937" i="1"/>
  <c r="O3106" i="1"/>
  <c r="M2941" i="1"/>
  <c r="M2945" i="1"/>
  <c r="O3110" i="1"/>
  <c r="O3013" i="1"/>
  <c r="M2848" i="1"/>
  <c r="M2923" i="1"/>
  <c r="O3088" i="1"/>
  <c r="M3242" i="1"/>
  <c r="S3242" i="1" s="1"/>
  <c r="O3407" i="1"/>
  <c r="S3407" i="1" s="1"/>
  <c r="O3301" i="1"/>
  <c r="O3296" i="1"/>
  <c r="O3281" i="1"/>
  <c r="O3239" i="1"/>
  <c r="M1022" i="1"/>
  <c r="R1022" i="1" s="1"/>
  <c r="M1097" i="1"/>
  <c r="R1097" i="1" s="1"/>
  <c r="M1023" i="1"/>
  <c r="R1023" i="1" s="1"/>
  <c r="E100" i="231"/>
  <c r="F100" i="231" s="1"/>
  <c r="G100" i="231" s="1"/>
  <c r="I194" i="190"/>
  <c r="G194" i="5" s="1"/>
  <c r="G401" i="5"/>
  <c r="I357" i="190"/>
  <c r="G357" i="5" s="1"/>
  <c r="G355" i="190"/>
  <c r="I355" i="190" s="1"/>
  <c r="G355" i="5" s="1"/>
  <c r="G399" i="190"/>
  <c r="I399" i="190" s="1"/>
  <c r="G399" i="5" s="1"/>
  <c r="I189" i="190"/>
  <c r="G189" i="5" s="1"/>
  <c r="F264" i="190"/>
  <c r="I264" i="190" s="1"/>
  <c r="F272" i="190"/>
  <c r="I272" i="190" s="1"/>
  <c r="I314" i="190"/>
  <c r="G314" i="5" s="1"/>
  <c r="G23" i="190"/>
  <c r="I23" i="190" s="1"/>
  <c r="I367" i="190"/>
  <c r="G367" i="5" s="1"/>
  <c r="I382" i="190"/>
  <c r="G382" i="5" s="1"/>
  <c r="I309" i="190"/>
  <c r="G309" i="5" s="1"/>
  <c r="O929" i="1"/>
  <c r="O931" i="1"/>
  <c r="O1021" i="1"/>
  <c r="I216" i="190"/>
  <c r="G216" i="5" s="1"/>
  <c r="I190" i="190"/>
  <c r="G190" i="5" s="1"/>
  <c r="I200" i="190"/>
  <c r="G200" i="5" s="1"/>
  <c r="I212" i="190"/>
  <c r="G212" i="5" s="1"/>
  <c r="G207" i="190"/>
  <c r="I207" i="190" s="1"/>
  <c r="G207" i="5" s="1"/>
  <c r="O928" i="1"/>
  <c r="O930" i="1"/>
  <c r="O932" i="1"/>
  <c r="O1094" i="1"/>
  <c r="O1156" i="1"/>
  <c r="F177" i="190"/>
  <c r="I177" i="190" s="1"/>
  <c r="F256" i="190"/>
  <c r="I256" i="190" s="1"/>
  <c r="L18" i="189"/>
  <c r="A18" i="189" s="1"/>
  <c r="L22" i="189"/>
  <c r="A22" i="189" s="1"/>
  <c r="L24" i="189"/>
  <c r="A24" i="189" s="1"/>
  <c r="G17" i="190"/>
  <c r="I17" i="190" s="1"/>
  <c r="O2638" i="246" s="1"/>
  <c r="G210" i="190"/>
  <c r="I210" i="190" s="1"/>
  <c r="G210" i="5" s="1"/>
  <c r="I371" i="190"/>
  <c r="G371" i="5" s="1"/>
  <c r="G363" i="190"/>
  <c r="I363" i="190" s="1"/>
  <c r="G363" i="5" s="1"/>
  <c r="I377" i="190"/>
  <c r="G377" i="5" s="1"/>
  <c r="I187" i="190"/>
  <c r="G187" i="5" s="1"/>
  <c r="I334" i="190"/>
  <c r="G334" i="5" s="1"/>
  <c r="M932" i="1"/>
  <c r="I221" i="190"/>
  <c r="M929" i="1"/>
  <c r="I261" i="190"/>
  <c r="G261" i="5" s="1"/>
  <c r="I273" i="190"/>
  <c r="G273" i="5" s="1"/>
  <c r="I281" i="190"/>
  <c r="G281" i="5" s="1"/>
  <c r="M17" i="189"/>
  <c r="A17" i="189" s="1"/>
  <c r="G368" i="190"/>
  <c r="I368" i="190" s="1"/>
  <c r="G368" i="5" s="1"/>
  <c r="M928" i="1"/>
  <c r="L16" i="189"/>
  <c r="A16" i="189" s="1"/>
  <c r="L15" i="189"/>
  <c r="A15" i="189" s="1"/>
  <c r="I375" i="190"/>
  <c r="G375" i="5" s="1"/>
  <c r="I166" i="190"/>
  <c r="F8" i="189"/>
  <c r="D8" i="189" s="1"/>
  <c r="I167" i="190"/>
  <c r="I168" i="190"/>
  <c r="G13" i="190"/>
  <c r="I13" i="190" s="1"/>
  <c r="O2637" i="246" s="1"/>
  <c r="I361" i="190"/>
  <c r="G361" i="5" s="1"/>
  <c r="I191" i="190"/>
  <c r="G191" i="5" s="1"/>
  <c r="I213" i="190"/>
  <c r="G213" i="5" s="1"/>
  <c r="I307" i="190"/>
  <c r="I315" i="190"/>
  <c r="G315" i="5" s="1"/>
  <c r="I178" i="190"/>
  <c r="G178" i="5" s="1"/>
  <c r="I209" i="190"/>
  <c r="G209" i="5" s="1"/>
  <c r="I318" i="190"/>
  <c r="G318" i="5" s="1"/>
  <c r="I370" i="190"/>
  <c r="G370" i="5" s="1"/>
  <c r="I313" i="190"/>
  <c r="I353" i="190"/>
  <c r="G353" i="5" s="1"/>
  <c r="I169" i="190"/>
  <c r="I225" i="190"/>
  <c r="G225" i="5" s="1"/>
  <c r="I229" i="190"/>
  <c r="I266" i="190"/>
  <c r="G266" i="5" s="1"/>
  <c r="I321" i="190"/>
  <c r="G321" i="5" s="1"/>
  <c r="I362" i="190"/>
  <c r="G362" i="5" s="1"/>
  <c r="I400" i="190"/>
  <c r="I172" i="190"/>
  <c r="I186" i="190"/>
  <c r="G186" i="5" s="1"/>
  <c r="I310" i="190"/>
  <c r="G310" i="5" s="1"/>
  <c r="I332" i="190"/>
  <c r="G332" i="5" s="1"/>
  <c r="I341" i="190"/>
  <c r="G341" i="5" s="1"/>
  <c r="I358" i="190"/>
  <c r="G358" i="5" s="1"/>
  <c r="I390" i="190"/>
  <c r="G390" i="5" s="1"/>
  <c r="I393" i="190"/>
  <c r="I389" i="190"/>
  <c r="G389" i="5" s="1"/>
  <c r="I395" i="190"/>
  <c r="G395" i="5" s="1"/>
  <c r="I317" i="190"/>
  <c r="G317" i="5" s="1"/>
  <c r="I369" i="190"/>
  <c r="G369" i="5" s="1"/>
  <c r="I385" i="190"/>
  <c r="I220" i="190"/>
  <c r="I226" i="190"/>
  <c r="G226" i="5" s="1"/>
  <c r="I330" i="190"/>
  <c r="G330" i="5" s="1"/>
  <c r="I185" i="190"/>
  <c r="I193" i="190"/>
  <c r="G193" i="5" s="1"/>
  <c r="I211" i="190"/>
  <c r="G211" i="5" s="1"/>
  <c r="I251" i="190"/>
  <c r="I342" i="190"/>
  <c r="F181" i="190"/>
  <c r="I181" i="190" s="1"/>
  <c r="F386" i="190"/>
  <c r="I386" i="190" s="1"/>
  <c r="F173" i="190"/>
  <c r="I173" i="190" s="1"/>
  <c r="I197" i="190"/>
  <c r="G197" i="5" s="1"/>
  <c r="I215" i="190"/>
  <c r="G215" i="5" s="1"/>
  <c r="I208" i="190"/>
  <c r="G208" i="5" s="1"/>
  <c r="I219" i="190"/>
  <c r="G219" i="5" s="1"/>
  <c r="F268" i="190"/>
  <c r="I268" i="190" s="1"/>
  <c r="F276" i="190"/>
  <c r="I276" i="190" s="1"/>
  <c r="I344" i="190"/>
  <c r="G344" i="5" s="1"/>
  <c r="I349" i="190"/>
  <c r="G349" i="5" s="1"/>
  <c r="I188" i="190"/>
  <c r="G188" i="5" s="1"/>
  <c r="I347" i="190"/>
  <c r="G347" i="5" s="1"/>
  <c r="I356" i="190"/>
  <c r="G356" i="5" s="1"/>
  <c r="I372" i="190"/>
  <c r="G372" i="5" s="1"/>
  <c r="I376" i="190"/>
  <c r="G376" i="5" s="1"/>
  <c r="I394" i="190"/>
  <c r="F252" i="190"/>
  <c r="I252" i="190" s="1"/>
  <c r="F260" i="190"/>
  <c r="I260" i="190" s="1"/>
  <c r="F280" i="190"/>
  <c r="I280" i="190" s="1"/>
  <c r="I238" i="190"/>
  <c r="G238" i="5" s="1"/>
  <c r="I258" i="190"/>
  <c r="G258" i="5" s="1"/>
  <c r="I380" i="190"/>
  <c r="G380" i="5" s="1"/>
  <c r="I228" i="190"/>
  <c r="G228" i="5" s="1"/>
  <c r="I312" i="190"/>
  <c r="G312" i="5" s="1"/>
  <c r="I351" i="190"/>
  <c r="G351" i="5" s="1"/>
  <c r="I397" i="190"/>
  <c r="G397" i="5" s="1"/>
  <c r="I218" i="190"/>
  <c r="G218" i="5" s="1"/>
  <c r="I227" i="190"/>
  <c r="G227" i="5" s="1"/>
  <c r="I231" i="190"/>
  <c r="G231" i="5" s="1"/>
  <c r="I265" i="190"/>
  <c r="G265" i="5" s="1"/>
  <c r="I277" i="190"/>
  <c r="G277" i="5" s="1"/>
  <c r="I308" i="190"/>
  <c r="G308" i="5" s="1"/>
  <c r="I352" i="190"/>
  <c r="G352" i="5" s="1"/>
  <c r="I379" i="190"/>
  <c r="I383" i="190"/>
  <c r="G383" i="5" s="1"/>
  <c r="I214" i="190"/>
  <c r="G214" i="5" s="1"/>
  <c r="I257" i="190"/>
  <c r="G257" i="5" s="1"/>
  <c r="I274" i="190"/>
  <c r="G274" i="5" s="1"/>
  <c r="I204" i="190"/>
  <c r="G204" i="5" s="1"/>
  <c r="D404" i="190"/>
  <c r="D2" i="190" s="1"/>
  <c r="H2" i="190" s="1"/>
  <c r="F184" i="190"/>
  <c r="I184" i="190" s="1"/>
  <c r="I192" i="190"/>
  <c r="G192" i="5" s="1"/>
  <c r="I195" i="190"/>
  <c r="G195" i="5" s="1"/>
  <c r="I202" i="190"/>
  <c r="I203" i="190"/>
  <c r="G203" i="5" s="1"/>
  <c r="I217" i="190"/>
  <c r="G217" i="5" s="1"/>
  <c r="I222" i="190"/>
  <c r="K404" i="190"/>
  <c r="K2" i="190" s="1"/>
  <c r="F170" i="190"/>
  <c r="I196" i="190"/>
  <c r="G196" i="5" s="1"/>
  <c r="I201" i="190"/>
  <c r="I205" i="190"/>
  <c r="G205" i="5" s="1"/>
  <c r="I206" i="190"/>
  <c r="G206" i="5" s="1"/>
  <c r="I360" i="190"/>
  <c r="G360" i="5" s="1"/>
  <c r="I365" i="190"/>
  <c r="G365" i="5" s="1"/>
  <c r="I396" i="190"/>
  <c r="G396" i="5" s="1"/>
  <c r="I311" i="190"/>
  <c r="G311" i="5" s="1"/>
  <c r="I316" i="190"/>
  <c r="G316" i="5" s="1"/>
  <c r="I346" i="190"/>
  <c r="G346" i="5" s="1"/>
  <c r="I350" i="190"/>
  <c r="G350" i="5" s="1"/>
  <c r="I364" i="190"/>
  <c r="G364" i="5" s="1"/>
  <c r="I381" i="190"/>
  <c r="G381" i="5" s="1"/>
  <c r="I384" i="190"/>
  <c r="G384" i="5" s="1"/>
  <c r="I373" i="190"/>
  <c r="G37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M2468" i="1" l="1"/>
  <c r="N2" i="190"/>
  <c r="G36" i="5" s="1"/>
  <c r="O2438" i="246"/>
  <c r="O2758" i="246"/>
  <c r="S2758" i="246" s="1"/>
  <c r="O3118" i="1"/>
  <c r="S3118" i="1" s="1"/>
  <c r="O2863" i="246"/>
  <c r="D2863" i="246" s="1"/>
  <c r="O2936" i="246"/>
  <c r="O2921" i="246"/>
  <c r="D2921" i="246" s="1"/>
  <c r="O2941" i="246"/>
  <c r="O2827" i="246"/>
  <c r="O2879" i="246"/>
  <c r="D2879" i="246" s="1"/>
  <c r="M3223" i="1"/>
  <c r="Y3223" i="1" s="1"/>
  <c r="O3352" i="1"/>
  <c r="O3010" i="1"/>
  <c r="S3010" i="1" s="1"/>
  <c r="M2845" i="1"/>
  <c r="S2845" i="1" s="1"/>
  <c r="O2630" i="246"/>
  <c r="S2630" i="246" s="1"/>
  <c r="M2825" i="1"/>
  <c r="S2825" i="1" s="1"/>
  <c r="O2650" i="246"/>
  <c r="S2650" i="246" s="1"/>
  <c r="O2717" i="246"/>
  <c r="S2717" i="246" s="1"/>
  <c r="O2664" i="246"/>
  <c r="S2664" i="246" s="1"/>
  <c r="O3004" i="1"/>
  <c r="O2644" i="246"/>
  <c r="O2634" i="246" s="1"/>
  <c r="S2634" i="246" s="1"/>
  <c r="O3388" i="1"/>
  <c r="D3388" i="1" s="1"/>
  <c r="O3338" i="1"/>
  <c r="D3338" i="1" s="1"/>
  <c r="O3404" i="1"/>
  <c r="D3404" i="1" s="1"/>
  <c r="O3466" i="1"/>
  <c r="D3466" i="1" s="1"/>
  <c r="O3446" i="1"/>
  <c r="D3446" i="1" s="1"/>
  <c r="M3187" i="1"/>
  <c r="M2833" i="1"/>
  <c r="O2998" i="1"/>
  <c r="O3077" i="1"/>
  <c r="S3077" i="1" s="1"/>
  <c r="M2953" i="1"/>
  <c r="S2953" i="1" s="1"/>
  <c r="O3024" i="1"/>
  <c r="S3024" i="1" s="1"/>
  <c r="O2997" i="1"/>
  <c r="M2832" i="1"/>
  <c r="M2912" i="1"/>
  <c r="S2912" i="1" s="1"/>
  <c r="M2859" i="1"/>
  <c r="S2859" i="1" s="1"/>
  <c r="M2839" i="1"/>
  <c r="O3461" i="1"/>
  <c r="M3301" i="1"/>
  <c r="Z3301" i="1" s="1"/>
  <c r="M3281" i="1"/>
  <c r="Y3281" i="1" s="1"/>
  <c r="M3296" i="1"/>
  <c r="M3239" i="1"/>
  <c r="Z3239" i="1" s="1"/>
  <c r="M3173" i="1"/>
  <c r="Z3173" i="1" s="1"/>
  <c r="X3239" i="1"/>
  <c r="M1157" i="1"/>
  <c r="R1157" i="1" s="1"/>
  <c r="M1166" i="1"/>
  <c r="R1166" i="1" s="1"/>
  <c r="M1095" i="1"/>
  <c r="R1095" i="1" s="1"/>
  <c r="M1159" i="1"/>
  <c r="R1159" i="1" s="1"/>
  <c r="M1160" i="1"/>
  <c r="R1160" i="1" s="1"/>
  <c r="M1165" i="1"/>
  <c r="R1165" i="1" s="1"/>
  <c r="M1156" i="1"/>
  <c r="R1156" i="1" s="1"/>
  <c r="M1094" i="1"/>
  <c r="R1094" i="1" s="1"/>
  <c r="M1161" i="1"/>
  <c r="R1161" i="1" s="1"/>
  <c r="M1096" i="1"/>
  <c r="R1096" i="1" s="1"/>
  <c r="M1158" i="1"/>
  <c r="R1158" i="1" s="1"/>
  <c r="E101" i="231"/>
  <c r="F101" i="231" s="1"/>
  <c r="G101" i="231" s="1"/>
  <c r="R929" i="1"/>
  <c r="R928" i="1"/>
  <c r="R932" i="1"/>
  <c r="M931" i="1"/>
  <c r="M930" i="1"/>
  <c r="M1021" i="1"/>
  <c r="R1021" i="1" s="1"/>
  <c r="G404" i="190"/>
  <c r="G2" i="190" s="1"/>
  <c r="F404" i="190"/>
  <c r="I170" i="190"/>
  <c r="C1155" i="1"/>
  <c r="C1154" i="1"/>
  <c r="C1150" i="1"/>
  <c r="C1149" i="1"/>
  <c r="C1148" i="1"/>
  <c r="C1147" i="1"/>
  <c r="C1146" i="1"/>
  <c r="C1145" i="1"/>
  <c r="D1093" i="1"/>
  <c r="D1092" i="1"/>
  <c r="D1091" i="1"/>
  <c r="D1090" i="1"/>
  <c r="C1020" i="1"/>
  <c r="C1019" i="1"/>
  <c r="C1018" i="1"/>
  <c r="C926" i="1"/>
  <c r="C925" i="1"/>
  <c r="C924" i="1"/>
  <c r="C923" i="1"/>
  <c r="R2783" i="246" l="1"/>
  <c r="D2941" i="246"/>
  <c r="R3143" i="1"/>
  <c r="R3251" i="1" s="1"/>
  <c r="U2879" i="246"/>
  <c r="Z3223" i="1"/>
  <c r="D3223" i="1" s="1"/>
  <c r="R3308" i="1"/>
  <c r="O2648" i="246"/>
  <c r="D2648" i="246" s="1"/>
  <c r="O2698" i="246"/>
  <c r="D2698" i="246" s="1"/>
  <c r="O2662" i="246"/>
  <c r="O2776" i="246"/>
  <c r="O2771" i="246"/>
  <c r="O2756" i="246"/>
  <c r="D2756" i="246" s="1"/>
  <c r="O2714" i="246"/>
  <c r="D2714" i="246" s="1"/>
  <c r="V3404" i="1"/>
  <c r="Y3173" i="1"/>
  <c r="D3173" i="1" s="1"/>
  <c r="M2829" i="1"/>
  <c r="S2829" i="1" s="1"/>
  <c r="M2951" i="1" s="1"/>
  <c r="O2994" i="1"/>
  <c r="S2994" i="1" s="1"/>
  <c r="O3131" i="1" s="1"/>
  <c r="Y3301" i="1"/>
  <c r="D3301" i="1" s="1"/>
  <c r="V3239" i="1"/>
  <c r="Y3239" i="1"/>
  <c r="D3239" i="1" s="1"/>
  <c r="Z3281" i="1"/>
  <c r="D3281" i="1" s="1"/>
  <c r="R930" i="1"/>
  <c r="R931" i="1"/>
  <c r="E102" i="231"/>
  <c r="F102" i="231" s="1"/>
  <c r="G102" i="231" s="1"/>
  <c r="I404" i="190"/>
  <c r="I2" i="190" s="1"/>
  <c r="O1843" i="1"/>
  <c r="M1843" i="1"/>
  <c r="R2845" i="246" l="1"/>
  <c r="R2891" i="246"/>
  <c r="R3370" i="1"/>
  <c r="R3416" i="1"/>
  <c r="R3159" i="1"/>
  <c r="R3170" i="1" s="1"/>
  <c r="R3205" i="1"/>
  <c r="R2917" i="246"/>
  <c r="R2907" i="246"/>
  <c r="R2829" i="246"/>
  <c r="R2860" i="246" s="1"/>
  <c r="R2841" i="246"/>
  <c r="R2857" i="246"/>
  <c r="R2899" i="246"/>
  <c r="R2821" i="246"/>
  <c r="R2902" i="246"/>
  <c r="R2941" i="246"/>
  <c r="R2843" i="246"/>
  <c r="R2898" i="246"/>
  <c r="R2887" i="246"/>
  <c r="R2863" i="246"/>
  <c r="R2911" i="246"/>
  <c r="R2794" i="246"/>
  <c r="R2946" i="246"/>
  <c r="R2834" i="246"/>
  <c r="R2916" i="246"/>
  <c r="R2852" i="246"/>
  <c r="R2904" i="246"/>
  <c r="R2785" i="246"/>
  <c r="R2928" i="246"/>
  <c r="R2872" i="246"/>
  <c r="R2804" i="246"/>
  <c r="R2865" i="246"/>
  <c r="R2915" i="246"/>
  <c r="R2786" i="246"/>
  <c r="R2851" i="246"/>
  <c r="R2832" i="246"/>
  <c r="R2889" i="246"/>
  <c r="R2805" i="246"/>
  <c r="R2867" i="246"/>
  <c r="R2926" i="246"/>
  <c r="R2797" i="246"/>
  <c r="R2798" i="246" s="1"/>
  <c r="R2847" i="246"/>
  <c r="R2858" i="246"/>
  <c r="R2879" i="246"/>
  <c r="R2942" i="246"/>
  <c r="R2913" i="246"/>
  <c r="R2896" i="246"/>
  <c r="R2908" i="246"/>
  <c r="R2882" i="246"/>
  <c r="R2918" i="246" s="1"/>
  <c r="R2864" i="246"/>
  <c r="R2795" i="246"/>
  <c r="R2796" i="246" s="1"/>
  <c r="R2833" i="246"/>
  <c r="R2940" i="246"/>
  <c r="R2835" i="246"/>
  <c r="R2897" i="246"/>
  <c r="R2853" i="246"/>
  <c r="R2878" i="246"/>
  <c r="R2895" i="246"/>
  <c r="R2807" i="246"/>
  <c r="R2803" i="246"/>
  <c r="R2919" i="246"/>
  <c r="R2836" i="246"/>
  <c r="R2903" i="246"/>
  <c r="R2945" i="246"/>
  <c r="R2929" i="246"/>
  <c r="R2815" i="246"/>
  <c r="R2824" i="246" s="1"/>
  <c r="R2825" i="246" s="1"/>
  <c r="R2826" i="246" s="1"/>
  <c r="R2873" i="246"/>
  <c r="R2838" i="246"/>
  <c r="R2871" i="246"/>
  <c r="R2849" i="246"/>
  <c r="R2876" i="246"/>
  <c r="R2848" i="246"/>
  <c r="R2866" i="246"/>
  <c r="R2920" i="246"/>
  <c r="R2799" i="246"/>
  <c r="R2811" i="246" s="1"/>
  <c r="R2812" i="246" s="1"/>
  <c r="R2813" i="246" s="1"/>
  <c r="R2814" i="246" s="1"/>
  <c r="R2861" i="246"/>
  <c r="R2790" i="246"/>
  <c r="R2850" i="246"/>
  <c r="R2854" i="246"/>
  <c r="R2905" i="246"/>
  <c r="R2931" i="246"/>
  <c r="R2874" i="246"/>
  <c r="R2818" i="246"/>
  <c r="R2791" i="246"/>
  <c r="R2870" i="246"/>
  <c r="R2820" i="246"/>
  <c r="R2875" i="246"/>
  <c r="R2822" i="246"/>
  <c r="R2877" i="246"/>
  <c r="R2914" i="246"/>
  <c r="R3213" i="1"/>
  <c r="R2888" i="246"/>
  <c r="R2844" i="246"/>
  <c r="R2839" i="246"/>
  <c r="R2909" i="246"/>
  <c r="R2846" i="246"/>
  <c r="R2792" i="246"/>
  <c r="R2894" i="246"/>
  <c r="R2893" i="246"/>
  <c r="R2855" i="246"/>
  <c r="R2890" i="246"/>
  <c r="R2787" i="246"/>
  <c r="R2859" i="246"/>
  <c r="R2809" i="246"/>
  <c r="R2819" i="246"/>
  <c r="R2885" i="246"/>
  <c r="R2943" i="246"/>
  <c r="R2793" i="246"/>
  <c r="R2789" i="246"/>
  <c r="R2784" i="246"/>
  <c r="R2912" i="246"/>
  <c r="R2788" i="246"/>
  <c r="R2868" i="246"/>
  <c r="R2938" i="246"/>
  <c r="R2862" i="246"/>
  <c r="R2900" i="246"/>
  <c r="R2939" i="246"/>
  <c r="R2802" i="246"/>
  <c r="R2922" i="246"/>
  <c r="R2842" i="246"/>
  <c r="R2806" i="246"/>
  <c r="R2840" i="246"/>
  <c r="R2892" i="246"/>
  <c r="R2869" i="246"/>
  <c r="R2837" i="246"/>
  <c r="R2947" i="246"/>
  <c r="R2881" i="246"/>
  <c r="R2910" i="246"/>
  <c r="R2886" i="246"/>
  <c r="R2856" i="246"/>
  <c r="R2901" i="246"/>
  <c r="R2923" i="246"/>
  <c r="R2924" i="246" s="1"/>
  <c r="R2925" i="246" s="1"/>
  <c r="R2921" i="246"/>
  <c r="R2944" i="246"/>
  <c r="R2808" i="246"/>
  <c r="R2880" i="246"/>
  <c r="R2930" i="246"/>
  <c r="R2906" i="246"/>
  <c r="R2927" i="246"/>
  <c r="R2823" i="246"/>
  <c r="R3281" i="1"/>
  <c r="R3256" i="1"/>
  <c r="R3227" i="1"/>
  <c r="R3180" i="1"/>
  <c r="R3272" i="1"/>
  <c r="R2932" i="246"/>
  <c r="R3149" i="1"/>
  <c r="R3202" i="1"/>
  <c r="R3252" i="1"/>
  <c r="R3241" i="1"/>
  <c r="R3162" i="1"/>
  <c r="R3163" i="1"/>
  <c r="R2618" i="246"/>
  <c r="D2776" i="246"/>
  <c r="R3234" i="1"/>
  <c r="R3264" i="1"/>
  <c r="R3146" i="1"/>
  <c r="R3287" i="1"/>
  <c r="R3231" i="1"/>
  <c r="R3254" i="1"/>
  <c r="R3198" i="1"/>
  <c r="R3193" i="1"/>
  <c r="R3302" i="1"/>
  <c r="R3179" i="1"/>
  <c r="R3283" i="1"/>
  <c r="R3284" i="1" s="1"/>
  <c r="R3285" i="1" s="1"/>
  <c r="R3271" i="1"/>
  <c r="R3299" i="1"/>
  <c r="R3218" i="1"/>
  <c r="R3263" i="1"/>
  <c r="R3189" i="1"/>
  <c r="R3220" i="1" s="1"/>
  <c r="R3275" i="1"/>
  <c r="R3246" i="1"/>
  <c r="R3221" i="1"/>
  <c r="R3249" i="1"/>
  <c r="R3204" i="1"/>
  <c r="R3290" i="1"/>
  <c r="R3153" i="1"/>
  <c r="R3291" i="1"/>
  <c r="R3274" i="1"/>
  <c r="R3206" i="1"/>
  <c r="R3211" i="1"/>
  <c r="R3168" i="1"/>
  <c r="R3286" i="1"/>
  <c r="R3288" i="1"/>
  <c r="R3273" i="1"/>
  <c r="R3228" i="1"/>
  <c r="R3219" i="1"/>
  <c r="R3298" i="1"/>
  <c r="R3303" i="1"/>
  <c r="R3247" i="1"/>
  <c r="R3201" i="1"/>
  <c r="R3238" i="1"/>
  <c r="R3223" i="1"/>
  <c r="R3151" i="1"/>
  <c r="R3154" i="1"/>
  <c r="R3250" i="1"/>
  <c r="R3178" i="1"/>
  <c r="R3282" i="1"/>
  <c r="R3165" i="1"/>
  <c r="R3245" i="1"/>
  <c r="R3148" i="1"/>
  <c r="R3240" i="1"/>
  <c r="R3300" i="1"/>
  <c r="R3207" i="1"/>
  <c r="R3157" i="1"/>
  <c r="R3158" i="1" s="1"/>
  <c r="R3260" i="1"/>
  <c r="R3217" i="1"/>
  <c r="R3175" i="1"/>
  <c r="R3176" i="1" s="1"/>
  <c r="R3215" i="1"/>
  <c r="R3235" i="1"/>
  <c r="R3258" i="1"/>
  <c r="R3267" i="1"/>
  <c r="R3301" i="1"/>
  <c r="R3212" i="1"/>
  <c r="R3289" i="1"/>
  <c r="R3279" i="1"/>
  <c r="R3229" i="1"/>
  <c r="R3155" i="1"/>
  <c r="R3156" i="1" s="1"/>
  <c r="R3265" i="1"/>
  <c r="R3305" i="1"/>
  <c r="R3307" i="1"/>
  <c r="R3194" i="1"/>
  <c r="R3222" i="1"/>
  <c r="R3195" i="1"/>
  <c r="R3209" i="1"/>
  <c r="R3181" i="1"/>
  <c r="R3239" i="1"/>
  <c r="R3225" i="1"/>
  <c r="R3276" i="1"/>
  <c r="R3253" i="1"/>
  <c r="R3257" i="1"/>
  <c r="R3255" i="1"/>
  <c r="R3210" i="1"/>
  <c r="R3230" i="1"/>
  <c r="R3197" i="1"/>
  <c r="R3248" i="1"/>
  <c r="R3182" i="1"/>
  <c r="R3216" i="1"/>
  <c r="R3214" i="1"/>
  <c r="R3147" i="1"/>
  <c r="R3306" i="1"/>
  <c r="R3233" i="1"/>
  <c r="R3236" i="1"/>
  <c r="R3192" i="1"/>
  <c r="R3262" i="1"/>
  <c r="R3196" i="1"/>
  <c r="R3152" i="1"/>
  <c r="R3242" i="1"/>
  <c r="R3278" i="1" s="1"/>
  <c r="R3268" i="1"/>
  <c r="R3164" i="1"/>
  <c r="R3261" i="1"/>
  <c r="R3224" i="1"/>
  <c r="R3304" i="1"/>
  <c r="R3203" i="1"/>
  <c r="R3200" i="1"/>
  <c r="R3280" i="1"/>
  <c r="R3169" i="1"/>
  <c r="R3259" i="1"/>
  <c r="R3145" i="1"/>
  <c r="R3199" i="1"/>
  <c r="R3167" i="1"/>
  <c r="R3208" i="1"/>
  <c r="R3270" i="1"/>
  <c r="R3232" i="1"/>
  <c r="R3166" i="1"/>
  <c r="R3269" i="1"/>
  <c r="R3266" i="1"/>
  <c r="R3150" i="1"/>
  <c r="R3144" i="1"/>
  <c r="R3226" i="1"/>
  <c r="R3237" i="1"/>
  <c r="R3292" i="1"/>
  <c r="R3183" i="1"/>
  <c r="R3277" i="1"/>
  <c r="R3457" i="1"/>
  <c r="R3348" i="1"/>
  <c r="R3468" i="1"/>
  <c r="R3442" i="1"/>
  <c r="U2714" i="246"/>
  <c r="Y2951" i="1"/>
  <c r="Z2951" i="1"/>
  <c r="R3340" i="1"/>
  <c r="R3342" i="1" s="1"/>
  <c r="R3415" i="1"/>
  <c r="R3366" i="1"/>
  <c r="R3371" i="1"/>
  <c r="R3329" i="1"/>
  <c r="R3357" i="1"/>
  <c r="R3436" i="1"/>
  <c r="R3397" i="1"/>
  <c r="R3398" i="1"/>
  <c r="R3423" i="1"/>
  <c r="R3324" i="1"/>
  <c r="R3325" i="1" s="1"/>
  <c r="R3326" i="1" s="1"/>
  <c r="R3347" i="1"/>
  <c r="R3438" i="1"/>
  <c r="R3425" i="1"/>
  <c r="R3464" i="1"/>
  <c r="R3333" i="1"/>
  <c r="R3472" i="1"/>
  <c r="R3427" i="1"/>
  <c r="R3402" i="1"/>
  <c r="R3439" i="1"/>
  <c r="R3372" i="1"/>
  <c r="R3467" i="1"/>
  <c r="R3466" i="1"/>
  <c r="R3387" i="1"/>
  <c r="R3417" i="1"/>
  <c r="R3360" i="1"/>
  <c r="R3362" i="1"/>
  <c r="R3384" i="1"/>
  <c r="R3393" i="1"/>
  <c r="R3334" i="1"/>
  <c r="R3361" i="1"/>
  <c r="R3441" i="1"/>
  <c r="R3414" i="1"/>
  <c r="R3364" i="1"/>
  <c r="R3444" i="1"/>
  <c r="R3318" i="1"/>
  <c r="R3413" i="1"/>
  <c r="R3463" i="1"/>
  <c r="R3399" i="1"/>
  <c r="R3388" i="1"/>
  <c r="R3456" i="1"/>
  <c r="R3440" i="1"/>
  <c r="R3310" i="1"/>
  <c r="R3406" i="1"/>
  <c r="R3367" i="1"/>
  <c r="R3446" i="1"/>
  <c r="R3380" i="1"/>
  <c r="R3396" i="1"/>
  <c r="R3429" i="1"/>
  <c r="R3375" i="1"/>
  <c r="R3378" i="1"/>
  <c r="R3403" i="1"/>
  <c r="R3343" i="1"/>
  <c r="R3447" i="1"/>
  <c r="R3346" i="1"/>
  <c r="R3421" i="1"/>
  <c r="R3437" i="1"/>
  <c r="R3426" i="1"/>
  <c r="R3314" i="1"/>
  <c r="R3395" i="1"/>
  <c r="R3410" i="1"/>
  <c r="R3470" i="1"/>
  <c r="R3320" i="1"/>
  <c r="R3321" i="1" s="1"/>
  <c r="R3452" i="1"/>
  <c r="R3453" i="1"/>
  <c r="R3327" i="1"/>
  <c r="R3359" i="1"/>
  <c r="R3312" i="1"/>
  <c r="R3389" i="1"/>
  <c r="R3420" i="1"/>
  <c r="R3445" i="1"/>
  <c r="R3315" i="1"/>
  <c r="R3412" i="1"/>
  <c r="R3363" i="1"/>
  <c r="R3386" i="1"/>
  <c r="R3405" i="1"/>
  <c r="R3391" i="1"/>
  <c r="R3344" i="1"/>
  <c r="R3471" i="1"/>
  <c r="R3322" i="1"/>
  <c r="R3323" i="1" s="1"/>
  <c r="R3311" i="1"/>
  <c r="R3383" i="1"/>
  <c r="R3369" i="1"/>
  <c r="R3428" i="1"/>
  <c r="R3465" i="1"/>
  <c r="R3354" i="1"/>
  <c r="R3355" i="1" s="1"/>
  <c r="R3356" i="1" s="1"/>
  <c r="R3390" i="1"/>
  <c r="R3431" i="1"/>
  <c r="R3330" i="1"/>
  <c r="R3376" i="1"/>
  <c r="R3433" i="1"/>
  <c r="R3382" i="1"/>
  <c r="R3435" i="1"/>
  <c r="R3455" i="1"/>
  <c r="R3374" i="1"/>
  <c r="R3377" i="1"/>
  <c r="R3401" i="1"/>
  <c r="R3331" i="1"/>
  <c r="R3309" i="1"/>
  <c r="R3419" i="1"/>
  <c r="R3368" i="1"/>
  <c r="R3345" i="1"/>
  <c r="R3451" i="1"/>
  <c r="R3454" i="1"/>
  <c r="R3381" i="1"/>
  <c r="R3424" i="1"/>
  <c r="R3313" i="1"/>
  <c r="R3392" i="1"/>
  <c r="R3407" i="1"/>
  <c r="R3443" i="1" s="1"/>
  <c r="R3434" i="1"/>
  <c r="R3317" i="1"/>
  <c r="R3332" i="1"/>
  <c r="R3404" i="1"/>
  <c r="R3422" i="1"/>
  <c r="R3430" i="1"/>
  <c r="R3411" i="1"/>
  <c r="R3448" i="1"/>
  <c r="R3458" i="1" s="1"/>
  <c r="R3459" i="1" s="1"/>
  <c r="R3460" i="1" s="1"/>
  <c r="R3461" i="1" s="1"/>
  <c r="R3462" i="1" s="1"/>
  <c r="R3373" i="1"/>
  <c r="R3319" i="1"/>
  <c r="R3365" i="1"/>
  <c r="R3358" i="1"/>
  <c r="R3469" i="1"/>
  <c r="R3328" i="1"/>
  <c r="R3432" i="1"/>
  <c r="R3400" i="1"/>
  <c r="R3394" i="1"/>
  <c r="R3418" i="1"/>
  <c r="R3316" i="1"/>
  <c r="R3379" i="1"/>
  <c r="M2966" i="1"/>
  <c r="M2857" i="1"/>
  <c r="M2893" i="1"/>
  <c r="M2909" i="1"/>
  <c r="M2843" i="1"/>
  <c r="M2971" i="1"/>
  <c r="O3058" i="1"/>
  <c r="D3058" i="1" s="1"/>
  <c r="O3136" i="1"/>
  <c r="O3008" i="1"/>
  <c r="D3008" i="1" s="1"/>
  <c r="O3116" i="1"/>
  <c r="D3116" i="1" s="1"/>
  <c r="O3022" i="1"/>
  <c r="O3074" i="1"/>
  <c r="D3074" i="1" s="1"/>
  <c r="R3171" i="1"/>
  <c r="R3172" i="1" s="1"/>
  <c r="R3173" i="1" s="1"/>
  <c r="R3174" i="1" s="1"/>
  <c r="R3160" i="1"/>
  <c r="R3161" i="1" s="1"/>
  <c r="E103" i="231"/>
  <c r="F103" i="231" s="1"/>
  <c r="G103" i="231" s="1"/>
  <c r="D2392" i="1"/>
  <c r="M1070" i="1"/>
  <c r="D1067" i="1"/>
  <c r="D1064" i="1"/>
  <c r="D1063" i="1"/>
  <c r="M1044" i="1"/>
  <c r="D1041" i="1"/>
  <c r="D1038" i="1"/>
  <c r="D1037" i="1"/>
  <c r="M1011" i="1"/>
  <c r="D1008" i="1"/>
  <c r="D1005" i="1"/>
  <c r="D1004" i="1"/>
  <c r="M2156" i="1"/>
  <c r="D2153" i="1"/>
  <c r="D2150" i="1"/>
  <c r="D2149" i="1"/>
  <c r="M2132" i="1"/>
  <c r="D2129" i="1"/>
  <c r="D2126" i="1"/>
  <c r="D2125" i="1"/>
  <c r="M2078" i="1"/>
  <c r="D2075" i="1"/>
  <c r="D2072" i="1"/>
  <c r="D2071" i="1"/>
  <c r="M2000" i="1"/>
  <c r="D1997" i="1"/>
  <c r="D1994" i="1"/>
  <c r="D1993" i="1"/>
  <c r="M1885" i="1"/>
  <c r="D1882" i="1"/>
  <c r="D1879" i="1"/>
  <c r="D1878" i="1"/>
  <c r="M1861" i="1"/>
  <c r="D1858" i="1"/>
  <c r="D1855" i="1"/>
  <c r="D1854" i="1"/>
  <c r="M1838" i="1"/>
  <c r="D1835" i="1"/>
  <c r="D1832" i="1"/>
  <c r="R1832" i="1" s="1"/>
  <c r="D1831" i="1"/>
  <c r="M1810" i="1"/>
  <c r="D1807" i="1"/>
  <c r="D1804" i="1"/>
  <c r="D1803" i="1"/>
  <c r="M1752" i="1"/>
  <c r="D1749" i="1"/>
  <c r="D1746" i="1"/>
  <c r="D1745" i="1"/>
  <c r="M153" i="136"/>
  <c r="G153" i="136" s="1"/>
  <c r="I153" i="136" s="1"/>
  <c r="O1153" i="246" s="1"/>
  <c r="R1153" i="246" s="1"/>
  <c r="O1154" i="1"/>
  <c r="R2680" i="246" l="1"/>
  <c r="R2726" i="246"/>
  <c r="R2716" i="246"/>
  <c r="R2830" i="246"/>
  <c r="R2831" i="246" s="1"/>
  <c r="R2817" i="246"/>
  <c r="R2883" i="246"/>
  <c r="R2884" i="246" s="1"/>
  <c r="R2827" i="246"/>
  <c r="R2828" i="246" s="1"/>
  <c r="R2816" i="246"/>
  <c r="R2810" i="246"/>
  <c r="R2800" i="246"/>
  <c r="R2801" i="246" s="1"/>
  <c r="R2697" i="246"/>
  <c r="R3243" i="1"/>
  <c r="R3244" i="1" s="1"/>
  <c r="R2933" i="246"/>
  <c r="R2934" i="246" s="1"/>
  <c r="R2935" i="246" s="1"/>
  <c r="R2936" i="246" s="1"/>
  <c r="R2937" i="246" s="1"/>
  <c r="R2653" i="246"/>
  <c r="R2729" i="246"/>
  <c r="R2742" i="246"/>
  <c r="R2640" i="246"/>
  <c r="R2773" i="246"/>
  <c r="R2634" i="246"/>
  <c r="R2646" i="246" s="1"/>
  <c r="R2647" i="246" s="1"/>
  <c r="R2648" i="246" s="1"/>
  <c r="R2649" i="246" s="1"/>
  <c r="R2757" i="246"/>
  <c r="R2679" i="246"/>
  <c r="R2737" i="246"/>
  <c r="R2650" i="246"/>
  <c r="R2652" i="246" s="1"/>
  <c r="R2755" i="246"/>
  <c r="R2658" i="246"/>
  <c r="R2669" i="246"/>
  <c r="R2714" i="246"/>
  <c r="R2708" i="246"/>
  <c r="R2777" i="246"/>
  <c r="R2657" i="246"/>
  <c r="R2781" i="246"/>
  <c r="R2671" i="246"/>
  <c r="R2731" i="246"/>
  <c r="R2686" i="246"/>
  <c r="R2704" i="246"/>
  <c r="R2711" i="246"/>
  <c r="R2741" i="246"/>
  <c r="R3177" i="1"/>
  <c r="R3293" i="1"/>
  <c r="R3294" i="1" s="1"/>
  <c r="R3295" i="1" s="1"/>
  <c r="R3296" i="1" s="1"/>
  <c r="R3297" i="1" s="1"/>
  <c r="R2620" i="246"/>
  <c r="R2693" i="246"/>
  <c r="R2672" i="246"/>
  <c r="R2701" i="246"/>
  <c r="R2632" i="246"/>
  <c r="R2633" i="246" s="1"/>
  <c r="R2681" i="246"/>
  <c r="R2644" i="246"/>
  <c r="R2677" i="246"/>
  <c r="R2668" i="246"/>
  <c r="R2761" i="246"/>
  <c r="R2715" i="246"/>
  <c r="R2758" i="246"/>
  <c r="R2768" i="246" s="1"/>
  <c r="R2769" i="246" s="1"/>
  <c r="R2770" i="246" s="1"/>
  <c r="R2771" i="246" s="1"/>
  <c r="R2772" i="246" s="1"/>
  <c r="R2723" i="246"/>
  <c r="R2689" i="246"/>
  <c r="R2628" i="246"/>
  <c r="R2740" i="246"/>
  <c r="R2736" i="246"/>
  <c r="R2664" i="246"/>
  <c r="R2665" i="246" s="1"/>
  <c r="R2666" i="246" s="1"/>
  <c r="R2756" i="246"/>
  <c r="R2698" i="246"/>
  <c r="R2764" i="246"/>
  <c r="R2766" i="246"/>
  <c r="R2710" i="246"/>
  <c r="R2656" i="246"/>
  <c r="R2674" i="246"/>
  <c r="R2752" i="246"/>
  <c r="R3187" i="1"/>
  <c r="R3188" i="1" s="1"/>
  <c r="R3184" i="1"/>
  <c r="R3185" i="1" s="1"/>
  <c r="R3186" i="1" s="1"/>
  <c r="R2776" i="246"/>
  <c r="R2624" i="246"/>
  <c r="R2725" i="246"/>
  <c r="R2637" i="246"/>
  <c r="R2699" i="246"/>
  <c r="R2694" i="246"/>
  <c r="R2655" i="246"/>
  <c r="R2706" i="246"/>
  <c r="R2667" i="246"/>
  <c r="R2720" i="246"/>
  <c r="R2745" i="246"/>
  <c r="R2682" i="246"/>
  <c r="R2643" i="246"/>
  <c r="R2627" i="246"/>
  <c r="R2678" i="246"/>
  <c r="R2762" i="246"/>
  <c r="D2951" i="1"/>
  <c r="R3190" i="1"/>
  <c r="R3191" i="1" s="1"/>
  <c r="R2691" i="246"/>
  <c r="R2782" i="246"/>
  <c r="R2712" i="246"/>
  <c r="R2692" i="246"/>
  <c r="R2625" i="246"/>
  <c r="R2779" i="246"/>
  <c r="R2621" i="246"/>
  <c r="R2730" i="246"/>
  <c r="R2744" i="246"/>
  <c r="R2750" i="246"/>
  <c r="R2743" i="246"/>
  <c r="R2641" i="246"/>
  <c r="R2751" i="246"/>
  <c r="R2683" i="246"/>
  <c r="R2654" i="246"/>
  <c r="R2748" i="246"/>
  <c r="R2778" i="246"/>
  <c r="R2780" i="246"/>
  <c r="R2713" i="246"/>
  <c r="R2765" i="246"/>
  <c r="R2639" i="246"/>
  <c r="R2732" i="246"/>
  <c r="R2629" i="246"/>
  <c r="R2622" i="246"/>
  <c r="R2675" i="246"/>
  <c r="R2626" i="246"/>
  <c r="R2728" i="246"/>
  <c r="R2733" i="246"/>
  <c r="R2739" i="246"/>
  <c r="R2717" i="246"/>
  <c r="R2718" i="246" s="1"/>
  <c r="R2719" i="246" s="1"/>
  <c r="R2630" i="246"/>
  <c r="R2631" i="246" s="1"/>
  <c r="R2619" i="246"/>
  <c r="R2774" i="246"/>
  <c r="R2767" i="246"/>
  <c r="R2978" i="1"/>
  <c r="R3086" i="1" s="1"/>
  <c r="D3136" i="1"/>
  <c r="R2735" i="246"/>
  <c r="R2702" i="246"/>
  <c r="R2724" i="246"/>
  <c r="R2775" i="246"/>
  <c r="R2738" i="246"/>
  <c r="R2705" i="246"/>
  <c r="R2707" i="246"/>
  <c r="R2638" i="246"/>
  <c r="R2676" i="246"/>
  <c r="R2763" i="246"/>
  <c r="R2690" i="246"/>
  <c r="R2685" i="246"/>
  <c r="R2749" i="246"/>
  <c r="R2687" i="246"/>
  <c r="R2754" i="246"/>
  <c r="R2727" i="246"/>
  <c r="R2696" i="246"/>
  <c r="R2747" i="246"/>
  <c r="R2673" i="246"/>
  <c r="R2700" i="246"/>
  <c r="R2623" i="246"/>
  <c r="R2642" i="246"/>
  <c r="R2709" i="246"/>
  <c r="R2670" i="246"/>
  <c r="R2722" i="246"/>
  <c r="R2746" i="246"/>
  <c r="R2688" i="246"/>
  <c r="R2734" i="246"/>
  <c r="R2703" i="246"/>
  <c r="R2684" i="246"/>
  <c r="R2721" i="246"/>
  <c r="Z2971" i="1"/>
  <c r="R2813" i="1"/>
  <c r="R2921" i="1" s="1"/>
  <c r="R3336" i="1"/>
  <c r="R3337" i="1" s="1"/>
  <c r="R3338" i="1" s="1"/>
  <c r="R3339" i="1" s="1"/>
  <c r="Y2909" i="1"/>
  <c r="Z2909" i="1"/>
  <c r="Y2843" i="1"/>
  <c r="Z2843" i="1"/>
  <c r="Y2893" i="1"/>
  <c r="Z2893" i="1"/>
  <c r="R3352" i="1"/>
  <c r="R3353" i="1" s="1"/>
  <c r="R3349" i="1"/>
  <c r="R3350" i="1" s="1"/>
  <c r="R3351" i="1" s="1"/>
  <c r="R3341" i="1"/>
  <c r="R3335" i="1"/>
  <c r="R3449" i="1"/>
  <c r="R3450" i="1" s="1"/>
  <c r="R3408" i="1"/>
  <c r="R3409" i="1" s="1"/>
  <c r="R3385" i="1"/>
  <c r="V2909" i="1"/>
  <c r="Y2971" i="1"/>
  <c r="V3074" i="1"/>
  <c r="E104" i="231"/>
  <c r="F104" i="231" s="1"/>
  <c r="G104" i="231" s="1"/>
  <c r="M1154" i="1"/>
  <c r="R1154" i="1" s="1"/>
  <c r="K168" i="136"/>
  <c r="K167" i="136"/>
  <c r="K166" i="136"/>
  <c r="C1" i="136"/>
  <c r="M38" i="136"/>
  <c r="G38" i="136" s="1"/>
  <c r="I38" i="136" s="1"/>
  <c r="M37" i="136"/>
  <c r="G37" i="136" s="1"/>
  <c r="I37" i="136" s="1"/>
  <c r="M36" i="136"/>
  <c r="G36" i="136" s="1"/>
  <c r="I36" i="136" s="1"/>
  <c r="M35" i="136"/>
  <c r="G35" i="136" s="1"/>
  <c r="I35" i="136" s="1"/>
  <c r="M34" i="136"/>
  <c r="G34" i="136" s="1"/>
  <c r="I34" i="136" s="1"/>
  <c r="R3127" i="1" l="1"/>
  <c r="R3040" i="1"/>
  <c r="R2829" i="1"/>
  <c r="R2875" i="1"/>
  <c r="R2695" i="246"/>
  <c r="R2645" i="246"/>
  <c r="R2759" i="246"/>
  <c r="R2760" i="246" s="1"/>
  <c r="D2971" i="1"/>
  <c r="R2659" i="246"/>
  <c r="R2660" i="246" s="1"/>
  <c r="R2661" i="246" s="1"/>
  <c r="R2651" i="246"/>
  <c r="R2635" i="246"/>
  <c r="R2636" i="246" s="1"/>
  <c r="R2662" i="246"/>
  <c r="R2663" i="246" s="1"/>
  <c r="D2843" i="1"/>
  <c r="D2893" i="1"/>
  <c r="D2909" i="1"/>
  <c r="R3018" i="1"/>
  <c r="R2753" i="246"/>
  <c r="R3112" i="1"/>
  <c r="R2962" i="1"/>
  <c r="R2947" i="1"/>
  <c r="R2853" i="1"/>
  <c r="R3061" i="1"/>
  <c r="R3096" i="1"/>
  <c r="R3028" i="1"/>
  <c r="R3118" i="1"/>
  <c r="R2989" i="1"/>
  <c r="R3084" i="1"/>
  <c r="R2998" i="1"/>
  <c r="R3126" i="1"/>
  <c r="R3002" i="1"/>
  <c r="R2986" i="1"/>
  <c r="R3001" i="1"/>
  <c r="R3135" i="1"/>
  <c r="R3123" i="1"/>
  <c r="R3038" i="1"/>
  <c r="R2990" i="1"/>
  <c r="R2991" i="1" s="1"/>
  <c r="R2981" i="1"/>
  <c r="R3085" i="1"/>
  <c r="R3099" i="1"/>
  <c r="R3110" i="1"/>
  <c r="R3117" i="1"/>
  <c r="R2999" i="1"/>
  <c r="R3101" i="1"/>
  <c r="R3124" i="1"/>
  <c r="R3050" i="1"/>
  <c r="R3103" i="1"/>
  <c r="R3063" i="1"/>
  <c r="R2982" i="1"/>
  <c r="R3137" i="1"/>
  <c r="R3100" i="1"/>
  <c r="R3047" i="1"/>
  <c r="R3053" i="1"/>
  <c r="R3104" i="1"/>
  <c r="R3054" i="1"/>
  <c r="R3065" i="1"/>
  <c r="R3074" i="1"/>
  <c r="R2997" i="1"/>
  <c r="R3010" i="1"/>
  <c r="R2988" i="1"/>
  <c r="R3114" i="1"/>
  <c r="R3067" i="1"/>
  <c r="R3102" i="1"/>
  <c r="R3088" i="1"/>
  <c r="R3125" i="1"/>
  <c r="R3041" i="1"/>
  <c r="R3039" i="1"/>
  <c r="R3017" i="1"/>
  <c r="R3072" i="1"/>
  <c r="R3043" i="1"/>
  <c r="R3032" i="1"/>
  <c r="R3116" i="1"/>
  <c r="R2980" i="1"/>
  <c r="R3029" i="1"/>
  <c r="R3094" i="1"/>
  <c r="R3059" i="1"/>
  <c r="R2987" i="1"/>
  <c r="R3107" i="1"/>
  <c r="R2992" i="1"/>
  <c r="R2993" i="1" s="1"/>
  <c r="R3068" i="1"/>
  <c r="R3036" i="1"/>
  <c r="R3139" i="1"/>
  <c r="R3034" i="1"/>
  <c r="R3106" i="1"/>
  <c r="R3075" i="1"/>
  <c r="R3069" i="1"/>
  <c r="R3056" i="1"/>
  <c r="R3142" i="1"/>
  <c r="R3097" i="1"/>
  <c r="R3076" i="1"/>
  <c r="R3089" i="1"/>
  <c r="R3098" i="1"/>
  <c r="R2994" i="1"/>
  <c r="R3121" i="1"/>
  <c r="R3030" i="1"/>
  <c r="R3080" i="1"/>
  <c r="R3082" i="1"/>
  <c r="R3115" i="1"/>
  <c r="R3037" i="1"/>
  <c r="R2983" i="1"/>
  <c r="R3051" i="1"/>
  <c r="R3091" i="1"/>
  <c r="R3111" i="1"/>
  <c r="R2984" i="1"/>
  <c r="R3071" i="1"/>
  <c r="R3044" i="1"/>
  <c r="R3133" i="1"/>
  <c r="R3134" i="1"/>
  <c r="R3003" i="1"/>
  <c r="R3095" i="1"/>
  <c r="R3048" i="1"/>
  <c r="R3122" i="1"/>
  <c r="R3073" i="1"/>
  <c r="R3141" i="1"/>
  <c r="R3052" i="1"/>
  <c r="R3000" i="1"/>
  <c r="R3066" i="1"/>
  <c r="R3014" i="1"/>
  <c r="R3070" i="1"/>
  <c r="R3109" i="1"/>
  <c r="R3093" i="1"/>
  <c r="R3138" i="1"/>
  <c r="R3105" i="1"/>
  <c r="R3062" i="1"/>
  <c r="R3031" i="1"/>
  <c r="R3016" i="1"/>
  <c r="R3081" i="1"/>
  <c r="R3049" i="1"/>
  <c r="R3136" i="1"/>
  <c r="R2979" i="1"/>
  <c r="R2985" i="1"/>
  <c r="R3058" i="1"/>
  <c r="R3140" i="1"/>
  <c r="R3092" i="1"/>
  <c r="R3015" i="1"/>
  <c r="R3083" i="1"/>
  <c r="R3013" i="1"/>
  <c r="R3060" i="1"/>
  <c r="R3064" i="1"/>
  <c r="R3108" i="1"/>
  <c r="R3042" i="1"/>
  <c r="R3046" i="1"/>
  <c r="R3024" i="1"/>
  <c r="R3087" i="1"/>
  <c r="R3045" i="1"/>
  <c r="R3057" i="1"/>
  <c r="R3033" i="1"/>
  <c r="R3027" i="1"/>
  <c r="R3004" i="1"/>
  <c r="R3090" i="1"/>
  <c r="R3035" i="1"/>
  <c r="R3077" i="1"/>
  <c r="D2488" i="246"/>
  <c r="C921" i="246"/>
  <c r="R2825" i="1"/>
  <c r="R2826" i="1" s="1"/>
  <c r="R2819" i="1"/>
  <c r="R2872" i="1"/>
  <c r="R2920" i="1"/>
  <c r="R2910" i="1"/>
  <c r="R2838" i="1"/>
  <c r="R2911" i="1"/>
  <c r="R2953" i="1"/>
  <c r="R2881" i="1"/>
  <c r="R2851" i="1"/>
  <c r="R2869" i="1"/>
  <c r="R2835" i="1"/>
  <c r="R2909" i="1"/>
  <c r="R2922" i="1"/>
  <c r="R2876" i="1"/>
  <c r="R2927" i="1"/>
  <c r="R2977" i="1"/>
  <c r="R2883" i="1"/>
  <c r="R2919" i="1"/>
  <c r="R2815" i="1"/>
  <c r="R2833" i="1"/>
  <c r="R2940" i="1"/>
  <c r="R2902" i="1"/>
  <c r="R2820" i="1"/>
  <c r="R2906" i="1"/>
  <c r="R2960" i="1"/>
  <c r="R2961" i="1"/>
  <c r="R2933" i="1"/>
  <c r="R2865" i="1"/>
  <c r="R2885" i="1"/>
  <c r="R2950" i="1"/>
  <c r="R2945" i="1"/>
  <c r="R2848" i="1"/>
  <c r="R2892" i="1"/>
  <c r="R2880" i="1"/>
  <c r="R2891" i="1"/>
  <c r="R2915" i="1"/>
  <c r="R2893" i="1"/>
  <c r="R2852" i="1"/>
  <c r="R2956" i="1"/>
  <c r="R2976" i="1"/>
  <c r="R2898" i="1"/>
  <c r="R2907" i="1"/>
  <c r="R2849" i="1"/>
  <c r="R2877" i="1"/>
  <c r="R2822" i="1"/>
  <c r="R2845" i="1"/>
  <c r="R2859" i="1"/>
  <c r="R2817" i="1"/>
  <c r="R2951" i="1"/>
  <c r="R2975" i="1"/>
  <c r="R2937" i="1"/>
  <c r="R2908" i="1"/>
  <c r="R2917" i="1"/>
  <c r="R2816" i="1"/>
  <c r="R2882" i="1"/>
  <c r="R2939" i="1"/>
  <c r="R2864" i="1"/>
  <c r="R2895" i="1"/>
  <c r="R2900" i="1"/>
  <c r="R2928" i="1"/>
  <c r="R2866" i="1"/>
  <c r="R2897" i="1"/>
  <c r="R2973" i="1"/>
  <c r="R2863" i="1"/>
  <c r="R2942" i="1"/>
  <c r="R2938" i="1"/>
  <c r="R2889" i="1"/>
  <c r="R2904" i="1"/>
  <c r="R2936" i="1"/>
  <c r="R2832" i="1"/>
  <c r="R2886" i="1"/>
  <c r="R2873" i="1"/>
  <c r="R2946" i="1"/>
  <c r="R2970" i="1"/>
  <c r="R2926" i="1"/>
  <c r="R2896" i="1"/>
  <c r="R2884" i="1"/>
  <c r="R2934" i="1"/>
  <c r="R2834" i="1"/>
  <c r="R2924" i="1"/>
  <c r="R2929" i="1"/>
  <c r="R2941" i="1"/>
  <c r="R2949" i="1"/>
  <c r="R2925" i="1"/>
  <c r="R2824" i="1"/>
  <c r="R2923" i="1"/>
  <c r="R2968" i="1"/>
  <c r="R2870" i="1"/>
  <c r="R2868" i="1"/>
  <c r="R2818" i="1"/>
  <c r="R2836" i="1"/>
  <c r="R2943" i="1"/>
  <c r="R2827" i="1"/>
  <c r="R2828" i="1" s="1"/>
  <c r="R2887" i="1"/>
  <c r="R2974" i="1"/>
  <c r="R2958" i="1"/>
  <c r="R2901" i="1"/>
  <c r="R2878" i="1"/>
  <c r="R2850" i="1"/>
  <c r="R2931" i="1"/>
  <c r="R2879" i="1"/>
  <c r="R2971" i="1"/>
  <c r="R2905" i="1"/>
  <c r="R2918" i="1"/>
  <c r="R2912" i="1"/>
  <c r="R2935" i="1"/>
  <c r="R2839" i="1"/>
  <c r="R2823" i="1"/>
  <c r="R2894" i="1"/>
  <c r="R2916" i="1"/>
  <c r="R2903" i="1"/>
  <c r="R2932" i="1"/>
  <c r="R2867" i="1"/>
  <c r="R2969" i="1"/>
  <c r="R2821" i="1"/>
  <c r="R2972" i="1"/>
  <c r="R2814" i="1"/>
  <c r="R2952" i="1"/>
  <c r="R2944" i="1"/>
  <c r="R2871" i="1"/>
  <c r="R2888" i="1"/>
  <c r="R2957" i="1"/>
  <c r="R2930" i="1"/>
  <c r="R2837" i="1"/>
  <c r="R2899" i="1"/>
  <c r="R2874" i="1"/>
  <c r="R2959" i="1"/>
  <c r="R2862" i="1"/>
  <c r="D2683" i="1"/>
  <c r="D2518" i="1"/>
  <c r="C922" i="1"/>
  <c r="E105" i="231"/>
  <c r="F105" i="231" s="1"/>
  <c r="G105" i="231" s="1"/>
  <c r="H404" i="5"/>
  <c r="H2" i="5" s="1"/>
  <c r="H1" i="5"/>
  <c r="G1" i="5"/>
  <c r="F1" i="5"/>
  <c r="D1" i="5"/>
  <c r="R3055" i="1" l="1"/>
  <c r="R3025" i="1"/>
  <c r="R3026" i="1" s="1"/>
  <c r="R3119" i="1"/>
  <c r="R3120" i="1" s="1"/>
  <c r="R3128" i="1"/>
  <c r="R3129" i="1" s="1"/>
  <c r="R3130" i="1" s="1"/>
  <c r="R3131" i="1" s="1"/>
  <c r="R3132" i="1" s="1"/>
  <c r="R3078" i="1"/>
  <c r="R3079" i="1" s="1"/>
  <c r="R3113" i="1"/>
  <c r="R3005" i="1"/>
  <c r="R2995" i="1"/>
  <c r="R2996" i="1" s="1"/>
  <c r="R3006" i="1"/>
  <c r="R3007" i="1" s="1"/>
  <c r="R3008" i="1" s="1"/>
  <c r="R3009" i="1" s="1"/>
  <c r="R3022" i="1"/>
  <c r="R3023" i="1" s="1"/>
  <c r="R3011" i="1"/>
  <c r="R3012" i="1"/>
  <c r="R3019" i="1"/>
  <c r="R3020" i="1" s="1"/>
  <c r="R3021" i="1" s="1"/>
  <c r="D2310" i="246"/>
  <c r="C915" i="246"/>
  <c r="R2847" i="1"/>
  <c r="R2846" i="1"/>
  <c r="R2857" i="1"/>
  <c r="R2858" i="1" s="1"/>
  <c r="R2854" i="1"/>
  <c r="R2855" i="1" s="1"/>
  <c r="R2856" i="1" s="1"/>
  <c r="R2948" i="1"/>
  <c r="R2913" i="1"/>
  <c r="R2914" i="1" s="1"/>
  <c r="R2860" i="1"/>
  <c r="R2861" i="1" s="1"/>
  <c r="R2890" i="1"/>
  <c r="R2841" i="1"/>
  <c r="R2842" i="1" s="1"/>
  <c r="R2843" i="1" s="1"/>
  <c r="R2844" i="1" s="1"/>
  <c r="R2830" i="1"/>
  <c r="R2831" i="1" s="1"/>
  <c r="R2840" i="1"/>
  <c r="R2954" i="1"/>
  <c r="R2955" i="1" s="1"/>
  <c r="R2963" i="1"/>
  <c r="R2964" i="1" s="1"/>
  <c r="R2965" i="1" s="1"/>
  <c r="R2966" i="1" s="1"/>
  <c r="R2967"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1" i="5"/>
  <c r="J361" i="5" s="1"/>
  <c r="E109" i="231" l="1"/>
  <c r="F109" i="231" s="1"/>
  <c r="G109" i="231" s="1"/>
  <c r="E110" i="231" l="1"/>
  <c r="F110" i="231" s="1"/>
  <c r="G110" i="231" s="1"/>
  <c r="K87" i="89"/>
  <c r="K169" i="89" l="1"/>
  <c r="K393" i="89" s="1"/>
  <c r="E111" i="231"/>
  <c r="F111" i="231" s="1"/>
  <c r="G111" i="231" s="1"/>
  <c r="E112" i="231" l="1"/>
  <c r="F112" i="231" s="1"/>
  <c r="G112" i="231" s="1"/>
  <c r="E113" i="231" l="1"/>
  <c r="F113" i="231" s="1"/>
  <c r="G113" i="231" s="1"/>
  <c r="E114" i="231" l="1"/>
  <c r="F114" i="231" s="1"/>
  <c r="G114" i="231" s="1"/>
  <c r="C1143" i="1"/>
  <c r="P153"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M15" i="149"/>
  <c r="J15" i="149"/>
  <c r="G233" i="136" l="1"/>
  <c r="I233" i="136" s="1"/>
  <c r="F233" i="5" s="1"/>
  <c r="G108" i="136"/>
  <c r="I108" i="136" s="1"/>
  <c r="G6" i="136"/>
  <c r="I6" i="136" s="1"/>
  <c r="E115" i="231"/>
  <c r="F115" i="231" s="1"/>
  <c r="G115" i="231" s="1"/>
  <c r="E404" i="5"/>
  <c r="O2561" i="246" l="1"/>
  <c r="O2756" i="1"/>
  <c r="M2591" i="1"/>
  <c r="E116" i="231"/>
  <c r="F116" i="231" s="1"/>
  <c r="G116" i="231" s="1"/>
  <c r="P38" i="5"/>
  <c r="J38" i="5" s="1"/>
  <c r="P37" i="5"/>
  <c r="J37" i="5" s="1"/>
  <c r="P36" i="5"/>
  <c r="J36" i="5" s="1"/>
  <c r="P35" i="5"/>
  <c r="J35" i="5" s="1"/>
  <c r="P34" i="5"/>
  <c r="J34" i="5" s="1"/>
  <c r="L34" i="5" s="1"/>
  <c r="E117" i="231" l="1"/>
  <c r="F117" i="231" s="1"/>
  <c r="G117" i="231" s="1"/>
  <c r="L37" i="5"/>
  <c r="L38" i="5"/>
  <c r="L36" i="5"/>
  <c r="R2439" i="246" l="1"/>
  <c r="R2438" i="246"/>
  <c r="E118" i="231"/>
  <c r="F118" i="231" s="1"/>
  <c r="G118" i="231" s="1"/>
  <c r="S2439" i="246" l="1"/>
  <c r="W2439" i="246"/>
  <c r="D2439" i="246" s="1"/>
  <c r="U2941" i="246"/>
  <c r="U2776" i="246"/>
  <c r="S2438" i="246"/>
  <c r="V3136" i="1"/>
  <c r="W2438" i="246"/>
  <c r="D2438" i="246" s="1"/>
  <c r="V3466" i="1"/>
  <c r="V3301" i="1"/>
  <c r="V2971" i="1"/>
  <c r="S2468" i="1"/>
  <c r="S2469" i="1"/>
  <c r="E119" i="231"/>
  <c r="F119" i="231" s="1"/>
  <c r="G119" i="231" s="1"/>
  <c r="C1929" i="1"/>
  <c r="C1928" i="1"/>
  <c r="C1927" i="1"/>
  <c r="C1926" i="1"/>
  <c r="C1925" i="1"/>
  <c r="J117" i="1"/>
  <c r="J118" i="1"/>
  <c r="R118" i="1" s="1"/>
  <c r="J120" i="1"/>
  <c r="J122" i="1"/>
  <c r="J123" i="1"/>
  <c r="J124" i="1"/>
  <c r="J125" i="1"/>
  <c r="J126" i="1"/>
  <c r="J128" i="1"/>
  <c r="J129" i="1"/>
  <c r="J130" i="1"/>
  <c r="J131" i="1"/>
  <c r="J140" i="1"/>
  <c r="J141" i="1"/>
  <c r="J147" i="1"/>
  <c r="J711" i="1"/>
  <c r="J712" i="1"/>
  <c r="J713" i="1"/>
  <c r="J714" i="1"/>
  <c r="C347" i="4"/>
  <c r="C342" i="4"/>
  <c r="C327" i="4"/>
  <c r="C322" i="4"/>
  <c r="C317" i="4"/>
  <c r="C312" i="4"/>
  <c r="C307" i="4"/>
  <c r="C302" i="4"/>
  <c r="E120" i="231" l="1"/>
  <c r="F120" i="231" s="1"/>
  <c r="G120" i="231" s="1"/>
  <c r="M140" i="136"/>
  <c r="G140" i="136" s="1"/>
  <c r="I140" i="136" s="1"/>
  <c r="M139" i="136"/>
  <c r="G139" i="136" s="1"/>
  <c r="I139" i="136" s="1"/>
  <c r="O2585" i="246" s="1"/>
  <c r="M138" i="136"/>
  <c r="G138" i="136" s="1"/>
  <c r="I138" i="136" s="1"/>
  <c r="O2584" i="246" s="1"/>
  <c r="M137" i="136"/>
  <c r="G137" i="136" s="1"/>
  <c r="I137" i="136" s="1"/>
  <c r="O2583" i="246" s="1"/>
  <c r="M136" i="136"/>
  <c r="G136" i="136" s="1"/>
  <c r="I136" i="136" s="1"/>
  <c r="O2582" i="246" s="1"/>
  <c r="H484" i="149"/>
  <c r="G484" i="149"/>
  <c r="I484" i="149"/>
  <c r="K15" i="149"/>
  <c r="D4" i="149"/>
  <c r="C2" i="149"/>
  <c r="K367" i="136"/>
  <c r="F367" i="136" s="1"/>
  <c r="K368" i="136"/>
  <c r="F368" i="136" s="1"/>
  <c r="M401" i="136"/>
  <c r="M400" i="136"/>
  <c r="G400" i="136" s="1"/>
  <c r="I400" i="136" s="1"/>
  <c r="M399" i="136"/>
  <c r="G399" i="136" s="1"/>
  <c r="M398" i="136"/>
  <c r="G398" i="136" s="1"/>
  <c r="M397" i="136"/>
  <c r="G397" i="136" s="1"/>
  <c r="M396" i="136"/>
  <c r="G396" i="136" s="1"/>
  <c r="M395" i="136"/>
  <c r="G395" i="136" s="1"/>
  <c r="M394" i="136"/>
  <c r="G394" i="136" s="1"/>
  <c r="M393" i="136"/>
  <c r="G393" i="136" s="1"/>
  <c r="I393" i="136" s="1"/>
  <c r="M392" i="136"/>
  <c r="G392" i="136" s="1"/>
  <c r="M391" i="136"/>
  <c r="G391" i="136" s="1"/>
  <c r="M390" i="136"/>
  <c r="G390" i="136" s="1"/>
  <c r="M389" i="136"/>
  <c r="G389" i="136" s="1"/>
  <c r="I389" i="136" s="1"/>
  <c r="F389" i="5"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I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M357" i="136"/>
  <c r="G357" i="136" s="1"/>
  <c r="M356" i="136"/>
  <c r="G356" i="136" s="1"/>
  <c r="M355" i="136"/>
  <c r="G355" i="136" s="1"/>
  <c r="M354" i="136"/>
  <c r="G354" i="136" s="1"/>
  <c r="I354" i="136" s="1"/>
  <c r="M353" i="136"/>
  <c r="G353" i="136" s="1"/>
  <c r="M352" i="136"/>
  <c r="G352" i="136" s="1"/>
  <c r="M351" i="136"/>
  <c r="G351" i="136" s="1"/>
  <c r="M350" i="136"/>
  <c r="G350" i="136" s="1"/>
  <c r="M349" i="136"/>
  <c r="G349" i="136" s="1"/>
  <c r="M347" i="136"/>
  <c r="G347" i="136" s="1"/>
  <c r="M346" i="136"/>
  <c r="G346" i="136" s="1"/>
  <c r="M344" i="136"/>
  <c r="G344" i="136" s="1"/>
  <c r="M342" i="136"/>
  <c r="G342" i="136" s="1"/>
  <c r="M341" i="136"/>
  <c r="G341" i="136" s="1"/>
  <c r="M334" i="136"/>
  <c r="G334" i="136" s="1"/>
  <c r="M332" i="136"/>
  <c r="G332" i="136" s="1"/>
  <c r="M330" i="136"/>
  <c r="G330" i="136" s="1"/>
  <c r="M321" i="136"/>
  <c r="G321"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2" i="136"/>
  <c r="G302" i="136" s="1"/>
  <c r="I302" i="136" s="1"/>
  <c r="M283" i="136"/>
  <c r="G283" i="136" s="1"/>
  <c r="M282" i="136"/>
  <c r="G282" i="136" s="1"/>
  <c r="I282" i="136" s="1"/>
  <c r="F282" i="5" s="1"/>
  <c r="M281" i="136"/>
  <c r="G281" i="136" s="1"/>
  <c r="I281" i="136" s="1"/>
  <c r="F281" i="5" s="1"/>
  <c r="M280" i="136"/>
  <c r="G280" i="136" s="1"/>
  <c r="M279" i="136"/>
  <c r="G279" i="136" s="1"/>
  <c r="I279" i="136" s="1"/>
  <c r="M278" i="136"/>
  <c r="G278" i="136" s="1"/>
  <c r="I278" i="136" s="1"/>
  <c r="F278" i="5" s="1"/>
  <c r="M277" i="136"/>
  <c r="G277" i="136" s="1"/>
  <c r="I277" i="136" s="1"/>
  <c r="F277" i="5" s="1"/>
  <c r="M276" i="136"/>
  <c r="G276" i="136" s="1"/>
  <c r="M275" i="136"/>
  <c r="G275" i="136" s="1"/>
  <c r="I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38" i="136"/>
  <c r="G238" i="136" s="1"/>
  <c r="I238" i="136" s="1"/>
  <c r="F238" i="5" s="1"/>
  <c r="M237" i="136"/>
  <c r="G237" i="136" s="1"/>
  <c r="I237" i="136" s="1"/>
  <c r="F237" i="5" s="1"/>
  <c r="M236" i="136"/>
  <c r="G236" i="136" s="1"/>
  <c r="M235" i="136"/>
  <c r="G235" i="136" s="1"/>
  <c r="I235" i="136" s="1"/>
  <c r="M232" i="136"/>
  <c r="G232" i="136" s="1"/>
  <c r="I232" i="136" s="1"/>
  <c r="F232" i="5" s="1"/>
  <c r="M231" i="136"/>
  <c r="G231" i="136" s="1"/>
  <c r="I231" i="136" s="1"/>
  <c r="F231" i="5" s="1"/>
  <c r="M230" i="136"/>
  <c r="G230" i="136" s="1"/>
  <c r="M229" i="136"/>
  <c r="G229" i="136" s="1"/>
  <c r="I229" i="136" s="1"/>
  <c r="M228" i="136"/>
  <c r="G228" i="136" s="1"/>
  <c r="I228" i="136" s="1"/>
  <c r="F228" i="5" s="1"/>
  <c r="M227" i="136"/>
  <c r="G227" i="136" s="1"/>
  <c r="I227" i="136" s="1"/>
  <c r="F227" i="5" s="1"/>
  <c r="M226" i="136"/>
  <c r="G226" i="136" s="1"/>
  <c r="I226" i="136" s="1"/>
  <c r="F226" i="5" s="1"/>
  <c r="M225" i="136"/>
  <c r="G225" i="136" s="1"/>
  <c r="I225" i="136" s="1"/>
  <c r="F225" i="5" s="1"/>
  <c r="M222" i="136"/>
  <c r="G222" i="136" s="1"/>
  <c r="M221" i="136"/>
  <c r="G221" i="136" s="1"/>
  <c r="M220" i="136"/>
  <c r="G220" i="136" s="1"/>
  <c r="I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M202" i="136"/>
  <c r="G202" i="136" s="1"/>
  <c r="M201" i="136"/>
  <c r="G201" i="136" s="1"/>
  <c r="M200" i="136"/>
  <c r="G200"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I185" i="136" s="1"/>
  <c r="M184" i="136"/>
  <c r="G184" i="136" s="1"/>
  <c r="M183" i="136"/>
  <c r="G183" i="136" s="1"/>
  <c r="I183" i="136" s="1"/>
  <c r="F183" i="5" s="1"/>
  <c r="M182" i="136"/>
  <c r="G182" i="136" s="1"/>
  <c r="I182" i="136" s="1"/>
  <c r="F182" i="5" s="1"/>
  <c r="M181" i="136"/>
  <c r="G181" i="136" s="1"/>
  <c r="M180" i="136"/>
  <c r="G180" i="136" s="1"/>
  <c r="I180" i="136" s="1"/>
  <c r="M179" i="136"/>
  <c r="G179" i="136" s="1"/>
  <c r="I179" i="136" s="1"/>
  <c r="F179" i="5" s="1"/>
  <c r="M178" i="136"/>
  <c r="G178" i="136" s="1"/>
  <c r="I178" i="136" s="1"/>
  <c r="F178" i="5" s="1"/>
  <c r="M177" i="136"/>
  <c r="G177" i="136" s="1"/>
  <c r="M176" i="136"/>
  <c r="G176" i="136" s="1"/>
  <c r="I176" i="136" s="1"/>
  <c r="M175" i="136"/>
  <c r="G175" i="136" s="1"/>
  <c r="I175" i="136" s="1"/>
  <c r="F175" i="5" s="1"/>
  <c r="M174" i="136"/>
  <c r="G174" i="136" s="1"/>
  <c r="I174" i="136" s="1"/>
  <c r="F174" i="5" s="1"/>
  <c r="M173" i="136"/>
  <c r="G173" i="136" s="1"/>
  <c r="M172" i="136"/>
  <c r="G172" i="136" s="1"/>
  <c r="I172" i="136" s="1"/>
  <c r="M171" i="136"/>
  <c r="G171" i="136" s="1"/>
  <c r="I171" i="136" s="1"/>
  <c r="F171" i="5" s="1"/>
  <c r="M170" i="136"/>
  <c r="G170" i="136" s="1"/>
  <c r="M169" i="136"/>
  <c r="K401" i="136"/>
  <c r="F401" i="136" s="1"/>
  <c r="K400" i="136"/>
  <c r="K399" i="136"/>
  <c r="F399" i="136" s="1"/>
  <c r="K398" i="136"/>
  <c r="K397" i="136"/>
  <c r="F397" i="136" s="1"/>
  <c r="K396" i="136"/>
  <c r="F396" i="136" s="1"/>
  <c r="K395" i="136"/>
  <c r="F395" i="136" s="1"/>
  <c r="K394" i="136"/>
  <c r="F394" i="136" s="1"/>
  <c r="K393" i="136"/>
  <c r="K392" i="136"/>
  <c r="K391" i="136"/>
  <c r="K390" i="136"/>
  <c r="K389" i="136"/>
  <c r="K388" i="136"/>
  <c r="K387" i="136"/>
  <c r="K386" i="136"/>
  <c r="K385" i="136"/>
  <c r="K384" i="136"/>
  <c r="F384" i="136" s="1"/>
  <c r="K383" i="136"/>
  <c r="F383" i="136" s="1"/>
  <c r="K382" i="136"/>
  <c r="F382" i="136" s="1"/>
  <c r="K381" i="136"/>
  <c r="F381" i="136" s="1"/>
  <c r="K380" i="136"/>
  <c r="F380" i="136" s="1"/>
  <c r="K379" i="136"/>
  <c r="K378" i="136"/>
  <c r="K377" i="136"/>
  <c r="F377" i="136" s="1"/>
  <c r="K376" i="136"/>
  <c r="F376" i="136" s="1"/>
  <c r="K375" i="136"/>
  <c r="F375" i="136" s="1"/>
  <c r="K374" i="136"/>
  <c r="K373" i="136"/>
  <c r="F373" i="136" s="1"/>
  <c r="K372" i="136"/>
  <c r="F372" i="136" s="1"/>
  <c r="K371" i="136"/>
  <c r="F371" i="136" s="1"/>
  <c r="K370" i="136"/>
  <c r="F370" i="136" s="1"/>
  <c r="K369" i="136"/>
  <c r="F369" i="136" s="1"/>
  <c r="K366" i="136"/>
  <c r="K365" i="136"/>
  <c r="F365" i="136" s="1"/>
  <c r="K364" i="136"/>
  <c r="F364" i="136" s="1"/>
  <c r="K363" i="136"/>
  <c r="F363" i="136" s="1"/>
  <c r="K362" i="136"/>
  <c r="F362" i="136" s="1"/>
  <c r="K361" i="136"/>
  <c r="F361" i="136" s="1"/>
  <c r="K360" i="136"/>
  <c r="F360" i="136" s="1"/>
  <c r="K359" i="136"/>
  <c r="K358" i="136"/>
  <c r="F358" i="136" s="1"/>
  <c r="K357" i="136"/>
  <c r="F357" i="136" s="1"/>
  <c r="K356" i="136"/>
  <c r="F356" i="136" s="1"/>
  <c r="K355" i="136"/>
  <c r="F355" i="136" s="1"/>
  <c r="K354" i="136"/>
  <c r="K353" i="136"/>
  <c r="F353" i="136" s="1"/>
  <c r="K352" i="136"/>
  <c r="F352" i="136" s="1"/>
  <c r="K351" i="136"/>
  <c r="F351" i="136" s="1"/>
  <c r="K350" i="136"/>
  <c r="F350" i="136" s="1"/>
  <c r="K349" i="136"/>
  <c r="F349" i="136" s="1"/>
  <c r="K347" i="136"/>
  <c r="F347" i="136" s="1"/>
  <c r="K346" i="136"/>
  <c r="F346" i="136" s="1"/>
  <c r="K344" i="136"/>
  <c r="F344" i="136" s="1"/>
  <c r="K342" i="136"/>
  <c r="K341" i="136"/>
  <c r="F341" i="136" s="1"/>
  <c r="K334" i="136"/>
  <c r="F334" i="136" s="1"/>
  <c r="K332" i="136"/>
  <c r="F332" i="136" s="1"/>
  <c r="K330" i="136"/>
  <c r="F330" i="136" s="1"/>
  <c r="K321" i="136"/>
  <c r="F321" i="136" s="1"/>
  <c r="K319" i="136"/>
  <c r="K318" i="136"/>
  <c r="F318" i="136" s="1"/>
  <c r="K317" i="136"/>
  <c r="F317" i="136" s="1"/>
  <c r="K316" i="136"/>
  <c r="F316" i="136" s="1"/>
  <c r="K315" i="136"/>
  <c r="F315" i="136" s="1"/>
  <c r="K314" i="136"/>
  <c r="F314" i="136" s="1"/>
  <c r="K313" i="136"/>
  <c r="K312" i="136"/>
  <c r="F312" i="136" s="1"/>
  <c r="K311" i="136"/>
  <c r="F311" i="136" s="1"/>
  <c r="K310" i="136"/>
  <c r="F310" i="136" s="1"/>
  <c r="K309" i="136"/>
  <c r="F309" i="136" s="1"/>
  <c r="K308" i="136"/>
  <c r="F308" i="136" s="1"/>
  <c r="K307" i="136"/>
  <c r="K302"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38" i="136"/>
  <c r="K237" i="136"/>
  <c r="K236" i="136"/>
  <c r="K235" i="136"/>
  <c r="K232" i="136"/>
  <c r="K231" i="136"/>
  <c r="K230" i="136"/>
  <c r="K229" i="136"/>
  <c r="K228" i="136"/>
  <c r="K227" i="136"/>
  <c r="K226" i="136"/>
  <c r="K225" i="136"/>
  <c r="K222" i="136"/>
  <c r="K221" i="136"/>
  <c r="F221" i="136" s="1"/>
  <c r="K220" i="136"/>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K184" i="136"/>
  <c r="K183" i="136"/>
  <c r="K182" i="136"/>
  <c r="K181" i="136"/>
  <c r="K180" i="136"/>
  <c r="K179" i="136"/>
  <c r="K178" i="136"/>
  <c r="K177" i="136"/>
  <c r="K176" i="136"/>
  <c r="K175" i="136"/>
  <c r="K174" i="136"/>
  <c r="K173" i="136"/>
  <c r="K172" i="136"/>
  <c r="K171" i="136"/>
  <c r="K170" i="136"/>
  <c r="K169" i="136"/>
  <c r="K299" i="89"/>
  <c r="K298" i="89"/>
  <c r="M165" i="136"/>
  <c r="G165" i="136" s="1"/>
  <c r="I165" i="136" s="1"/>
  <c r="F165" i="5" s="1"/>
  <c r="K300" i="89"/>
  <c r="K388" i="89"/>
  <c r="K387" i="89"/>
  <c r="K313" i="89"/>
  <c r="K312" i="89"/>
  <c r="K311" i="89"/>
  <c r="K310" i="89"/>
  <c r="K309" i="89"/>
  <c r="K308" i="89"/>
  <c r="K307" i="89"/>
  <c r="K306" i="89"/>
  <c r="K305" i="89"/>
  <c r="E3" i="124"/>
  <c r="F222" i="136" l="1"/>
  <c r="F230" i="136"/>
  <c r="I230" i="136" s="1"/>
  <c r="F236" i="136"/>
  <c r="O2586" i="246"/>
  <c r="M2616" i="1"/>
  <c r="O2779" i="1"/>
  <c r="M2614" i="1"/>
  <c r="M2615" i="1"/>
  <c r="O2780" i="1"/>
  <c r="O2778" i="1"/>
  <c r="M2613" i="1"/>
  <c r="O2777" i="1"/>
  <c r="M2612" i="1"/>
  <c r="O2781" i="1"/>
  <c r="M21" i="149"/>
  <c r="E121" i="231"/>
  <c r="F121" i="231" s="1"/>
  <c r="G121" i="231" s="1"/>
  <c r="M16" i="149"/>
  <c r="M18" i="149"/>
  <c r="A18" i="149" s="1"/>
  <c r="G169" i="136"/>
  <c r="I169" i="136" s="1"/>
  <c r="M26" i="149"/>
  <c r="A26" i="149" s="1"/>
  <c r="M25" i="149"/>
  <c r="A25" i="149" s="1"/>
  <c r="M23" i="149"/>
  <c r="A23" i="149" s="1"/>
  <c r="M20" i="149"/>
  <c r="M19" i="149"/>
  <c r="M17" i="149"/>
  <c r="I395" i="136"/>
  <c r="F395" i="5" s="1"/>
  <c r="G358" i="136"/>
  <c r="I358" i="136" s="1"/>
  <c r="F358" i="5" s="1"/>
  <c r="G203" i="136"/>
  <c r="I203" i="136" s="1"/>
  <c r="F203" i="5" s="1"/>
  <c r="G401" i="136"/>
  <c r="I401" i="136" s="1"/>
  <c r="F401" i="5" s="1"/>
  <c r="I209" i="136"/>
  <c r="F209" i="5" s="1"/>
  <c r="I213" i="136"/>
  <c r="F213" i="5" s="1"/>
  <c r="I187" i="136"/>
  <c r="F187" i="5" s="1"/>
  <c r="I196" i="136"/>
  <c r="F196" i="5" s="1"/>
  <c r="I195" i="136"/>
  <c r="F195" i="5" s="1"/>
  <c r="I207" i="136"/>
  <c r="F207" i="5" s="1"/>
  <c r="F170" i="136"/>
  <c r="I170" i="136" s="1"/>
  <c r="I212" i="136"/>
  <c r="F212" i="5" s="1"/>
  <c r="F181" i="136"/>
  <c r="I181" i="136" s="1"/>
  <c r="A304" i="149"/>
  <c r="A464" i="149"/>
  <c r="I221" i="136"/>
  <c r="I189" i="136"/>
  <c r="F189" i="5" s="1"/>
  <c r="I193" i="136"/>
  <c r="F193" i="5" s="1"/>
  <c r="I370" i="136"/>
  <c r="F370" i="5" s="1"/>
  <c r="I236" i="136"/>
  <c r="F252" i="136"/>
  <c r="I252" i="136" s="1"/>
  <c r="F256" i="136"/>
  <c r="I256" i="136" s="1"/>
  <c r="F260" i="136"/>
  <c r="I260" i="136" s="1"/>
  <c r="F264" i="136"/>
  <c r="I264" i="136" s="1"/>
  <c r="F268" i="136"/>
  <c r="I268" i="136" s="1"/>
  <c r="F272" i="136"/>
  <c r="I272" i="136" s="1"/>
  <c r="F276" i="136"/>
  <c r="I276" i="136" s="1"/>
  <c r="F280" i="136"/>
  <c r="I280"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2" i="136"/>
  <c r="I197" i="136"/>
  <c r="F197" i="5" s="1"/>
  <c r="I204" i="136"/>
  <c r="F204" i="5" s="1"/>
  <c r="I208" i="136"/>
  <c r="F208" i="5" s="1"/>
  <c r="I216" i="136"/>
  <c r="F216" i="5" s="1"/>
  <c r="I310" i="136"/>
  <c r="F310" i="5" s="1"/>
  <c r="F173" i="136"/>
  <c r="I173" i="136" s="1"/>
  <c r="F177" i="136"/>
  <c r="I177" i="136" s="1"/>
  <c r="F386" i="136"/>
  <c r="I386" i="136" s="1"/>
  <c r="I318" i="136"/>
  <c r="F318" i="5" s="1"/>
  <c r="I344" i="136"/>
  <c r="F344" i="5" s="1"/>
  <c r="I186" i="136"/>
  <c r="F186" i="5" s="1"/>
  <c r="I190" i="136"/>
  <c r="F190" i="5" s="1"/>
  <c r="I194" i="136"/>
  <c r="F194" i="5" s="1"/>
  <c r="I200" i="136"/>
  <c r="F200" i="5" s="1"/>
  <c r="I205" i="136"/>
  <c r="F205" i="5" s="1"/>
  <c r="I217" i="136"/>
  <c r="F217" i="5" s="1"/>
  <c r="I191" i="136"/>
  <c r="F191" i="5" s="1"/>
  <c r="I201" i="136"/>
  <c r="I206" i="136"/>
  <c r="F206" i="5" s="1"/>
  <c r="I210" i="136"/>
  <c r="F210" i="5" s="1"/>
  <c r="I214" i="136"/>
  <c r="F214" i="5" s="1"/>
  <c r="I218" i="136"/>
  <c r="F218" i="5" s="1"/>
  <c r="I312" i="136"/>
  <c r="F312" i="5" s="1"/>
  <c r="I347" i="136"/>
  <c r="F347" i="5" s="1"/>
  <c r="I352" i="136"/>
  <c r="F352" i="5" s="1"/>
  <c r="I360" i="136"/>
  <c r="F360" i="5" s="1"/>
  <c r="I188" i="136"/>
  <c r="F188" i="5" s="1"/>
  <c r="I192" i="136"/>
  <c r="F192" i="5" s="1"/>
  <c r="I202" i="136"/>
  <c r="I211" i="136"/>
  <c r="F211" i="5" s="1"/>
  <c r="I215" i="136"/>
  <c r="F215" i="5" s="1"/>
  <c r="I219" i="136"/>
  <c r="F219" i="5" s="1"/>
  <c r="I317" i="136"/>
  <c r="F317" i="5" s="1"/>
  <c r="I365" i="136"/>
  <c r="F365" i="5" s="1"/>
  <c r="I384" i="136"/>
  <c r="F384" i="5" s="1"/>
  <c r="I308" i="136"/>
  <c r="F308" i="5" s="1"/>
  <c r="I316" i="136"/>
  <c r="F316" i="5" s="1"/>
  <c r="I321" i="136"/>
  <c r="F321" i="5" s="1"/>
  <c r="I341" i="136"/>
  <c r="F341" i="5" s="1"/>
  <c r="I356" i="136"/>
  <c r="F356" i="5" s="1"/>
  <c r="I364" i="136"/>
  <c r="F364" i="5" s="1"/>
  <c r="I368" i="136"/>
  <c r="F368" i="5" s="1"/>
  <c r="I372" i="136"/>
  <c r="F372" i="5" s="1"/>
  <c r="I375" i="136"/>
  <c r="F375" i="5" s="1"/>
  <c r="I379" i="136"/>
  <c r="I383" i="136"/>
  <c r="F383" i="5" s="1"/>
  <c r="I387" i="136"/>
  <c r="F387" i="5" s="1"/>
  <c r="I391" i="136"/>
  <c r="F391"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1" i="136"/>
  <c r="F311" i="5" s="1"/>
  <c r="I315" i="136"/>
  <c r="F315" i="5" s="1"/>
  <c r="I319" i="136"/>
  <c r="I334" i="136"/>
  <c r="F334" i="5" s="1"/>
  <c r="I346" i="136"/>
  <c r="F346" i="5" s="1"/>
  <c r="L346" i="5" s="1"/>
  <c r="I351" i="136"/>
  <c r="F351" i="5" s="1"/>
  <c r="I355" i="136"/>
  <c r="F355" i="5" s="1"/>
  <c r="I359" i="136"/>
  <c r="I363" i="136"/>
  <c r="F363" i="5" s="1"/>
  <c r="I371" i="136"/>
  <c r="F371" i="5" s="1"/>
  <c r="I378" i="136"/>
  <c r="I382" i="136"/>
  <c r="F382" i="5" s="1"/>
  <c r="I390" i="136"/>
  <c r="F390" i="5" s="1"/>
  <c r="I396" i="136"/>
  <c r="F396" i="5" s="1"/>
  <c r="I307" i="136"/>
  <c r="I283" i="136"/>
  <c r="I309" i="136"/>
  <c r="F309" i="5" s="1"/>
  <c r="I313" i="136"/>
  <c r="I330" i="136"/>
  <c r="F330" i="5" s="1"/>
  <c r="I342" i="136"/>
  <c r="I349" i="136"/>
  <c r="F349" i="5" s="1"/>
  <c r="I353" i="136"/>
  <c r="F353" i="5" s="1"/>
  <c r="I357" i="136"/>
  <c r="F357" i="5" s="1"/>
  <c r="I361" i="136"/>
  <c r="F361" i="5" s="1"/>
  <c r="I369" i="136"/>
  <c r="F369" i="5" s="1"/>
  <c r="I373" i="136"/>
  <c r="F373" i="5" s="1"/>
  <c r="I376" i="136"/>
  <c r="F376" i="5" s="1"/>
  <c r="I380" i="136"/>
  <c r="F380" i="5" s="1"/>
  <c r="I388" i="136"/>
  <c r="F388" i="5" s="1"/>
  <c r="I392" i="136"/>
  <c r="F392" i="5" s="1"/>
  <c r="I394" i="136"/>
  <c r="I398" i="136"/>
  <c r="A30" i="149"/>
  <c r="A31" i="149"/>
  <c r="A32" i="149"/>
  <c r="I367" i="136"/>
  <c r="F367" i="5" s="1"/>
  <c r="I314" i="136"/>
  <c r="F314" i="5" s="1"/>
  <c r="I332" i="136"/>
  <c r="F332" i="5" s="1"/>
  <c r="I350" i="136"/>
  <c r="F350" i="5" s="1"/>
  <c r="I362" i="136"/>
  <c r="F362" i="5" s="1"/>
  <c r="I366" i="136"/>
  <c r="I377" i="136"/>
  <c r="F377" i="5" s="1"/>
  <c r="I381" i="136"/>
  <c r="F381" i="5" s="1"/>
  <c r="I385" i="136"/>
  <c r="I399" i="136"/>
  <c r="F399" i="5" s="1"/>
  <c r="E262" i="4" l="1"/>
  <c r="G23" i="229"/>
  <c r="M1712" i="1"/>
  <c r="R1712" i="1" s="1"/>
  <c r="O1682" i="246"/>
  <c r="R1682" i="246" s="1"/>
  <c r="E122" i="231"/>
  <c r="F122" i="231" s="1"/>
  <c r="G122" i="231" s="1"/>
  <c r="E123" i="231" l="1"/>
  <c r="F123" i="231" s="1"/>
  <c r="G123" i="231" s="1"/>
  <c r="D404" i="136"/>
  <c r="P228" i="5"/>
  <c r="P222" i="5"/>
  <c r="J222" i="5" s="1"/>
  <c r="E124" i="231" l="1"/>
  <c r="F124" i="231" s="1"/>
  <c r="G124" i="231" s="1"/>
  <c r="A404" i="136"/>
  <c r="E125" i="231" l="1"/>
  <c r="F125" i="231" s="1"/>
  <c r="G125" i="231" s="1"/>
  <c r="E126" i="231" l="1"/>
  <c r="F126" i="231" s="1"/>
  <c r="G126" i="231" s="1"/>
  <c r="E127" i="231" l="1"/>
  <c r="F127" i="231" l="1"/>
  <c r="G127" i="231" l="1"/>
  <c r="C1981" i="1"/>
  <c r="C1980" i="1"/>
  <c r="C1979" i="1"/>
  <c r="C1978" i="1"/>
  <c r="C1977" i="1"/>
  <c r="C1976" i="1"/>
  <c r="C1975" i="1"/>
  <c r="C1974" i="1"/>
  <c r="C1973" i="1"/>
  <c r="C1972" i="1"/>
  <c r="C1971" i="1"/>
  <c r="C1970" i="1"/>
  <c r="C1969" i="1"/>
  <c r="C1968" i="1"/>
  <c r="C1967" i="1"/>
  <c r="C1966" i="1"/>
  <c r="D2439" i="1"/>
  <c r="D2438" i="1"/>
  <c r="D2437" i="1"/>
  <c r="D2436" i="1"/>
  <c r="D2435" i="1"/>
  <c r="D2381" i="1"/>
  <c r="D2380" i="1"/>
  <c r="D2379" i="1"/>
  <c r="D2378" i="1"/>
  <c r="D2377" i="1"/>
  <c r="D2376" i="1"/>
  <c r="D2375" i="1"/>
  <c r="D2374" i="1"/>
  <c r="D2373" i="1"/>
  <c r="E128" i="231" l="1"/>
  <c r="P140" i="5"/>
  <c r="P139" i="5"/>
  <c r="J139" i="5" s="1"/>
  <c r="L139" i="5" s="1"/>
  <c r="O2408" i="246" s="1"/>
  <c r="R2408" i="246" s="1"/>
  <c r="P138" i="5"/>
  <c r="J138" i="5" s="1"/>
  <c r="L138" i="5" s="1"/>
  <c r="O2407" i="246" s="1"/>
  <c r="R2407" i="246" s="1"/>
  <c r="P137" i="5"/>
  <c r="J137" i="5" s="1"/>
  <c r="L137" i="5" s="1"/>
  <c r="O2406" i="246" s="1"/>
  <c r="R2406" i="246" s="1"/>
  <c r="P136" i="5"/>
  <c r="J136" i="5" s="1"/>
  <c r="L136" i="5" s="1"/>
  <c r="O2405" i="246" s="1"/>
  <c r="R2405" i="246" s="1"/>
  <c r="F128" i="231" l="1"/>
  <c r="M2437" i="1"/>
  <c r="M2436" i="1"/>
  <c r="M2438" i="1"/>
  <c r="M2435" i="1"/>
  <c r="P200" i="5"/>
  <c r="P199" i="5"/>
  <c r="P196" i="5"/>
  <c r="P202" i="5"/>
  <c r="J202" i="5" s="1"/>
  <c r="P201" i="5"/>
  <c r="J201" i="5" s="1"/>
  <c r="P195" i="5"/>
  <c r="J195" i="5" s="1"/>
  <c r="P194" i="5"/>
  <c r="P193" i="5"/>
  <c r="P192" i="5"/>
  <c r="P191" i="5"/>
  <c r="G128" i="231" l="1"/>
  <c r="M164" i="136"/>
  <c r="M163" i="136"/>
  <c r="M161" i="136"/>
  <c r="M160" i="136"/>
  <c r="M159" i="136"/>
  <c r="M158" i="136"/>
  <c r="M157" i="136"/>
  <c r="M156" i="136"/>
  <c r="M155" i="136"/>
  <c r="M154" i="136"/>
  <c r="O1155" i="1"/>
  <c r="M149" i="136"/>
  <c r="O1150" i="1"/>
  <c r="M148" i="136"/>
  <c r="O1149" i="1"/>
  <c r="M147" i="136"/>
  <c r="O1148" i="1"/>
  <c r="M146" i="136"/>
  <c r="O1147" i="1"/>
  <c r="M145" i="136"/>
  <c r="O1146" i="1"/>
  <c r="M144" i="136"/>
  <c r="M143" i="136"/>
  <c r="M142" i="136"/>
  <c r="M135" i="136"/>
  <c r="M134"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6" i="136"/>
  <c r="G106" i="136" s="1"/>
  <c r="I106" i="136" s="1"/>
  <c r="O2559" i="246" s="1"/>
  <c r="M105" i="136"/>
  <c r="M104" i="136"/>
  <c r="M103" i="136"/>
  <c r="M102" i="136"/>
  <c r="M101" i="136"/>
  <c r="M100" i="136"/>
  <c r="M99" i="136"/>
  <c r="M98" i="136"/>
  <c r="M96" i="136"/>
  <c r="M95" i="136"/>
  <c r="M94" i="136"/>
  <c r="G94" i="136" s="1"/>
  <c r="I94" i="136" s="1"/>
  <c r="M93" i="136"/>
  <c r="M91" i="136"/>
  <c r="M90" i="136"/>
  <c r="M89" i="136"/>
  <c r="O1093" i="1"/>
  <c r="M88" i="136"/>
  <c r="O1092" i="1"/>
  <c r="M87" i="136"/>
  <c r="O1091" i="1"/>
  <c r="M86" i="136"/>
  <c r="M85" i="136"/>
  <c r="M84" i="136"/>
  <c r="M83" i="136"/>
  <c r="M82" i="136"/>
  <c r="G82" i="136" s="1"/>
  <c r="I82" i="136" s="1"/>
  <c r="O2529" i="246" s="1"/>
  <c r="M81" i="136"/>
  <c r="M80" i="136"/>
  <c r="M79" i="136"/>
  <c r="M78" i="136"/>
  <c r="M77" i="136"/>
  <c r="M76" i="136"/>
  <c r="M75" i="136"/>
  <c r="G75" i="136" s="1"/>
  <c r="I75" i="136" s="1"/>
  <c r="O2522" i="246" s="1"/>
  <c r="M74" i="136"/>
  <c r="G74" i="136" s="1"/>
  <c r="I74" i="136" s="1"/>
  <c r="O2521" i="246" s="1"/>
  <c r="M73" i="136"/>
  <c r="M72" i="136"/>
  <c r="M71" i="136"/>
  <c r="M70" i="136"/>
  <c r="M69" i="136"/>
  <c r="M68" i="136"/>
  <c r="M67" i="136"/>
  <c r="M66" i="136"/>
  <c r="M64" i="136"/>
  <c r="M63" i="136"/>
  <c r="O1020" i="1"/>
  <c r="M62" i="136"/>
  <c r="O1019" i="1"/>
  <c r="M61" i="136"/>
  <c r="L21" i="149" s="1"/>
  <c r="A21" i="149" s="1"/>
  <c r="M60" i="136"/>
  <c r="M59" i="136"/>
  <c r="M58" i="136"/>
  <c r="M57" i="136"/>
  <c r="M56" i="136"/>
  <c r="M55" i="136"/>
  <c r="M54" i="136"/>
  <c r="M53" i="136"/>
  <c r="G53" i="136" s="1"/>
  <c r="I53" i="136" s="1"/>
  <c r="O2511" i="246" s="1"/>
  <c r="M52" i="136"/>
  <c r="M51" i="136"/>
  <c r="M50" i="136"/>
  <c r="G50" i="136" s="1"/>
  <c r="I50" i="136" s="1"/>
  <c r="O2509"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1" i="5"/>
  <c r="J211" i="5" s="1"/>
  <c r="P210" i="5"/>
  <c r="P209" i="5"/>
  <c r="J209" i="5" s="1"/>
  <c r="P208" i="5"/>
  <c r="J208" i="5" s="1"/>
  <c r="O2600" i="246" l="1"/>
  <c r="O2570" i="246"/>
  <c r="O2704" i="1"/>
  <c r="M2539" i="1"/>
  <c r="M2551" i="1"/>
  <c r="O2716" i="1"/>
  <c r="O2724" i="1"/>
  <c r="M2559" i="1"/>
  <c r="M2552" i="1"/>
  <c r="O2717" i="1"/>
  <c r="O2754" i="1"/>
  <c r="M2589" i="1"/>
  <c r="O2706" i="1"/>
  <c r="M2541" i="1"/>
  <c r="M2600" i="1"/>
  <c r="O2765" i="1"/>
  <c r="O2795" i="1"/>
  <c r="M2630" i="1"/>
  <c r="E129" i="231"/>
  <c r="O1018" i="1"/>
  <c r="L19" i="149"/>
  <c r="O1090" i="1"/>
  <c r="O1145" i="1"/>
  <c r="L28" i="149"/>
  <c r="A28" i="149" s="1"/>
  <c r="L29" i="149"/>
  <c r="A29" i="149" s="1"/>
  <c r="O925" i="1"/>
  <c r="O923" i="1"/>
  <c r="O922" i="1"/>
  <c r="O924" i="1"/>
  <c r="O926" i="1"/>
  <c r="L22" i="149"/>
  <c r="A22" i="149" s="1"/>
  <c r="L16" i="149"/>
  <c r="L15" i="149"/>
  <c r="G144" i="136"/>
  <c r="I144" i="136" s="1"/>
  <c r="G156" i="136"/>
  <c r="I156" i="136" s="1"/>
  <c r="G51" i="136"/>
  <c r="I51" i="136" s="1"/>
  <c r="G76" i="136"/>
  <c r="I76" i="136" s="1"/>
  <c r="O2523" i="246" s="1"/>
  <c r="G78" i="136"/>
  <c r="I78" i="136" s="1"/>
  <c r="O2525" i="246" s="1"/>
  <c r="G80" i="136"/>
  <c r="I80" i="136" s="1"/>
  <c r="O2527" i="246" s="1"/>
  <c r="G96" i="136"/>
  <c r="I96" i="136" s="1"/>
  <c r="O2599" i="246" s="1"/>
  <c r="G100" i="136"/>
  <c r="I100" i="136" s="1"/>
  <c r="G102" i="136"/>
  <c r="I102" i="136" s="1"/>
  <c r="G104" i="136"/>
  <c r="I104" i="136" s="1"/>
  <c r="G110" i="136"/>
  <c r="I110" i="136" s="1"/>
  <c r="G111" i="136"/>
  <c r="I111" i="136" s="1"/>
  <c r="G112" i="136"/>
  <c r="I112" i="136" s="1"/>
  <c r="G114" i="136"/>
  <c r="I114" i="136" s="1"/>
  <c r="G116" i="136"/>
  <c r="I116" i="136" s="1"/>
  <c r="G118" i="136"/>
  <c r="I118" i="136" s="1"/>
  <c r="O2564" i="246" s="1"/>
  <c r="G120" i="136"/>
  <c r="I120" i="136" s="1"/>
  <c r="O2566" i="246" s="1"/>
  <c r="G122" i="136"/>
  <c r="I122" i="136" s="1"/>
  <c r="G124" i="136"/>
  <c r="I124" i="136" s="1"/>
  <c r="O2571" i="246" s="1"/>
  <c r="G126" i="136"/>
  <c r="I126" i="136" s="1"/>
  <c r="G127" i="136"/>
  <c r="I127" i="136" s="1"/>
  <c r="G129" i="136"/>
  <c r="I129" i="136" s="1"/>
  <c r="O2575" i="246" s="1"/>
  <c r="G131" i="136"/>
  <c r="I131" i="136" s="1"/>
  <c r="O2577" i="246" s="1"/>
  <c r="G133" i="136"/>
  <c r="I133" i="136" s="1"/>
  <c r="O2579" i="246" s="1"/>
  <c r="G135" i="136"/>
  <c r="I135" i="136" s="1"/>
  <c r="O2581" i="246" s="1"/>
  <c r="G143" i="136"/>
  <c r="I143" i="136" s="1"/>
  <c r="G145" i="136"/>
  <c r="I145" i="136" s="1"/>
  <c r="O1145" i="246" s="1"/>
  <c r="R1145" i="246" s="1"/>
  <c r="G147" i="136"/>
  <c r="I147" i="136" s="1"/>
  <c r="O1147" i="246" s="1"/>
  <c r="R1147" i="246" s="1"/>
  <c r="G149" i="136"/>
  <c r="I149" i="136" s="1"/>
  <c r="O1149" i="246" s="1"/>
  <c r="R1149" i="246" s="1"/>
  <c r="G155" i="136"/>
  <c r="I155" i="136" s="1"/>
  <c r="G157" i="136"/>
  <c r="I157" i="136" s="1"/>
  <c r="G159" i="136"/>
  <c r="I159" i="136" s="1"/>
  <c r="F159" i="5" s="1"/>
  <c r="G160" i="136"/>
  <c r="I160" i="136" s="1"/>
  <c r="G163" i="136"/>
  <c r="I163" i="136" s="1"/>
  <c r="F163" i="5" s="1"/>
  <c r="G142" i="136"/>
  <c r="I142" i="136" s="1"/>
  <c r="G146" i="136"/>
  <c r="I146" i="136" s="1"/>
  <c r="O1146" i="246" s="1"/>
  <c r="R1146" i="246" s="1"/>
  <c r="G148" i="136"/>
  <c r="I148" i="136" s="1"/>
  <c r="O1148" i="246" s="1"/>
  <c r="R1148" i="246" s="1"/>
  <c r="G154" i="136"/>
  <c r="I154" i="136" s="1"/>
  <c r="G158" i="136"/>
  <c r="I158" i="136" s="1"/>
  <c r="F158" i="5" s="1"/>
  <c r="G161" i="136"/>
  <c r="I161" i="136" s="1"/>
  <c r="F161" i="5" s="1"/>
  <c r="G164" i="136"/>
  <c r="I164" i="136" s="1"/>
  <c r="F164" i="5" s="1"/>
  <c r="G48" i="136"/>
  <c r="I48" i="136" s="1"/>
  <c r="O2507" i="246" s="1"/>
  <c r="G55" i="136"/>
  <c r="I55" i="136" s="1"/>
  <c r="G57" i="136"/>
  <c r="I57" i="136" s="1"/>
  <c r="G59" i="136"/>
  <c r="I59" i="136" s="1"/>
  <c r="G61" i="136"/>
  <c r="I61" i="136" s="1"/>
  <c r="G63" i="136"/>
  <c r="I63" i="136" s="1"/>
  <c r="O1019" i="246" s="1"/>
  <c r="R1019" i="246" s="1"/>
  <c r="G66" i="136"/>
  <c r="I66" i="136" s="1"/>
  <c r="G68" i="136"/>
  <c r="I68" i="136" s="1"/>
  <c r="G70" i="136"/>
  <c r="I70" i="136" s="1"/>
  <c r="G72" i="136"/>
  <c r="I72" i="136" s="1"/>
  <c r="O2519" i="246" s="1"/>
  <c r="G85" i="136"/>
  <c r="I85" i="136" s="1"/>
  <c r="G87" i="136"/>
  <c r="I87" i="136" s="1"/>
  <c r="O1090" i="246" s="1"/>
  <c r="R1090" i="246" s="1"/>
  <c r="G89" i="136"/>
  <c r="I89" i="136" s="1"/>
  <c r="O1092" i="246" s="1"/>
  <c r="R1092" i="246" s="1"/>
  <c r="G91" i="136"/>
  <c r="I91" i="136" s="1"/>
  <c r="G47" i="136"/>
  <c r="I47" i="136" s="1"/>
  <c r="O2506" i="246" s="1"/>
  <c r="G49" i="136"/>
  <c r="I49" i="136" s="1"/>
  <c r="O2508" i="246" s="1"/>
  <c r="G52" i="136"/>
  <c r="I52" i="136" s="1"/>
  <c r="G54" i="136"/>
  <c r="I54" i="136" s="1"/>
  <c r="G56" i="136"/>
  <c r="I56" i="136" s="1"/>
  <c r="G58" i="136"/>
  <c r="I58" i="136" s="1"/>
  <c r="G60" i="136"/>
  <c r="I60" i="136" s="1"/>
  <c r="G62" i="136"/>
  <c r="I62" i="136" s="1"/>
  <c r="O1018" i="246" s="1"/>
  <c r="R1018" i="246" s="1"/>
  <c r="G64" i="136"/>
  <c r="I64" i="136" s="1"/>
  <c r="O2514" i="246" s="1"/>
  <c r="G67" i="136"/>
  <c r="I67" i="136" s="1"/>
  <c r="G69" i="136"/>
  <c r="I69" i="136" s="1"/>
  <c r="G71" i="136"/>
  <c r="I71" i="136" s="1"/>
  <c r="O2518" i="246" s="1"/>
  <c r="G73" i="136"/>
  <c r="I73" i="136" s="1"/>
  <c r="O2520" i="246" s="1"/>
  <c r="G77" i="136"/>
  <c r="I77" i="136" s="1"/>
  <c r="O2524" i="246" s="1"/>
  <c r="G79" i="136"/>
  <c r="I79" i="136" s="1"/>
  <c r="O2526" i="246" s="1"/>
  <c r="G81" i="136"/>
  <c r="I81" i="136" s="1"/>
  <c r="O2528" i="246" s="1"/>
  <c r="G83" i="136"/>
  <c r="I83" i="136" s="1"/>
  <c r="G84" i="136"/>
  <c r="I84" i="136" s="1"/>
  <c r="O2601" i="246" s="1"/>
  <c r="G86" i="136"/>
  <c r="I86" i="136" s="1"/>
  <c r="G88" i="136"/>
  <c r="I88" i="136" s="1"/>
  <c r="O1091" i="246" s="1"/>
  <c r="R1091" i="246" s="1"/>
  <c r="G90" i="136"/>
  <c r="I90" i="136" s="1"/>
  <c r="G93" i="136"/>
  <c r="I93" i="136" s="1"/>
  <c r="G95" i="136"/>
  <c r="I95" i="136" s="1"/>
  <c r="O2596" i="246" s="1"/>
  <c r="G98" i="136"/>
  <c r="I98" i="136" s="1"/>
  <c r="G99" i="136"/>
  <c r="I99" i="136" s="1"/>
  <c r="G101" i="136"/>
  <c r="I101" i="136" s="1"/>
  <c r="G103" i="136"/>
  <c r="I103" i="136" s="1"/>
  <c r="O2556" i="246" s="1"/>
  <c r="G105" i="136"/>
  <c r="I105" i="136" s="1"/>
  <c r="O2558" i="246" s="1"/>
  <c r="G109" i="136"/>
  <c r="I109" i="136" s="1"/>
  <c r="G113" i="136"/>
  <c r="I113" i="136" s="1"/>
  <c r="G115" i="136"/>
  <c r="I115" i="136" s="1"/>
  <c r="G117" i="136"/>
  <c r="I117" i="136" s="1"/>
  <c r="G119" i="136"/>
  <c r="I119" i="136" s="1"/>
  <c r="O2565" i="246" s="1"/>
  <c r="G121" i="136"/>
  <c r="I121" i="136" s="1"/>
  <c r="O2567" i="246" s="1"/>
  <c r="G123" i="136"/>
  <c r="I123" i="136" s="1"/>
  <c r="G125" i="136"/>
  <c r="I125" i="136" s="1"/>
  <c r="O2572" i="246" s="1"/>
  <c r="G128" i="136"/>
  <c r="I128" i="136" s="1"/>
  <c r="O2574" i="246" s="1"/>
  <c r="G130" i="136"/>
  <c r="I130" i="136" s="1"/>
  <c r="G132" i="136"/>
  <c r="I132" i="136" s="1"/>
  <c r="O2578" i="246" s="1"/>
  <c r="G134" i="136"/>
  <c r="I134" i="136" s="1"/>
  <c r="O2580" i="246" s="1"/>
  <c r="G12" i="136"/>
  <c r="I12" i="136" s="1"/>
  <c r="G16" i="136"/>
  <c r="I16" i="136" s="1"/>
  <c r="G11" i="136"/>
  <c r="I11" i="136" s="1"/>
  <c r="G13" i="136"/>
  <c r="I13" i="136" s="1"/>
  <c r="G15" i="136"/>
  <c r="I15" i="136" s="1"/>
  <c r="G17" i="136"/>
  <c r="I17" i="136" s="1"/>
  <c r="O2473" i="246" s="1"/>
  <c r="G19" i="136"/>
  <c r="I19" i="136" s="1"/>
  <c r="O2475" i="246" s="1"/>
  <c r="G21" i="136"/>
  <c r="I21" i="136" s="1"/>
  <c r="O2477" i="246" s="1"/>
  <c r="G23" i="136"/>
  <c r="I23" i="136" s="1"/>
  <c r="G25" i="136"/>
  <c r="I25" i="136" s="1"/>
  <c r="G27" i="136"/>
  <c r="I27" i="136" s="1"/>
  <c r="G29" i="136"/>
  <c r="I29" i="136" s="1"/>
  <c r="G31" i="136"/>
  <c r="I31" i="136" s="1"/>
  <c r="G39" i="136"/>
  <c r="I39" i="136" s="1"/>
  <c r="G41" i="136"/>
  <c r="I41" i="136" s="1"/>
  <c r="O2503" i="246" s="1"/>
  <c r="G43" i="136"/>
  <c r="I43" i="136" s="1"/>
  <c r="G45" i="136"/>
  <c r="I45" i="136" s="1"/>
  <c r="G10" i="136"/>
  <c r="I10" i="136" s="1"/>
  <c r="G14" i="136"/>
  <c r="I14" i="136" s="1"/>
  <c r="G18" i="136"/>
  <c r="I18" i="136" s="1"/>
  <c r="O2474" i="246" s="1"/>
  <c r="G20" i="136"/>
  <c r="I20" i="136" s="1"/>
  <c r="O2476" i="246" s="1"/>
  <c r="G22" i="136"/>
  <c r="I22" i="136" s="1"/>
  <c r="O2478" i="246" s="1"/>
  <c r="G24" i="136"/>
  <c r="I24" i="136" s="1"/>
  <c r="G26" i="136"/>
  <c r="I26" i="136" s="1"/>
  <c r="G28" i="136"/>
  <c r="I28" i="136" s="1"/>
  <c r="G30" i="136"/>
  <c r="I30" i="136" s="1"/>
  <c r="G32" i="136"/>
  <c r="I32" i="136" s="1"/>
  <c r="G40" i="136"/>
  <c r="I40" i="136" s="1"/>
  <c r="O2502" i="246" s="1"/>
  <c r="G42" i="136"/>
  <c r="I42" i="136" s="1"/>
  <c r="O2504" i="246" s="1"/>
  <c r="G44" i="136"/>
  <c r="I44" i="136" s="1"/>
  <c r="G46" i="136"/>
  <c r="I46" i="136" s="1"/>
  <c r="F184" i="136"/>
  <c r="K404" i="136"/>
  <c r="K2" i="136" s="1"/>
  <c r="O2763" i="1" l="1"/>
  <c r="O2568" i="246"/>
  <c r="M2598" i="1"/>
  <c r="O2517" i="246"/>
  <c r="M2628" i="1"/>
  <c r="O2467" i="246"/>
  <c r="S2467" i="246" s="1"/>
  <c r="O2662" i="1"/>
  <c r="S2662" i="1" s="1"/>
  <c r="O2557" i="246"/>
  <c r="M2586" i="1"/>
  <c r="O2576" i="246"/>
  <c r="O1154" i="246"/>
  <c r="R1154" i="246" s="1"/>
  <c r="M2638" i="1"/>
  <c r="S2638" i="1" s="1"/>
  <c r="O2555" i="246"/>
  <c r="O2573" i="246"/>
  <c r="O2598" i="246"/>
  <c r="O1089" i="246"/>
  <c r="R1089" i="246" s="1"/>
  <c r="O2490" i="246"/>
  <c r="O923" i="246"/>
  <c r="R923" i="246" s="1"/>
  <c r="O924" i="246"/>
  <c r="R924" i="246" s="1"/>
  <c r="O2491" i="246"/>
  <c r="O922" i="246"/>
  <c r="R922" i="246" s="1"/>
  <c r="O2489" i="246"/>
  <c r="O2472" i="246"/>
  <c r="O2597" i="246"/>
  <c r="O2512" i="246"/>
  <c r="O2562" i="246"/>
  <c r="M2540" i="1"/>
  <c r="O2510" i="246"/>
  <c r="O2492" i="246"/>
  <c r="O925" i="246"/>
  <c r="R925" i="246" s="1"/>
  <c r="O2513" i="246"/>
  <c r="O1017" i="246"/>
  <c r="R1017" i="246" s="1"/>
  <c r="O1144" i="246"/>
  <c r="R1144" i="246" s="1"/>
  <c r="O2608" i="246"/>
  <c r="S2608" i="246" s="1"/>
  <c r="O2569" i="246"/>
  <c r="O2505" i="246"/>
  <c r="O2479" i="246"/>
  <c r="O2516" i="246"/>
  <c r="O2563" i="246"/>
  <c r="O2488" i="246"/>
  <c r="O921" i="246"/>
  <c r="R921" i="246" s="1"/>
  <c r="M2535" i="1"/>
  <c r="O2697" i="1"/>
  <c r="M2532" i="1"/>
  <c r="O2669" i="1"/>
  <c r="M2504" i="1"/>
  <c r="O2684" i="1"/>
  <c r="M2519" i="1"/>
  <c r="O2672" i="1"/>
  <c r="M2507" i="1"/>
  <c r="O2667" i="1"/>
  <c r="M2502" i="1"/>
  <c r="O2775" i="1"/>
  <c r="M2610" i="1"/>
  <c r="M2602" i="1"/>
  <c r="O2767" i="1"/>
  <c r="O2753" i="1"/>
  <c r="M2588" i="1"/>
  <c r="M2558" i="1"/>
  <c r="O2723" i="1"/>
  <c r="M2548" i="1"/>
  <c r="O2713" i="1"/>
  <c r="O2792" i="1"/>
  <c r="M2627" i="1"/>
  <c r="O2714" i="1"/>
  <c r="M2549" i="1"/>
  <c r="M2542" i="1"/>
  <c r="O2772" i="1"/>
  <c r="M2607" i="1"/>
  <c r="M2601" i="1"/>
  <c r="O2766" i="1"/>
  <c r="M2592" i="1"/>
  <c r="O2757" i="1"/>
  <c r="O2794" i="1"/>
  <c r="M2629" i="1"/>
  <c r="M2522" i="1"/>
  <c r="O2687" i="1"/>
  <c r="M2533" i="1"/>
  <c r="O2698" i="1"/>
  <c r="O2670" i="1"/>
  <c r="M2505" i="1"/>
  <c r="M2497" i="1"/>
  <c r="S2497" i="1" s="1"/>
  <c r="M2608" i="1"/>
  <c r="O2773" i="1"/>
  <c r="O2752" i="1"/>
  <c r="M2587" i="1"/>
  <c r="O2791" i="1"/>
  <c r="M2626" i="1"/>
  <c r="O2793" i="1"/>
  <c r="M2556" i="1"/>
  <c r="O2721" i="1"/>
  <c r="O2712" i="1"/>
  <c r="M2547" i="1"/>
  <c r="O2705" i="1"/>
  <c r="M2543" i="1"/>
  <c r="O2708" i="1"/>
  <c r="O2702" i="1"/>
  <c r="M2537" i="1"/>
  <c r="M2605" i="1"/>
  <c r="O2770" i="1"/>
  <c r="M2599" i="1"/>
  <c r="O2764" i="1"/>
  <c r="O2751" i="1"/>
  <c r="M2557" i="1"/>
  <c r="O2722" i="1"/>
  <c r="O2685" i="1"/>
  <c r="M2520" i="1"/>
  <c r="O2674" i="1"/>
  <c r="O2668" i="1"/>
  <c r="M2503" i="1"/>
  <c r="M2606" i="1"/>
  <c r="O2771" i="1"/>
  <c r="O2673" i="1"/>
  <c r="M2508" i="1"/>
  <c r="O2762" i="1"/>
  <c r="M2597" i="1"/>
  <c r="M2631" i="1"/>
  <c r="O2796" i="1"/>
  <c r="O2719" i="1"/>
  <c r="M2554" i="1"/>
  <c r="M2538" i="1"/>
  <c r="O2703" i="1"/>
  <c r="M2611" i="1"/>
  <c r="O2776" i="1"/>
  <c r="O2761" i="1"/>
  <c r="M2596" i="1"/>
  <c r="M2555" i="1"/>
  <c r="O2720" i="1"/>
  <c r="O2803" i="1"/>
  <c r="S2803" i="1" s="1"/>
  <c r="M2534" i="1"/>
  <c r="O2699" i="1"/>
  <c r="O2671" i="1"/>
  <c r="M2506" i="1"/>
  <c r="O2700" i="1"/>
  <c r="O2686" i="1"/>
  <c r="M2521" i="1"/>
  <c r="M2509" i="1"/>
  <c r="M2604" i="1"/>
  <c r="O2769" i="1"/>
  <c r="O2760" i="1"/>
  <c r="M2595" i="1"/>
  <c r="O2750" i="1"/>
  <c r="M2585" i="1"/>
  <c r="M2550" i="1"/>
  <c r="O2715" i="1"/>
  <c r="M2544" i="1"/>
  <c r="O2709" i="1"/>
  <c r="M2536" i="1"/>
  <c r="O2701" i="1"/>
  <c r="O2711" i="1"/>
  <c r="M2546" i="1"/>
  <c r="O2707" i="1"/>
  <c r="O2774" i="1"/>
  <c r="M2609" i="1"/>
  <c r="M2603" i="1"/>
  <c r="O2768" i="1"/>
  <c r="O2759" i="1"/>
  <c r="M2594" i="1"/>
  <c r="O2718" i="1"/>
  <c r="M2553" i="1"/>
  <c r="M2518" i="1"/>
  <c r="O2683" i="1"/>
  <c r="O2758" i="1"/>
  <c r="M2593" i="1"/>
  <c r="F129" i="231"/>
  <c r="M1092" i="1"/>
  <c r="R1092" i="1" s="1"/>
  <c r="M1019" i="1"/>
  <c r="R1019" i="1" s="1"/>
  <c r="M1020" i="1"/>
  <c r="R1020" i="1" s="1"/>
  <c r="M1146" i="1"/>
  <c r="R1146" i="1" s="1"/>
  <c r="M1091" i="1"/>
  <c r="R1091" i="1" s="1"/>
  <c r="M1155" i="1"/>
  <c r="R1155" i="1" s="1"/>
  <c r="M1147" i="1"/>
  <c r="R1147" i="1" s="1"/>
  <c r="M1148" i="1"/>
  <c r="R1148" i="1" s="1"/>
  <c r="M1093" i="1"/>
  <c r="R1093" i="1" s="1"/>
  <c r="M1149" i="1"/>
  <c r="R1149" i="1" s="1"/>
  <c r="M1150" i="1"/>
  <c r="R1150" i="1" s="1"/>
  <c r="M1018" i="1"/>
  <c r="R1018" i="1" s="1"/>
  <c r="M1145" i="1"/>
  <c r="R1145" i="1" s="1"/>
  <c r="M925" i="1"/>
  <c r="M926" i="1"/>
  <c r="M924" i="1"/>
  <c r="M923" i="1"/>
  <c r="M1090" i="1"/>
  <c r="R1090" i="1" s="1"/>
  <c r="M922" i="1"/>
  <c r="R922" i="1" s="1"/>
  <c r="I184" i="136"/>
  <c r="F404" i="136"/>
  <c r="M2529" i="1" l="1"/>
  <c r="S2529" i="1" s="1"/>
  <c r="O2593" i="246"/>
  <c r="O2485" i="246"/>
  <c r="S2485" i="246" s="1"/>
  <c r="M2623" i="1"/>
  <c r="S2623" i="1" s="1"/>
  <c r="O2788" i="1"/>
  <c r="S2788" i="1" s="1"/>
  <c r="O2680" i="1"/>
  <c r="S2680" i="1" s="1"/>
  <c r="M2515" i="1"/>
  <c r="S2515" i="1" s="1"/>
  <c r="O2499" i="246"/>
  <c r="S2499" i="246" s="1"/>
  <c r="O2552" i="246"/>
  <c r="S2552" i="246" s="1"/>
  <c r="S2593" i="246"/>
  <c r="O2469" i="246"/>
  <c r="S2469" i="246" s="1"/>
  <c r="M2499" i="1"/>
  <c r="S2499" i="1" s="1"/>
  <c r="M2582" i="1"/>
  <c r="S2582" i="1" s="1"/>
  <c r="O2747" i="1"/>
  <c r="S2747" i="1" s="1"/>
  <c r="O2664" i="1"/>
  <c r="S2664" i="1" s="1"/>
  <c r="O2694" i="1"/>
  <c r="S2694" i="1" s="1"/>
  <c r="R923" i="1"/>
  <c r="R926" i="1"/>
  <c r="R924" i="1"/>
  <c r="R925" i="1"/>
  <c r="G129" i="231"/>
  <c r="C1142" i="1"/>
  <c r="J79" i="26"/>
  <c r="J80" i="26"/>
  <c r="P152" i="5"/>
  <c r="J74" i="26"/>
  <c r="J71" i="26"/>
  <c r="J69" i="26"/>
  <c r="J148" i="5" s="1"/>
  <c r="L148" i="5" s="1"/>
  <c r="O1137" i="246" s="1"/>
  <c r="R1137" i="246" s="1"/>
  <c r="J73" i="26"/>
  <c r="J194" i="5" s="1"/>
  <c r="J70" i="26"/>
  <c r="J193" i="5" s="1"/>
  <c r="J12" i="89"/>
  <c r="G6" i="124"/>
  <c r="J34" i="26"/>
  <c r="J239" i="5" s="1"/>
  <c r="L239" i="5" s="1"/>
  <c r="P353" i="5"/>
  <c r="J353" i="5" s="1"/>
  <c r="J39" i="26"/>
  <c r="K304" i="89"/>
  <c r="C1141" i="1"/>
  <c r="K303" i="89"/>
  <c r="K302" i="89"/>
  <c r="K301" i="89"/>
  <c r="P151" i="5"/>
  <c r="P216" i="5"/>
  <c r="J216" i="5" s="1"/>
  <c r="P215" i="5"/>
  <c r="J215" i="5" s="1"/>
  <c r="P214" i="5"/>
  <c r="J214" i="5" s="1"/>
  <c r="P213" i="5"/>
  <c r="J213" i="5" s="1"/>
  <c r="P212" i="5"/>
  <c r="J212" i="5" s="1"/>
  <c r="P352" i="5"/>
  <c r="J352" i="5" s="1"/>
  <c r="P351" i="5"/>
  <c r="J351" i="5" s="1"/>
  <c r="B559" i="1"/>
  <c r="B570" i="1" s="1"/>
  <c r="B581" i="1" s="1"/>
  <c r="P175" i="5"/>
  <c r="P174" i="5"/>
  <c r="J174" i="5" s="1"/>
  <c r="L174" i="5" s="1"/>
  <c r="P173" i="5"/>
  <c r="J173" i="5" s="1"/>
  <c r="P172" i="5"/>
  <c r="J172" i="5" s="1"/>
  <c r="L172" i="5" s="1"/>
  <c r="E110" i="4"/>
  <c r="M547" i="1"/>
  <c r="D541" i="1"/>
  <c r="R541" i="1" s="1"/>
  <c r="D540" i="1"/>
  <c r="D322" i="1"/>
  <c r="C266" i="1"/>
  <c r="D256" i="1"/>
  <c r="R256" i="1" s="1"/>
  <c r="D267" i="1"/>
  <c r="C1817" i="246"/>
  <c r="C1813" i="246"/>
  <c r="D259" i="1"/>
  <c r="D255" i="1"/>
  <c r="P82" i="5"/>
  <c r="J82" i="5" s="1"/>
  <c r="L82" i="5" s="1"/>
  <c r="O2351" i="246" s="1"/>
  <c r="R2351" i="246" s="1"/>
  <c r="P81" i="5"/>
  <c r="J81" i="5" s="1"/>
  <c r="L81" i="5" s="1"/>
  <c r="O2350" i="246" s="1"/>
  <c r="R2350" i="246" s="1"/>
  <c r="P80" i="5"/>
  <c r="J80" i="5" s="1"/>
  <c r="L80" i="5" s="1"/>
  <c r="O2349" i="246" s="1"/>
  <c r="R2349" i="246" s="1"/>
  <c r="P79" i="5"/>
  <c r="J79" i="5" s="1"/>
  <c r="L79" i="5" s="1"/>
  <c r="O2348" i="246" s="1"/>
  <c r="R2348" i="246" s="1"/>
  <c r="H39" i="4"/>
  <c r="H38" i="4"/>
  <c r="I38" i="4" s="1"/>
  <c r="P113" i="5"/>
  <c r="P114" i="5"/>
  <c r="J114" i="5" s="1"/>
  <c r="L114" i="5" s="1"/>
  <c r="E27" i="4"/>
  <c r="P367" i="5"/>
  <c r="J367" i="5" s="1"/>
  <c r="P170" i="5"/>
  <c r="J170" i="5" s="1"/>
  <c r="P171" i="5"/>
  <c r="P61" i="5"/>
  <c r="J61" i="5" s="1"/>
  <c r="L61" i="5" s="1"/>
  <c r="P62" i="5"/>
  <c r="J62" i="5" s="1"/>
  <c r="P73" i="5"/>
  <c r="J73" i="5" s="1"/>
  <c r="P131" i="5"/>
  <c r="J131" i="5" s="1"/>
  <c r="K244" i="89"/>
  <c r="J60" i="26"/>
  <c r="J61" i="26"/>
  <c r="P86" i="5"/>
  <c r="J86" i="5" s="1"/>
  <c r="L86" i="5" s="1"/>
  <c r="J65" i="26"/>
  <c r="J62" i="26"/>
  <c r="J45" i="26"/>
  <c r="J245" i="5" s="1"/>
  <c r="L245" i="5" s="1"/>
  <c r="J28" i="26"/>
  <c r="J38" i="26"/>
  <c r="J97" i="5" s="1"/>
  <c r="L97" i="5" s="1"/>
  <c r="J52" i="26"/>
  <c r="J55" i="26"/>
  <c r="J56" i="26"/>
  <c r="J57" i="26"/>
  <c r="J26" i="26"/>
  <c r="J298" i="5" s="1"/>
  <c r="L298" i="5" s="1"/>
  <c r="J36" i="26"/>
  <c r="P18" i="5"/>
  <c r="J18" i="5" s="1"/>
  <c r="L18" i="5" s="1"/>
  <c r="O2296" i="246" s="1"/>
  <c r="R2296" i="246" s="1"/>
  <c r="J23" i="26"/>
  <c r="J43" i="26"/>
  <c r="J44" i="26"/>
  <c r="J234" i="5" s="1"/>
  <c r="L234" i="5" s="1"/>
  <c r="J48" i="26"/>
  <c r="J49" i="26"/>
  <c r="J27" i="26"/>
  <c r="J40" i="26"/>
  <c r="J50" i="26"/>
  <c r="J58" i="26"/>
  <c r="J66" i="26"/>
  <c r="N402" i="5"/>
  <c r="H40" i="4"/>
  <c r="P28" i="5"/>
  <c r="J28" i="5" s="1"/>
  <c r="L28" i="5" s="1"/>
  <c r="P29" i="5"/>
  <c r="J29" i="5" s="1"/>
  <c r="L29" i="5" s="1"/>
  <c r="P30" i="5"/>
  <c r="J30" i="5" s="1"/>
  <c r="L30" i="5" s="1"/>
  <c r="J32" i="26"/>
  <c r="P74" i="5"/>
  <c r="J74" i="5" s="1"/>
  <c r="L74" i="5" s="1"/>
  <c r="O2343" i="246" s="1"/>
  <c r="R2343" i="246" s="1"/>
  <c r="P75" i="5"/>
  <c r="J75" i="5" s="1"/>
  <c r="L75" i="5" s="1"/>
  <c r="O2344" i="246" s="1"/>
  <c r="R2344" i="246" s="1"/>
  <c r="P76" i="5"/>
  <c r="J76" i="5" s="1"/>
  <c r="L76" i="5" s="1"/>
  <c r="O2345" i="246" s="1"/>
  <c r="R2345" i="246" s="1"/>
  <c r="J29" i="26"/>
  <c r="J292" i="5" s="1"/>
  <c r="L292" i="5" s="1"/>
  <c r="J30" i="26"/>
  <c r="K294" i="89"/>
  <c r="K283" i="89"/>
  <c r="K282" i="89"/>
  <c r="K253" i="89"/>
  <c r="K219" i="89"/>
  <c r="K177" i="89"/>
  <c r="K176" i="89"/>
  <c r="K175" i="89"/>
  <c r="J51" i="26"/>
  <c r="J153" i="5" s="1"/>
  <c r="P314" i="5"/>
  <c r="J41" i="26"/>
  <c r="J243" i="5" s="1"/>
  <c r="L243" i="5" s="1"/>
  <c r="J54" i="26"/>
  <c r="J63" i="26"/>
  <c r="J64" i="26"/>
  <c r="P219" i="5"/>
  <c r="J219" i="5" s="1"/>
  <c r="P218" i="5"/>
  <c r="J218" i="5" s="1"/>
  <c r="P217" i="5"/>
  <c r="J217" i="5" s="1"/>
  <c r="H42" i="4"/>
  <c r="O69" i="1"/>
  <c r="P77" i="5"/>
  <c r="J77" i="5" s="1"/>
  <c r="L77" i="5" s="1"/>
  <c r="O2346" i="246" s="1"/>
  <c r="R2346" i="246" s="1"/>
  <c r="P78" i="5"/>
  <c r="J78" i="5" s="1"/>
  <c r="L78" i="5" s="1"/>
  <c r="O2347" i="246" s="1"/>
  <c r="R2347" i="246" s="1"/>
  <c r="P87" i="5"/>
  <c r="P132" i="5"/>
  <c r="J132" i="5" s="1"/>
  <c r="L132" i="5" s="1"/>
  <c r="O2401" i="246" s="1"/>
  <c r="R2401" i="246" s="1"/>
  <c r="P133" i="5"/>
  <c r="J133" i="5" s="1"/>
  <c r="L133" i="5" s="1"/>
  <c r="O2402" i="246" s="1"/>
  <c r="R2402" i="246" s="1"/>
  <c r="P134" i="5"/>
  <c r="J134" i="5" s="1"/>
  <c r="L134" i="5" s="1"/>
  <c r="O2403" i="246" s="1"/>
  <c r="R2403" i="246" s="1"/>
  <c r="P368" i="5"/>
  <c r="J368" i="5" s="1"/>
  <c r="I212" i="89"/>
  <c r="I14" i="89"/>
  <c r="I285" i="89"/>
  <c r="I390" i="89"/>
  <c r="K295" i="89"/>
  <c r="K296" i="89"/>
  <c r="K297" i="89"/>
  <c r="C2" i="89"/>
  <c r="D3" i="89"/>
  <c r="C12" i="89"/>
  <c r="C13" i="89"/>
  <c r="K178" i="89"/>
  <c r="K179" i="89"/>
  <c r="K180" i="89"/>
  <c r="K181" i="89"/>
  <c r="K182" i="89"/>
  <c r="K183" i="89"/>
  <c r="K184" i="89"/>
  <c r="K185" i="89"/>
  <c r="K186" i="89"/>
  <c r="K187" i="89"/>
  <c r="K188" i="89"/>
  <c r="K189" i="89"/>
  <c r="K190" i="89"/>
  <c r="K191" i="89"/>
  <c r="K192" i="89"/>
  <c r="K193" i="89"/>
  <c r="K210" i="89"/>
  <c r="C14" i="89"/>
  <c r="J14" i="89"/>
  <c r="K220" i="89"/>
  <c r="K221" i="89"/>
  <c r="C15" i="89"/>
  <c r="J15" i="89"/>
  <c r="C16" i="89"/>
  <c r="P144" i="5"/>
  <c r="P186" i="5"/>
  <c r="J186" i="5" s="1"/>
  <c r="P187" i="5"/>
  <c r="P203" i="5"/>
  <c r="J226" i="4"/>
  <c r="J227"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4" i="5"/>
  <c r="K22" i="26"/>
  <c r="K21" i="26"/>
  <c r="K20" i="26"/>
  <c r="K19" i="26"/>
  <c r="K18" i="26"/>
  <c r="K17" i="26"/>
  <c r="K16" i="26"/>
  <c r="K15" i="26"/>
  <c r="P115" i="5"/>
  <c r="J115" i="5" s="1"/>
  <c r="L115" i="5" s="1"/>
  <c r="P116" i="5"/>
  <c r="J116" i="5" s="1"/>
  <c r="L116"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5" i="5"/>
  <c r="J315" i="5" s="1"/>
  <c r="P19" i="5"/>
  <c r="J19" i="5" s="1"/>
  <c r="L19" i="5" s="1"/>
  <c r="O2297" i="246" s="1"/>
  <c r="R2297" i="246" s="1"/>
  <c r="P145" i="5"/>
  <c r="P375" i="5"/>
  <c r="J375" i="5" s="1"/>
  <c r="P20" i="5"/>
  <c r="J20" i="5" s="1"/>
  <c r="L20" i="5" s="1"/>
  <c r="O2298" i="246" s="1"/>
  <c r="R2298" i="246"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P390" i="5"/>
  <c r="J390" i="5" s="1"/>
  <c r="P389" i="5"/>
  <c r="J389" i="5" s="1"/>
  <c r="L389" i="5" s="1"/>
  <c r="P388" i="5"/>
  <c r="J388" i="5" s="1"/>
  <c r="L388" i="5" s="1"/>
  <c r="P387" i="5"/>
  <c r="P386" i="5"/>
  <c r="J386" i="5" s="1"/>
  <c r="P385" i="5"/>
  <c r="J385" i="5" s="1"/>
  <c r="L385" i="5" s="1"/>
  <c r="P384" i="5"/>
  <c r="J384" i="5" s="1"/>
  <c r="P383" i="5"/>
  <c r="P382" i="5"/>
  <c r="J382" i="5" s="1"/>
  <c r="P381" i="5"/>
  <c r="J381" i="5" s="1"/>
  <c r="P380" i="5"/>
  <c r="J380" i="5" s="1"/>
  <c r="P379" i="5"/>
  <c r="J379" i="5" s="1"/>
  <c r="L379" i="5" s="1"/>
  <c r="P378" i="5"/>
  <c r="J378" i="5" s="1"/>
  <c r="P377" i="5"/>
  <c r="J377" i="5" s="1"/>
  <c r="P376" i="5"/>
  <c r="J376" i="5" s="1"/>
  <c r="P374" i="5"/>
  <c r="J374" i="5" s="1"/>
  <c r="L374" i="5" s="1"/>
  <c r="P373" i="5"/>
  <c r="J373" i="5" s="1"/>
  <c r="P372" i="5"/>
  <c r="J372" i="5" s="1"/>
  <c r="P371" i="5"/>
  <c r="J371" i="5" s="1"/>
  <c r="P370" i="5"/>
  <c r="J370" i="5" s="1"/>
  <c r="P369" i="5"/>
  <c r="J369" i="5" s="1"/>
  <c r="P366" i="5"/>
  <c r="J366" i="5" s="1"/>
  <c r="L366" i="5" s="1"/>
  <c r="P365" i="5"/>
  <c r="J365" i="5" s="1"/>
  <c r="P364" i="5"/>
  <c r="P363" i="5"/>
  <c r="J363" i="5" s="1"/>
  <c r="P362" i="5"/>
  <c r="J362" i="5" s="1"/>
  <c r="P360" i="5"/>
  <c r="P359" i="5"/>
  <c r="J359" i="5" s="1"/>
  <c r="L359" i="5" s="1"/>
  <c r="P358" i="5"/>
  <c r="P357" i="5"/>
  <c r="J357" i="5" s="1"/>
  <c r="P356" i="5"/>
  <c r="P355" i="5"/>
  <c r="P354" i="5"/>
  <c r="J354" i="5" s="1"/>
  <c r="L354" i="5" s="1"/>
  <c r="P350" i="5"/>
  <c r="J350" i="5" s="1"/>
  <c r="P349" i="5"/>
  <c r="P347" i="5"/>
  <c r="J347" i="5" s="1"/>
  <c r="P345" i="5"/>
  <c r="J345" i="5" s="1"/>
  <c r="P344" i="5"/>
  <c r="P342" i="5"/>
  <c r="J342" i="5" s="1"/>
  <c r="L342" i="5" s="1"/>
  <c r="P341" i="5"/>
  <c r="P334" i="5"/>
  <c r="J334" i="5" s="1"/>
  <c r="P332" i="5"/>
  <c r="P330" i="5"/>
  <c r="J330" i="5" s="1"/>
  <c r="P321" i="5"/>
  <c r="J321" i="5" s="1"/>
  <c r="P319" i="5"/>
  <c r="J319" i="5" s="1"/>
  <c r="L319" i="5" s="1"/>
  <c r="P318" i="5"/>
  <c r="J318" i="5" s="1"/>
  <c r="P317" i="5"/>
  <c r="J317" i="5" s="1"/>
  <c r="P316" i="5"/>
  <c r="J316" i="5" s="1"/>
  <c r="P313" i="5"/>
  <c r="J313" i="5" s="1"/>
  <c r="L313" i="5" s="1"/>
  <c r="P312" i="5"/>
  <c r="J312" i="5" s="1"/>
  <c r="P311" i="5"/>
  <c r="J311" i="5" s="1"/>
  <c r="P310" i="5"/>
  <c r="J310" i="5" s="1"/>
  <c r="P309" i="5"/>
  <c r="J309" i="5" s="1"/>
  <c r="P308" i="5"/>
  <c r="J308" i="5" s="1"/>
  <c r="P307" i="5"/>
  <c r="J307" i="5" s="1"/>
  <c r="L307" i="5" s="1"/>
  <c r="P302" i="5"/>
  <c r="J302" i="5" s="1"/>
  <c r="L302" i="5" s="1"/>
  <c r="P283" i="5"/>
  <c r="J283" i="5" s="1"/>
  <c r="L283" i="5" s="1"/>
  <c r="P282" i="5"/>
  <c r="J282" i="5" s="1"/>
  <c r="L282" i="5" s="1"/>
  <c r="P281" i="5"/>
  <c r="J281" i="5" s="1"/>
  <c r="P280" i="5"/>
  <c r="J280" i="5" s="1"/>
  <c r="P279" i="5"/>
  <c r="J279" i="5" s="1"/>
  <c r="L279" i="5" s="1"/>
  <c r="P278" i="5"/>
  <c r="J278" i="5" s="1"/>
  <c r="L278" i="5" s="1"/>
  <c r="P277" i="5"/>
  <c r="P276" i="5"/>
  <c r="J276" i="5" s="1"/>
  <c r="P275" i="5"/>
  <c r="J275" i="5" s="1"/>
  <c r="L275" i="5" s="1"/>
  <c r="J84" i="26"/>
  <c r="P274" i="5"/>
  <c r="J274" i="5" s="1"/>
  <c r="L274" i="5" s="1"/>
  <c r="P273" i="5"/>
  <c r="J273" i="5" s="1"/>
  <c r="J83" i="26"/>
  <c r="P272" i="5"/>
  <c r="J272" i="5" s="1"/>
  <c r="P271" i="5"/>
  <c r="J271" i="5" s="1"/>
  <c r="L271" i="5" s="1"/>
  <c r="P270" i="5"/>
  <c r="J270" i="5" s="1"/>
  <c r="L270" i="5" s="1"/>
  <c r="P269" i="5"/>
  <c r="J269" i="5" s="1"/>
  <c r="L269" i="5" s="1"/>
  <c r="P268" i="5"/>
  <c r="J268" i="5" s="1"/>
  <c r="P267" i="5"/>
  <c r="J267" i="5" s="1"/>
  <c r="L267" i="5" s="1"/>
  <c r="P266" i="5"/>
  <c r="J266" i="5" s="1"/>
  <c r="L266" i="5" s="1"/>
  <c r="P265" i="5"/>
  <c r="J265" i="5" s="1"/>
  <c r="P264" i="5"/>
  <c r="J264" i="5" s="1"/>
  <c r="P263" i="5"/>
  <c r="J263" i="5" s="1"/>
  <c r="L263" i="5" s="1"/>
  <c r="P262" i="5"/>
  <c r="J262" i="5" s="1"/>
  <c r="L262" i="5" s="1"/>
  <c r="P261" i="5"/>
  <c r="J261" i="5" s="1"/>
  <c r="L261" i="5" s="1"/>
  <c r="P260" i="5"/>
  <c r="J260" i="5" s="1"/>
  <c r="P259" i="5"/>
  <c r="J259" i="5" s="1"/>
  <c r="L259" i="5" s="1"/>
  <c r="P258" i="5"/>
  <c r="J258" i="5" s="1"/>
  <c r="L258" i="5" s="1"/>
  <c r="P257" i="5"/>
  <c r="J257" i="5" s="1"/>
  <c r="P256" i="5"/>
  <c r="J256" i="5" s="1"/>
  <c r="P255" i="5"/>
  <c r="J255" i="5" s="1"/>
  <c r="L255" i="5" s="1"/>
  <c r="P254" i="5"/>
  <c r="J254" i="5" s="1"/>
  <c r="L254" i="5" s="1"/>
  <c r="P253" i="5"/>
  <c r="J253" i="5" s="1"/>
  <c r="L253" i="5" s="1"/>
  <c r="P252" i="5"/>
  <c r="J252" i="5" s="1"/>
  <c r="P251" i="5"/>
  <c r="J251" i="5" s="1"/>
  <c r="L251" i="5" s="1"/>
  <c r="P238" i="5"/>
  <c r="J238" i="5" s="1"/>
  <c r="L238" i="5" s="1"/>
  <c r="O1221" i="246" s="1"/>
  <c r="P237" i="5"/>
  <c r="J237" i="5" s="1"/>
  <c r="P236" i="5"/>
  <c r="J236" i="5" s="1"/>
  <c r="P235" i="5"/>
  <c r="J235" i="5" s="1"/>
  <c r="L235" i="5" s="1"/>
  <c r="P232" i="5"/>
  <c r="P231" i="5"/>
  <c r="P230" i="5"/>
  <c r="J230" i="5" s="1"/>
  <c r="P229" i="5"/>
  <c r="J229" i="5" s="1"/>
  <c r="L229" i="5" s="1"/>
  <c r="P227" i="5"/>
  <c r="P226" i="5"/>
  <c r="P225" i="5"/>
  <c r="P221" i="5"/>
  <c r="J221" i="5" s="1"/>
  <c r="P220" i="5"/>
  <c r="J220" i="5" s="1"/>
  <c r="L220" i="5" s="1"/>
  <c r="P207" i="5"/>
  <c r="P206" i="5"/>
  <c r="P205" i="5"/>
  <c r="P190" i="5"/>
  <c r="P189" i="5"/>
  <c r="J189" i="5" s="1"/>
  <c r="P188" i="5"/>
  <c r="J59" i="26"/>
  <c r="P185" i="5"/>
  <c r="J185" i="5" s="1"/>
  <c r="L185" i="5" s="1"/>
  <c r="P184" i="5"/>
  <c r="J184" i="5" s="1"/>
  <c r="P183" i="5"/>
  <c r="P182" i="5"/>
  <c r="J182" i="5" s="1"/>
  <c r="L182" i="5" s="1"/>
  <c r="P181" i="5"/>
  <c r="J181" i="5" s="1"/>
  <c r="P180" i="5"/>
  <c r="J180" i="5" s="1"/>
  <c r="L180" i="5" s="1"/>
  <c r="P179" i="5"/>
  <c r="J179" i="5" s="1"/>
  <c r="L179" i="5" s="1"/>
  <c r="P178" i="5"/>
  <c r="J178" i="5" s="1"/>
  <c r="L178" i="5" s="1"/>
  <c r="P177" i="5"/>
  <c r="J177" i="5" s="1"/>
  <c r="P176" i="5"/>
  <c r="J176" i="5" s="1"/>
  <c r="L176" i="5" s="1"/>
  <c r="P169" i="5"/>
  <c r="M76" i="26" s="1"/>
  <c r="L168" i="5"/>
  <c r="L167" i="5"/>
  <c r="L166" i="5"/>
  <c r="P165" i="5"/>
  <c r="J165" i="5" s="1"/>
  <c r="L165" i="5" s="1"/>
  <c r="P164" i="5"/>
  <c r="P163" i="5"/>
  <c r="P161" i="5"/>
  <c r="P160" i="5"/>
  <c r="J160" i="5" s="1"/>
  <c r="L160" i="5" s="1"/>
  <c r="P159" i="5"/>
  <c r="J159" i="5" s="1"/>
  <c r="L159" i="5" s="1"/>
  <c r="P158" i="5"/>
  <c r="P157" i="5"/>
  <c r="J157" i="5" s="1"/>
  <c r="L157" i="5" s="1"/>
  <c r="P156" i="5"/>
  <c r="J156" i="5" s="1"/>
  <c r="P155" i="5"/>
  <c r="J155" i="5" s="1"/>
  <c r="L155" i="5" s="1"/>
  <c r="P154" i="5"/>
  <c r="J154" i="5" s="1"/>
  <c r="L154" i="5" s="1"/>
  <c r="O1143" i="246" s="1"/>
  <c r="R1143" i="246" s="1"/>
  <c r="P150" i="5"/>
  <c r="P146" i="5"/>
  <c r="P143" i="5"/>
  <c r="J143" i="5" s="1"/>
  <c r="L143" i="5" s="1"/>
  <c r="P142" i="5"/>
  <c r="J142" i="5" s="1"/>
  <c r="L142" i="5" s="1"/>
  <c r="P135" i="5"/>
  <c r="J135" i="5" s="1"/>
  <c r="L135" i="5" s="1"/>
  <c r="O2404" i="246" s="1"/>
  <c r="R2404" i="246" s="1"/>
  <c r="P130" i="5"/>
  <c r="J130" i="5" s="1"/>
  <c r="L130" i="5" s="1"/>
  <c r="P129" i="5"/>
  <c r="J129" i="5" s="1"/>
  <c r="P128" i="5"/>
  <c r="J128" i="5" s="1"/>
  <c r="P127" i="5"/>
  <c r="J127" i="5" s="1"/>
  <c r="L127" i="5" s="1"/>
  <c r="P126" i="5"/>
  <c r="J126" i="5" s="1"/>
  <c r="L126" i="5" s="1"/>
  <c r="P125" i="5"/>
  <c r="J125" i="5" s="1"/>
  <c r="L125" i="5" s="1"/>
  <c r="P124" i="5"/>
  <c r="J124" i="5" s="1"/>
  <c r="P123" i="5"/>
  <c r="J123" i="5" s="1"/>
  <c r="L123" i="5" s="1"/>
  <c r="P122" i="5"/>
  <c r="P121" i="5"/>
  <c r="J121" i="5" s="1"/>
  <c r="L121" i="5" s="1"/>
  <c r="O2390" i="246" s="1"/>
  <c r="R2390" i="246" s="1"/>
  <c r="P120" i="5"/>
  <c r="J120" i="5" s="1"/>
  <c r="L120" i="5" s="1"/>
  <c r="P119" i="5"/>
  <c r="J119" i="5" s="1"/>
  <c r="L119" i="5" s="1"/>
  <c r="P118" i="5"/>
  <c r="J118" i="5" s="1"/>
  <c r="L118" i="5" s="1"/>
  <c r="P117" i="5"/>
  <c r="J117" i="5" s="1"/>
  <c r="L117" i="5" s="1"/>
  <c r="P112" i="5"/>
  <c r="J112" i="5" s="1"/>
  <c r="L112" i="5" s="1"/>
  <c r="P111" i="5"/>
  <c r="J111" i="5" s="1"/>
  <c r="P110" i="5"/>
  <c r="J110" i="5" s="1"/>
  <c r="P109" i="5"/>
  <c r="J109" i="5" s="1"/>
  <c r="L109" i="5" s="1"/>
  <c r="P106" i="5"/>
  <c r="J106" i="5" s="1"/>
  <c r="P105" i="5"/>
  <c r="J105" i="5" s="1"/>
  <c r="P104" i="5"/>
  <c r="J104" i="5" s="1"/>
  <c r="L104" i="5" s="1"/>
  <c r="P103" i="5"/>
  <c r="P102" i="5"/>
  <c r="J102" i="5" s="1"/>
  <c r="L102" i="5" s="1"/>
  <c r="P101" i="5"/>
  <c r="J101" i="5" s="1"/>
  <c r="L101" i="5" s="1"/>
  <c r="P100" i="5"/>
  <c r="J100" i="5" s="1"/>
  <c r="L100" i="5" s="1"/>
  <c r="P99" i="5"/>
  <c r="J99" i="5" s="1"/>
  <c r="L99" i="5" s="1"/>
  <c r="P98" i="5"/>
  <c r="J98" i="5" s="1"/>
  <c r="L98" i="5" s="1"/>
  <c r="P96" i="5"/>
  <c r="J96" i="5" s="1"/>
  <c r="L96" i="5" s="1"/>
  <c r="P95" i="5"/>
  <c r="J95" i="5" s="1"/>
  <c r="L95" i="5" s="1"/>
  <c r="P94" i="5"/>
  <c r="J94" i="5" s="1"/>
  <c r="L94" i="5" s="1"/>
  <c r="P93" i="5"/>
  <c r="J93" i="5" s="1"/>
  <c r="L93" i="5" s="1"/>
  <c r="O1079" i="246" s="1"/>
  <c r="R1079" i="246" s="1"/>
  <c r="P91" i="5"/>
  <c r="P90" i="5"/>
  <c r="J90" i="5" s="1"/>
  <c r="L90" i="5" s="1"/>
  <c r="P89" i="5"/>
  <c r="J89" i="5" s="1"/>
  <c r="L89" i="5" s="1"/>
  <c r="O1088" i="246" s="1"/>
  <c r="R1088" i="246" s="1"/>
  <c r="P88" i="5"/>
  <c r="J88" i="5" s="1"/>
  <c r="L88" i="5" s="1"/>
  <c r="O1087" i="246" s="1"/>
  <c r="R1087" i="246" s="1"/>
  <c r="P85" i="5"/>
  <c r="J85" i="5" s="1"/>
  <c r="L85" i="5" s="1"/>
  <c r="P84" i="5"/>
  <c r="J84" i="5" s="1"/>
  <c r="L84" i="5" s="1"/>
  <c r="P83" i="5"/>
  <c r="J83" i="5" s="1"/>
  <c r="L83" i="5" s="1"/>
  <c r="P72" i="5"/>
  <c r="J72" i="5" s="1"/>
  <c r="L72" i="5" s="1"/>
  <c r="O2341" i="246" s="1"/>
  <c r="R2341" i="246" s="1"/>
  <c r="P71" i="5"/>
  <c r="J71" i="5" s="1"/>
  <c r="P70" i="5"/>
  <c r="J70" i="5" s="1"/>
  <c r="L70" i="5" s="1"/>
  <c r="P69" i="5"/>
  <c r="J69" i="5" s="1"/>
  <c r="L69" i="5" s="1"/>
  <c r="P68" i="5"/>
  <c r="J68" i="5" s="1"/>
  <c r="L68" i="5" s="1"/>
  <c r="P67" i="5"/>
  <c r="J67" i="5" s="1"/>
  <c r="L67" i="5" s="1"/>
  <c r="P66" i="5"/>
  <c r="J66" i="5" s="1"/>
  <c r="L66" i="5" s="1"/>
  <c r="P64" i="5"/>
  <c r="J64" i="5" s="1"/>
  <c r="P63" i="5"/>
  <c r="J63" i="5" s="1"/>
  <c r="L63" i="5" s="1"/>
  <c r="O1016" i="246" s="1"/>
  <c r="R1016" i="246"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O2328" i="246" s="1"/>
  <c r="R2328" i="246" s="1"/>
  <c r="P46" i="5"/>
  <c r="J46" i="5" s="1"/>
  <c r="P45" i="5"/>
  <c r="J45" i="5" s="1"/>
  <c r="P44" i="5"/>
  <c r="J44" i="5" s="1"/>
  <c r="P43" i="5"/>
  <c r="J43" i="5" s="1"/>
  <c r="L43" i="5" s="1"/>
  <c r="P42" i="5"/>
  <c r="J42" i="5" s="1"/>
  <c r="L42" i="5" s="1"/>
  <c r="P41" i="5"/>
  <c r="J41" i="5" s="1"/>
  <c r="P40" i="5"/>
  <c r="J40" i="5" s="1"/>
  <c r="L40" i="5" s="1"/>
  <c r="O2324" i="246" s="1"/>
  <c r="R2324" i="246" s="1"/>
  <c r="P39" i="5"/>
  <c r="J39" i="5" s="1"/>
  <c r="L39" i="5" s="1"/>
  <c r="P32" i="5"/>
  <c r="J32" i="5" s="1"/>
  <c r="L32" i="5" s="1"/>
  <c r="P31" i="5"/>
  <c r="J31" i="5" s="1"/>
  <c r="L31" i="5" s="1"/>
  <c r="P27" i="5"/>
  <c r="J27" i="5" s="1"/>
  <c r="L27" i="5" s="1"/>
  <c r="P26" i="5"/>
  <c r="P25" i="5"/>
  <c r="J25" i="5" s="1"/>
  <c r="L25" i="5" s="1"/>
  <c r="P24" i="5"/>
  <c r="P23" i="5"/>
  <c r="P22" i="5"/>
  <c r="J22" i="5" s="1"/>
  <c r="L22" i="5" s="1"/>
  <c r="O2300" i="246" s="1"/>
  <c r="R2300" i="246" s="1"/>
  <c r="P21" i="5"/>
  <c r="J21" i="5" s="1"/>
  <c r="L21" i="5" s="1"/>
  <c r="O2299" i="246" s="1"/>
  <c r="R2299" i="246" s="1"/>
  <c r="P17" i="5"/>
  <c r="J17" i="5" s="1"/>
  <c r="P16" i="5"/>
  <c r="P15" i="5"/>
  <c r="P14" i="5"/>
  <c r="P13" i="5"/>
  <c r="P12" i="5"/>
  <c r="J12" i="5" s="1"/>
  <c r="L12" i="5" s="1"/>
  <c r="P11" i="5"/>
  <c r="P10" i="5"/>
  <c r="J10" i="5" s="1"/>
  <c r="L10" i="5" s="1"/>
  <c r="P5" i="5"/>
  <c r="L36" i="26" s="1"/>
  <c r="A16" i="1"/>
  <c r="A20" i="1"/>
  <c r="D57" i="1"/>
  <c r="D58" i="1"/>
  <c r="R58" i="1" s="1"/>
  <c r="D62" i="1"/>
  <c r="R120" i="1"/>
  <c r="R123" i="1"/>
  <c r="R124" i="1"/>
  <c r="R125" i="1"/>
  <c r="R126" i="1"/>
  <c r="R130" i="1"/>
  <c r="R131" i="1"/>
  <c r="R140" i="1"/>
  <c r="R141" i="1"/>
  <c r="D465" i="1"/>
  <c r="D466" i="1"/>
  <c r="R466" i="1" s="1"/>
  <c r="M472" i="1"/>
  <c r="D412" i="1"/>
  <c r="D413" i="1"/>
  <c r="R413" i="1" s="1"/>
  <c r="M419" i="1"/>
  <c r="D595" i="1"/>
  <c r="D596" i="1"/>
  <c r="R596" i="1" s="1"/>
  <c r="D599" i="1"/>
  <c r="R607" i="1"/>
  <c r="D711" i="1"/>
  <c r="K711" i="1"/>
  <c r="D712" i="1"/>
  <c r="K712" i="1"/>
  <c r="K713" i="1"/>
  <c r="K714" i="1"/>
  <c r="C1633" i="1"/>
  <c r="C1634" i="1"/>
  <c r="C1635" i="1"/>
  <c r="C1636" i="1"/>
  <c r="C1637" i="1"/>
  <c r="C1665" i="1"/>
  <c r="C1666" i="1"/>
  <c r="C1667" i="1"/>
  <c r="C1668" i="1"/>
  <c r="C1669" i="1"/>
  <c r="D1686" i="1"/>
  <c r="D1687" i="1"/>
  <c r="D1690" i="1"/>
  <c r="M1693" i="1"/>
  <c r="C1700" i="1"/>
  <c r="D1771" i="1"/>
  <c r="D1772" i="1"/>
  <c r="D1775" i="1"/>
  <c r="M1778" i="1"/>
  <c r="C1797" i="1"/>
  <c r="R1797" i="1" s="1"/>
  <c r="D1914" i="1"/>
  <c r="D1915" i="1"/>
  <c r="D1918" i="1"/>
  <c r="M1921" i="1"/>
  <c r="D1954" i="1"/>
  <c r="D1955" i="1"/>
  <c r="D1958" i="1"/>
  <c r="M1961" i="1"/>
  <c r="C1965" i="1"/>
  <c r="D2098" i="1"/>
  <c r="D2099" i="1"/>
  <c r="D2102" i="1"/>
  <c r="M2105" i="1"/>
  <c r="C2109" i="1"/>
  <c r="C2110" i="1"/>
  <c r="C2111" i="1"/>
  <c r="C2112" i="1"/>
  <c r="C2136" i="1"/>
  <c r="C2137" i="1"/>
  <c r="C2138" i="1"/>
  <c r="C2161" i="1"/>
  <c r="C2162" i="1"/>
  <c r="C2163" i="1"/>
  <c r="C2164" i="1"/>
  <c r="C916" i="1"/>
  <c r="C917" i="1"/>
  <c r="C918" i="1"/>
  <c r="C919" i="1"/>
  <c r="C920" i="1"/>
  <c r="C987" i="1"/>
  <c r="C988" i="1"/>
  <c r="C989" i="1"/>
  <c r="C990" i="1"/>
  <c r="C991" i="1"/>
  <c r="C1015" i="1"/>
  <c r="C1016" i="1"/>
  <c r="C1017" i="1"/>
  <c r="D1086" i="1"/>
  <c r="D1087" i="1"/>
  <c r="D1088" i="1"/>
  <c r="D1089" i="1"/>
  <c r="D1123" i="1"/>
  <c r="D1124" i="1"/>
  <c r="D1127" i="1"/>
  <c r="M1130" i="1"/>
  <c r="C1134" i="1"/>
  <c r="C1135" i="1"/>
  <c r="C1136" i="1"/>
  <c r="C1140" i="1"/>
  <c r="C1144" i="1"/>
  <c r="D2308" i="1"/>
  <c r="D2312" i="1"/>
  <c r="D2396" i="1" s="1"/>
  <c r="M2315" i="1"/>
  <c r="D2326" i="1"/>
  <c r="D2327" i="1"/>
  <c r="D2328" i="1"/>
  <c r="D2329" i="1"/>
  <c r="D2330" i="1"/>
  <c r="D2340" i="1"/>
  <c r="D2341" i="1"/>
  <c r="D2342" i="1"/>
  <c r="D2343" i="1"/>
  <c r="D2344" i="1"/>
  <c r="D2372" i="1"/>
  <c r="M2399" i="1"/>
  <c r="D2430" i="1"/>
  <c r="D2431" i="1"/>
  <c r="D2432" i="1"/>
  <c r="D2433" i="1"/>
  <c r="D2434"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1" i="4"/>
  <c r="F214" i="4"/>
  <c r="G214" i="4"/>
  <c r="H214" i="4"/>
  <c r="I214" i="4"/>
  <c r="F215" i="4"/>
  <c r="G215" i="4"/>
  <c r="H215" i="4"/>
  <c r="I215" i="4"/>
  <c r="F216" i="4"/>
  <c r="G216" i="4"/>
  <c r="H216" i="4"/>
  <c r="I216" i="4"/>
  <c r="J219" i="4"/>
  <c r="J220" i="4"/>
  <c r="E223" i="4"/>
  <c r="F223" i="4"/>
  <c r="G223" i="4"/>
  <c r="H223" i="4"/>
  <c r="I223" i="4"/>
  <c r="G233" i="4"/>
  <c r="C277" i="4"/>
  <c r="C282" i="4"/>
  <c r="C287" i="4"/>
  <c r="C292" i="4"/>
  <c r="C297" i="4"/>
  <c r="L1" i="5"/>
  <c r="M69" i="26"/>
  <c r="J35" i="26"/>
  <c r="J33" i="5" s="1"/>
  <c r="L33" i="5" s="1"/>
  <c r="J37" i="26"/>
  <c r="J200" i="5" s="1"/>
  <c r="J42" i="26"/>
  <c r="L27" i="26"/>
  <c r="L41" i="26"/>
  <c r="L45" i="26"/>
  <c r="M18" i="26"/>
  <c r="M35" i="26"/>
  <c r="J31" i="26"/>
  <c r="J244" i="5" s="1"/>
  <c r="L244" i="5" s="1"/>
  <c r="J53" i="26"/>
  <c r="J81" i="26"/>
  <c r="I12" i="89"/>
  <c r="L73" i="26"/>
  <c r="J82" i="26"/>
  <c r="J72" i="26"/>
  <c r="L81" i="26"/>
  <c r="M59" i="26"/>
  <c r="M36" i="26"/>
  <c r="M39" i="26"/>
  <c r="M83" i="26"/>
  <c r="M40" i="26"/>
  <c r="M94" i="26"/>
  <c r="M89" i="26"/>
  <c r="M86" i="26"/>
  <c r="M75" i="26"/>
  <c r="M66" i="26"/>
  <c r="M74" i="26"/>
  <c r="M92" i="26"/>
  <c r="L82" i="26"/>
  <c r="L56" i="26"/>
  <c r="L91" i="26"/>
  <c r="L57" i="26"/>
  <c r="L52" i="26"/>
  <c r="L43" i="26"/>
  <c r="L95" i="26"/>
  <c r="L79" i="26"/>
  <c r="L77" i="26"/>
  <c r="L71" i="26"/>
  <c r="L78" i="26"/>
  <c r="L80" i="26"/>
  <c r="L70" i="26"/>
  <c r="O2025" i="1" l="1"/>
  <c r="O983" i="1"/>
  <c r="C1419" i="246"/>
  <c r="C1448" i="1"/>
  <c r="O1544" i="246"/>
  <c r="O1553" i="246"/>
  <c r="S1553" i="246" s="1"/>
  <c r="O1548" i="246" s="1"/>
  <c r="O1461" i="1"/>
  <c r="O1560" i="1"/>
  <c r="O1250" i="1"/>
  <c r="O2182" i="1"/>
  <c r="G123" i="4"/>
  <c r="O2160" i="246"/>
  <c r="R2160" i="246" s="1"/>
  <c r="M2189" i="1"/>
  <c r="O2159" i="246"/>
  <c r="R2159" i="246" s="1"/>
  <c r="M2188" i="1"/>
  <c r="G353" i="4"/>
  <c r="O2210" i="1"/>
  <c r="O2236" i="1"/>
  <c r="M44" i="26"/>
  <c r="M50" i="26"/>
  <c r="M1421" i="1"/>
  <c r="O1392" i="246"/>
  <c r="R1408" i="1"/>
  <c r="R1409" i="1" s="1"/>
  <c r="R1379" i="246"/>
  <c r="R1380" i="246" s="1"/>
  <c r="O1397" i="246"/>
  <c r="M1426" i="1"/>
  <c r="M1443" i="1"/>
  <c r="O1414" i="246"/>
  <c r="O1404" i="246"/>
  <c r="M1433" i="1"/>
  <c r="O1406" i="1"/>
  <c r="O1195" i="1"/>
  <c r="O912" i="1"/>
  <c r="O956" i="1"/>
  <c r="O1206" i="246"/>
  <c r="M1207" i="1"/>
  <c r="M1215" i="1"/>
  <c r="O1214" i="246"/>
  <c r="R1221" i="246"/>
  <c r="S1221" i="246"/>
  <c r="L51" i="26"/>
  <c r="M47" i="26"/>
  <c r="A47" i="26" s="1"/>
  <c r="M37" i="26"/>
  <c r="M32" i="26"/>
  <c r="M1222" i="1"/>
  <c r="M2345" i="1"/>
  <c r="R2345" i="1" s="1"/>
  <c r="O920" i="246"/>
  <c r="R920" i="246" s="1"/>
  <c r="M921" i="1"/>
  <c r="R921" i="1" s="1"/>
  <c r="O2315" i="246"/>
  <c r="R2315" i="246" s="1"/>
  <c r="O428" i="246"/>
  <c r="L38" i="26"/>
  <c r="M2455" i="1"/>
  <c r="R2455" i="1" s="1"/>
  <c r="O1110" i="246"/>
  <c r="R1110" i="246" s="1"/>
  <c r="O2425" i="246"/>
  <c r="R2425" i="246" s="1"/>
  <c r="M1111" i="1"/>
  <c r="R1111" i="1" s="1"/>
  <c r="J248" i="5"/>
  <c r="L248" i="5" s="1"/>
  <c r="M428" i="1"/>
  <c r="O1507" i="246"/>
  <c r="R1507" i="246" s="1"/>
  <c r="M1536" i="1"/>
  <c r="R1536" i="1" s="1"/>
  <c r="O1516" i="246"/>
  <c r="M1545" i="1"/>
  <c r="M1573" i="1"/>
  <c r="M1582" i="1"/>
  <c r="S1582" i="1" s="1"/>
  <c r="M1577" i="1" s="1"/>
  <c r="O1604" i="1"/>
  <c r="O884" i="1"/>
  <c r="M893" i="1"/>
  <c r="O892" i="246"/>
  <c r="R892" i="246" s="1"/>
  <c r="J164" i="5"/>
  <c r="L164" i="5" s="1"/>
  <c r="O298" i="1" s="1"/>
  <c r="J91" i="5"/>
  <c r="L91" i="5" s="1"/>
  <c r="O1077" i="246" s="1"/>
  <c r="J333" i="5"/>
  <c r="L333" i="5" s="1"/>
  <c r="G16" i="229" s="1"/>
  <c r="J349" i="5"/>
  <c r="O988" i="246"/>
  <c r="R988" i="246" s="1"/>
  <c r="O989" i="246"/>
  <c r="R989" i="246" s="1"/>
  <c r="O990" i="246"/>
  <c r="R990" i="246" s="1"/>
  <c r="O1519" i="1"/>
  <c r="M1327" i="246"/>
  <c r="M1349" i="1"/>
  <c r="M1328" i="246"/>
  <c r="M1350" i="1"/>
  <c r="H1320" i="246"/>
  <c r="H1342" i="1"/>
  <c r="J1320" i="246"/>
  <c r="J1342" i="1"/>
  <c r="K1320" i="246"/>
  <c r="K1342" i="1"/>
  <c r="K1328" i="246"/>
  <c r="K1350" i="1"/>
  <c r="H1327" i="246"/>
  <c r="H1349" i="1"/>
  <c r="H1328" i="246"/>
  <c r="H1350" i="1"/>
  <c r="J1327" i="246"/>
  <c r="J1349" i="1"/>
  <c r="J1328" i="246"/>
  <c r="J1350" i="1"/>
  <c r="K1327" i="246"/>
  <c r="K1349" i="1"/>
  <c r="M2294" i="1"/>
  <c r="M2264" i="246"/>
  <c r="M2423" i="1"/>
  <c r="O2380" i="246"/>
  <c r="R2380" i="246" s="1"/>
  <c r="M2409" i="1"/>
  <c r="M1901" i="1"/>
  <c r="O1871" i="246"/>
  <c r="R1871" i="246" s="1"/>
  <c r="O1863" i="246"/>
  <c r="R1863" i="246" s="1"/>
  <c r="M1893" i="1"/>
  <c r="M573" i="1"/>
  <c r="O573" i="246"/>
  <c r="R573" i="246" s="1"/>
  <c r="O1864" i="246"/>
  <c r="R1864" i="246" s="1"/>
  <c r="M1894" i="1"/>
  <c r="O1836" i="246"/>
  <c r="R1836" i="246" s="1"/>
  <c r="M1866" i="1"/>
  <c r="O562" i="246"/>
  <c r="M562" i="1"/>
  <c r="C274" i="1"/>
  <c r="C320" i="1" s="1"/>
  <c r="O2334" i="246"/>
  <c r="R2334" i="246" s="1"/>
  <c r="O2338" i="246"/>
  <c r="R2338" i="246" s="1"/>
  <c r="O2424" i="246"/>
  <c r="R2424" i="246" s="1"/>
  <c r="O1107" i="246"/>
  <c r="R1107" i="246" s="1"/>
  <c r="O1108" i="246"/>
  <c r="R1108" i="246" s="1"/>
  <c r="O2419" i="246"/>
  <c r="O2396" i="246"/>
  <c r="R2396" i="246" s="1"/>
  <c r="O916" i="246"/>
  <c r="R916" i="246" s="1"/>
  <c r="O2311" i="246"/>
  <c r="R2311" i="246" s="1"/>
  <c r="O2422" i="246"/>
  <c r="R2422" i="246" s="1"/>
  <c r="O1109" i="246"/>
  <c r="R1109" i="246" s="1"/>
  <c r="O2388" i="246"/>
  <c r="R2388" i="246" s="1"/>
  <c r="O918" i="246"/>
  <c r="R918" i="246" s="1"/>
  <c r="O2313" i="246"/>
  <c r="R2313" i="246" s="1"/>
  <c r="O919" i="246"/>
  <c r="R919" i="246" s="1"/>
  <c r="O2314" i="246"/>
  <c r="R2314" i="246" s="1"/>
  <c r="O2326" i="246"/>
  <c r="R2326" i="246" s="1"/>
  <c r="O2339" i="246"/>
  <c r="R2339" i="246" s="1"/>
  <c r="O1106" i="246"/>
  <c r="O2423" i="246"/>
  <c r="R2423" i="246" s="1"/>
  <c r="O2393" i="246"/>
  <c r="R2393" i="246" s="1"/>
  <c r="O2378" i="246"/>
  <c r="R2378" i="246" s="1"/>
  <c r="M2408" i="1"/>
  <c r="O2395" i="246"/>
  <c r="R2395" i="246" s="1"/>
  <c r="O917" i="246"/>
  <c r="R917" i="246" s="1"/>
  <c r="O2312" i="246"/>
  <c r="R2312" i="246" s="1"/>
  <c r="O2387" i="246"/>
  <c r="R2387" i="246" s="1"/>
  <c r="O1085" i="246"/>
  <c r="O2332" i="246"/>
  <c r="R2332" i="246" s="1"/>
  <c r="O2399" i="246"/>
  <c r="R2399" i="246" s="1"/>
  <c r="O1014" i="246"/>
  <c r="O2333" i="246"/>
  <c r="R2333" i="246" s="1"/>
  <c r="M2407" i="1"/>
  <c r="O2377" i="246"/>
  <c r="R2377" i="246" s="1"/>
  <c r="O2389" i="246"/>
  <c r="R2389" i="246" s="1"/>
  <c r="I15" i="89"/>
  <c r="O987" i="246"/>
  <c r="R987" i="246" s="1"/>
  <c r="O2310" i="246"/>
  <c r="O915" i="246"/>
  <c r="K246" i="89"/>
  <c r="K14" i="89" s="1"/>
  <c r="K390" i="89"/>
  <c r="K285" i="89"/>
  <c r="K212" i="89"/>
  <c r="G19" i="240"/>
  <c r="H6" i="240"/>
  <c r="Q2" i="5"/>
  <c r="O3153" i="1"/>
  <c r="O2493" i="1"/>
  <c r="O2577" i="1"/>
  <c r="O2907" i="1"/>
  <c r="O3237" i="1"/>
  <c r="O2823" i="1"/>
  <c r="I39" i="4"/>
  <c r="M989" i="1"/>
  <c r="M988" i="1"/>
  <c r="M991" i="1"/>
  <c r="M990" i="1"/>
  <c r="L20" i="26"/>
  <c r="L22" i="26"/>
  <c r="J356" i="5"/>
  <c r="J355" i="5"/>
  <c r="J14" i="5"/>
  <c r="L14" i="5" s="1"/>
  <c r="J15" i="5"/>
  <c r="L15" i="5" s="1"/>
  <c r="L15" i="26"/>
  <c r="L24" i="26"/>
  <c r="L21" i="26"/>
  <c r="L29" i="26"/>
  <c r="L65" i="26"/>
  <c r="M2419" i="1"/>
  <c r="L17" i="26"/>
  <c r="L59" i="26"/>
  <c r="A59" i="26" s="1"/>
  <c r="L63" i="26"/>
  <c r="M78" i="26"/>
  <c r="A78" i="26" s="1"/>
  <c r="M84" i="26"/>
  <c r="A84" i="26" s="1"/>
  <c r="L31" i="26"/>
  <c r="M62" i="26"/>
  <c r="A62" i="26" s="1"/>
  <c r="L48" i="26"/>
  <c r="L75" i="26"/>
  <c r="A75" i="26" s="1"/>
  <c r="M91" i="26"/>
  <c r="A91" i="26" s="1"/>
  <c r="M85" i="26"/>
  <c r="A85" i="26" s="1"/>
  <c r="L69" i="26"/>
  <c r="A69" i="26" s="1"/>
  <c r="J188" i="5"/>
  <c r="M79" i="26"/>
  <c r="A79" i="26" s="1"/>
  <c r="M81" i="26"/>
  <c r="A81" i="26" s="1"/>
  <c r="L61" i="26"/>
  <c r="M82" i="26"/>
  <c r="A82" i="26" s="1"/>
  <c r="L87" i="26"/>
  <c r="A87" i="26" s="1"/>
  <c r="M88" i="26"/>
  <c r="A88" i="26" s="1"/>
  <c r="M53" i="26"/>
  <c r="A53" i="26" s="1"/>
  <c r="L50" i="26"/>
  <c r="M73" i="26"/>
  <c r="A73" i="26" s="1"/>
  <c r="L72" i="26"/>
  <c r="A72" i="26" s="1"/>
  <c r="L26" i="26"/>
  <c r="L33" i="26"/>
  <c r="M70" i="26"/>
  <c r="A70" i="26" s="1"/>
  <c r="L90" i="26"/>
  <c r="A90" i="26" s="1"/>
  <c r="H6" i="230"/>
  <c r="H6" i="229"/>
  <c r="J113" i="5"/>
  <c r="L113" i="5" s="1"/>
  <c r="J149" i="5"/>
  <c r="L149" i="5" s="1"/>
  <c r="O1138" i="246" s="1"/>
  <c r="R1138" i="246" s="1"/>
  <c r="M1138" i="1"/>
  <c r="R1138" i="1" s="1"/>
  <c r="J199" i="5"/>
  <c r="E130" i="231"/>
  <c r="M30" i="26"/>
  <c r="M22" i="26"/>
  <c r="M46" i="26"/>
  <c r="M56" i="26"/>
  <c r="A56" i="26" s="1"/>
  <c r="J191" i="5"/>
  <c r="M1144" i="1"/>
  <c r="M1080" i="1"/>
  <c r="M25" i="26"/>
  <c r="M27" i="26"/>
  <c r="A27" i="26" s="1"/>
  <c r="J13" i="89"/>
  <c r="I13" i="89"/>
  <c r="J190" i="5"/>
  <c r="H6" i="206"/>
  <c r="L19" i="26"/>
  <c r="M34" i="26"/>
  <c r="M28" i="26"/>
  <c r="J198" i="5"/>
  <c r="L198" i="5" s="1"/>
  <c r="M31" i="26"/>
  <c r="L23" i="26"/>
  <c r="J49" i="5"/>
  <c r="L49" i="5" s="1"/>
  <c r="J206" i="5"/>
  <c r="J152" i="5"/>
  <c r="L152" i="5" s="1"/>
  <c r="O1141" i="246" s="1"/>
  <c r="R1141" i="246" s="1"/>
  <c r="J122" i="5"/>
  <c r="L122" i="5" s="1"/>
  <c r="O2392" i="246" s="1"/>
  <c r="R2392" i="246" s="1"/>
  <c r="J183" i="5"/>
  <c r="L183" i="5" s="1"/>
  <c r="L18" i="26"/>
  <c r="A18" i="26" s="1"/>
  <c r="M15" i="26"/>
  <c r="C1843" i="1"/>
  <c r="I16" i="89"/>
  <c r="J16" i="89"/>
  <c r="O1661" i="1"/>
  <c r="O1629" i="1"/>
  <c r="M1110" i="1"/>
  <c r="M1107" i="1"/>
  <c r="M1108" i="1"/>
  <c r="M1109" i="1"/>
  <c r="K1" i="192"/>
  <c r="K1" i="190"/>
  <c r="O1044" i="1"/>
  <c r="O2000" i="1"/>
  <c r="O1810" i="1"/>
  <c r="O2156" i="1"/>
  <c r="O1070" i="1"/>
  <c r="O2078" i="1"/>
  <c r="O1838" i="1"/>
  <c r="O1011" i="1"/>
  <c r="O1885" i="1"/>
  <c r="O1752" i="1"/>
  <c r="O2132" i="1"/>
  <c r="O1861" i="1"/>
  <c r="M1086" i="1"/>
  <c r="L128" i="5"/>
  <c r="L131" i="5"/>
  <c r="O2400" i="246" s="1"/>
  <c r="R2400" i="246" s="1"/>
  <c r="L17" i="5"/>
  <c r="L71" i="5"/>
  <c r="O2340" i="246" s="1"/>
  <c r="R2340" i="246" s="1"/>
  <c r="L391" i="5"/>
  <c r="L153" i="5"/>
  <c r="O1142" i="246" s="1"/>
  <c r="R1142" i="246" s="1"/>
  <c r="L64" i="5"/>
  <c r="O2336" i="246" s="1"/>
  <c r="R2336" i="246" s="1"/>
  <c r="L105" i="5"/>
  <c r="O2381" i="246" s="1"/>
  <c r="R2381" i="246" s="1"/>
  <c r="L124" i="5"/>
  <c r="O2394" i="246" s="1"/>
  <c r="R2394" i="246" s="1"/>
  <c r="L156" i="5"/>
  <c r="L106" i="5"/>
  <c r="O2382" i="246" s="1"/>
  <c r="R2382" i="246" s="1"/>
  <c r="L48" i="5"/>
  <c r="O2329" i="246" s="1"/>
  <c r="R2329" i="246" s="1"/>
  <c r="L390" i="5"/>
  <c r="L41" i="5"/>
  <c r="O2325" i="246" s="1"/>
  <c r="R2325" i="246" s="1"/>
  <c r="L129" i="5"/>
  <c r="O2398" i="246" s="1"/>
  <c r="R2398" i="246" s="1"/>
  <c r="L73" i="5"/>
  <c r="O2342" i="246" s="1"/>
  <c r="R2342" i="246" s="1"/>
  <c r="L50" i="5"/>
  <c r="O2331" i="246" s="1"/>
  <c r="R2331" i="246" s="1"/>
  <c r="L392" i="5"/>
  <c r="L62" i="5"/>
  <c r="O1015" i="246" s="1"/>
  <c r="R1015" i="246" s="1"/>
  <c r="H10" i="187"/>
  <c r="H52" i="187"/>
  <c r="H35" i="187"/>
  <c r="H83" i="187"/>
  <c r="H69" i="187"/>
  <c r="H10" i="178"/>
  <c r="H61" i="167"/>
  <c r="H44" i="167"/>
  <c r="H6" i="168"/>
  <c r="H10" i="167"/>
  <c r="H28" i="178"/>
  <c r="H6" i="169"/>
  <c r="H81" i="167"/>
  <c r="H27" i="167"/>
  <c r="M41" i="26"/>
  <c r="A41" i="26" s="1"/>
  <c r="M45" i="26"/>
  <c r="A45" i="26" s="1"/>
  <c r="M42" i="26"/>
  <c r="A42" i="26" s="1"/>
  <c r="M48" i="26"/>
  <c r="L46" i="26"/>
  <c r="M49" i="26"/>
  <c r="A49" i="26" s="1"/>
  <c r="M65" i="26"/>
  <c r="L37" i="26"/>
  <c r="A37" i="26" s="1"/>
  <c r="M54" i="26"/>
  <c r="A54" i="26" s="1"/>
  <c r="M60" i="26"/>
  <c r="A60" i="26" s="1"/>
  <c r="L39" i="26"/>
  <c r="A39" i="26" s="1"/>
  <c r="L68" i="26"/>
  <c r="A68" i="26" s="1"/>
  <c r="M57" i="26"/>
  <c r="A57" i="26" s="1"/>
  <c r="M61" i="26"/>
  <c r="M52" i="26"/>
  <c r="A52" i="26" s="1"/>
  <c r="M63" i="26"/>
  <c r="M51" i="26"/>
  <c r="M38" i="26"/>
  <c r="M58" i="26"/>
  <c r="A58" i="26" s="1"/>
  <c r="M55" i="26"/>
  <c r="A55" i="26" s="1"/>
  <c r="L35" i="26"/>
  <c r="A35" i="26" s="1"/>
  <c r="L40" i="26"/>
  <c r="A40" i="26" s="1"/>
  <c r="M43" i="26"/>
  <c r="A43" i="26" s="1"/>
  <c r="M64" i="26"/>
  <c r="A64" i="26" s="1"/>
  <c r="M67" i="26"/>
  <c r="A67" i="26" s="1"/>
  <c r="J383" i="5"/>
  <c r="J364" i="5"/>
  <c r="J11" i="5"/>
  <c r="L11" i="5" s="1"/>
  <c r="J210" i="5"/>
  <c r="J277" i="5"/>
  <c r="L277" i="5" s="1"/>
  <c r="M29" i="26"/>
  <c r="M23" i="26"/>
  <c r="M26" i="26"/>
  <c r="M24" i="26"/>
  <c r="A16" i="149"/>
  <c r="A15" i="149"/>
  <c r="L25" i="26"/>
  <c r="L28" i="26"/>
  <c r="M33" i="26"/>
  <c r="L32" i="26"/>
  <c r="L34" i="26"/>
  <c r="L30" i="26"/>
  <c r="A20" i="149"/>
  <c r="A19" i="149"/>
  <c r="A17" i="149"/>
  <c r="J232" i="5"/>
  <c r="L232" i="5" s="1"/>
  <c r="O1220" i="246" s="1"/>
  <c r="M2377" i="1"/>
  <c r="M2381" i="1"/>
  <c r="M21" i="26"/>
  <c r="M20" i="26"/>
  <c r="L16" i="26"/>
  <c r="M17" i="26"/>
  <c r="M19" i="26"/>
  <c r="K1" i="136"/>
  <c r="K15" i="89"/>
  <c r="M2434" i="1"/>
  <c r="M2354" i="1"/>
  <c r="M2371" i="1"/>
  <c r="M2420" i="1"/>
  <c r="M2432" i="1"/>
  <c r="M2363" i="1"/>
  <c r="M2378" i="1"/>
  <c r="M2379" i="1"/>
  <c r="M2429" i="1"/>
  <c r="M2431" i="1"/>
  <c r="M2376" i="1"/>
  <c r="M2375" i="1"/>
  <c r="M238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6" i="26"/>
  <c r="J169" i="5"/>
  <c r="L169"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33" i="4"/>
  <c r="O2399" i="1"/>
  <c r="O1130" i="1"/>
  <c r="O1778" i="1"/>
  <c r="O2315" i="1"/>
  <c r="J216" i="4"/>
  <c r="J223" i="4"/>
  <c r="C1847" i="1"/>
  <c r="H6" i="124"/>
  <c r="O1961" i="1"/>
  <c r="O419" i="1"/>
  <c r="N1" i="5"/>
  <c r="O2105" i="1"/>
  <c r="O1921" i="1"/>
  <c r="O1693" i="1"/>
  <c r="O547" i="1"/>
  <c r="F110" i="4"/>
  <c r="O472" i="1"/>
  <c r="M2454" i="1"/>
  <c r="M2329" i="1"/>
  <c r="M2425" i="1"/>
  <c r="M2328" i="1"/>
  <c r="M1088" i="1"/>
  <c r="M2356" i="1"/>
  <c r="M2358" i="1"/>
  <c r="M2452" i="1"/>
  <c r="M2326" i="1"/>
  <c r="M2418" i="1"/>
  <c r="M2327" i="1"/>
  <c r="A93" i="26"/>
  <c r="M2344" i="1"/>
  <c r="M920" i="1"/>
  <c r="M2330" i="1"/>
  <c r="M918" i="1"/>
  <c r="M2342" i="1"/>
  <c r="M2449" i="1"/>
  <c r="E216" i="4"/>
  <c r="O2217" i="246" l="1"/>
  <c r="M2246" i="1"/>
  <c r="R1533" i="246"/>
  <c r="U1548" i="246"/>
  <c r="A51" i="26"/>
  <c r="M2192" i="1"/>
  <c r="O2163" i="246"/>
  <c r="R2163" i="246" s="1"/>
  <c r="O2161" i="246"/>
  <c r="R2161" i="246" s="1"/>
  <c r="M2190" i="1"/>
  <c r="O2162" i="246"/>
  <c r="R2162" i="246" s="1"/>
  <c r="M2191" i="1"/>
  <c r="R1419" i="246"/>
  <c r="R1448" i="1"/>
  <c r="S1404" i="246"/>
  <c r="R1404" i="246"/>
  <c r="R1421" i="246"/>
  <c r="R1420" i="246"/>
  <c r="R1450" i="1"/>
  <c r="R1449" i="1"/>
  <c r="A32" i="26"/>
  <c r="A50" i="26"/>
  <c r="A38" i="26"/>
  <c r="O1393" i="246"/>
  <c r="M1422" i="1"/>
  <c r="R1376" i="246"/>
  <c r="R1412" i="246"/>
  <c r="R1377" i="246"/>
  <c r="R1409" i="246"/>
  <c r="R1369" i="246"/>
  <c r="R1388" i="246"/>
  <c r="R1371" i="246"/>
  <c r="R1385" i="246"/>
  <c r="R1422" i="246"/>
  <c r="R1391" i="246"/>
  <c r="R1384" i="246"/>
  <c r="R1381" i="246"/>
  <c r="R1372" i="246"/>
  <c r="R1408" i="246"/>
  <c r="R1386" i="246"/>
  <c r="R1383" i="246"/>
  <c r="R1413" i="246"/>
  <c r="R1374" i="246"/>
  <c r="R1410" i="246"/>
  <c r="R1370" i="246"/>
  <c r="R1389" i="246"/>
  <c r="R1390" i="246"/>
  <c r="R1416" i="246"/>
  <c r="R1387" i="246"/>
  <c r="R1417" i="246"/>
  <c r="R1378" i="246"/>
  <c r="R1414" i="246"/>
  <c r="R1375" i="246"/>
  <c r="R1411" i="246"/>
  <c r="R1382" i="246"/>
  <c r="R1373" i="246"/>
  <c r="R1423" i="246"/>
  <c r="R1418" i="246"/>
  <c r="R1415" i="246"/>
  <c r="R1452" i="1"/>
  <c r="R1419" i="1"/>
  <c r="R1439" i="1"/>
  <c r="R1416" i="1"/>
  <c r="R1407" i="1"/>
  <c r="R1441" i="1"/>
  <c r="R1404" i="1"/>
  <c r="R1438" i="1"/>
  <c r="R1400" i="1"/>
  <c r="R1402" i="1"/>
  <c r="R1420" i="1"/>
  <c r="R1413" i="1"/>
  <c r="R1445" i="1"/>
  <c r="R1410" i="1"/>
  <c r="R1442" i="1"/>
  <c r="R1444" i="1"/>
  <c r="R1415" i="1"/>
  <c r="R1447" i="1"/>
  <c r="R1411" i="1"/>
  <c r="R1406" i="1"/>
  <c r="R1440" i="1"/>
  <c r="R1398" i="1"/>
  <c r="R1417" i="1"/>
  <c r="R1451" i="1"/>
  <c r="R1414" i="1"/>
  <c r="R1446" i="1"/>
  <c r="R1401" i="1"/>
  <c r="R1405" i="1"/>
  <c r="R1443" i="1"/>
  <c r="R1412" i="1"/>
  <c r="R1403" i="1"/>
  <c r="R1437" i="1"/>
  <c r="R1399" i="1"/>
  <c r="R1418" i="1"/>
  <c r="S1433" i="1"/>
  <c r="R1433" i="1"/>
  <c r="S1426" i="1"/>
  <c r="M1423" i="1" s="1"/>
  <c r="R1423" i="1" s="1"/>
  <c r="R1426" i="1"/>
  <c r="R1392" i="246"/>
  <c r="S1392" i="246"/>
  <c r="R1397" i="246"/>
  <c r="S1397" i="246"/>
  <c r="O1394" i="246" s="1"/>
  <c r="R1394" i="246" s="1"/>
  <c r="S1421" i="1"/>
  <c r="R1421" i="1"/>
  <c r="S1207" i="1"/>
  <c r="R1207" i="1"/>
  <c r="R1220" i="246"/>
  <c r="S1220" i="246"/>
  <c r="O1217" i="246" s="1"/>
  <c r="R1217" i="246" s="1"/>
  <c r="R1214" i="246"/>
  <c r="S1214" i="246"/>
  <c r="S1206" i="246"/>
  <c r="R1206" i="246"/>
  <c r="S1222" i="1"/>
  <c r="R1215" i="1"/>
  <c r="S1215" i="1"/>
  <c r="M1221" i="1"/>
  <c r="R1103" i="246"/>
  <c r="O1103" i="246"/>
  <c r="S1103" i="246" s="1"/>
  <c r="O2307" i="246"/>
  <c r="O941" i="246"/>
  <c r="R941" i="246" s="1"/>
  <c r="R914" i="246" s="1"/>
  <c r="R1545" i="1"/>
  <c r="S1545" i="1"/>
  <c r="S1516" i="246"/>
  <c r="R1516" i="246"/>
  <c r="R1562" i="1"/>
  <c r="R1563" i="1" s="1"/>
  <c r="V1577" i="1"/>
  <c r="M1078" i="1"/>
  <c r="M1075" i="1" s="1"/>
  <c r="O2420" i="246"/>
  <c r="R2420" i="246" s="1"/>
  <c r="O893" i="246"/>
  <c r="R893" i="246" s="1"/>
  <c r="M894" i="1"/>
  <c r="O585" i="246"/>
  <c r="R585" i="246" s="1"/>
  <c r="O299" i="246"/>
  <c r="R1376" i="1"/>
  <c r="R1377" i="1" s="1"/>
  <c r="R1354" i="246"/>
  <c r="M1720" i="1"/>
  <c r="R1720" i="1" s="1"/>
  <c r="O1690" i="246"/>
  <c r="R1690" i="246" s="1"/>
  <c r="O2295" i="246"/>
  <c r="R2295" i="246" s="1"/>
  <c r="F1313" i="1"/>
  <c r="O1327" i="246"/>
  <c r="J1324" i="246"/>
  <c r="K1324" i="246"/>
  <c r="O1328" i="246"/>
  <c r="K1346" i="1"/>
  <c r="J1346" i="1"/>
  <c r="M1346" i="1"/>
  <c r="O1350" i="1"/>
  <c r="M1320" i="246"/>
  <c r="O1320" i="246" s="1"/>
  <c r="M1342" i="1"/>
  <c r="O1342" i="1" s="1"/>
  <c r="O1349" i="1"/>
  <c r="H1346" i="1"/>
  <c r="H1324" i="246"/>
  <c r="M1324" i="246"/>
  <c r="O1907" i="246"/>
  <c r="R1907" i="246" s="1"/>
  <c r="M1937" i="1"/>
  <c r="R1937" i="1" s="1"/>
  <c r="O2289" i="246"/>
  <c r="M2421" i="1"/>
  <c r="M1902" i="1"/>
  <c r="O574" i="246"/>
  <c r="M574" i="1"/>
  <c r="O1872" i="246"/>
  <c r="R1872" i="246" s="1"/>
  <c r="R562" i="246"/>
  <c r="O2335" i="246"/>
  <c r="R2335" i="246" s="1"/>
  <c r="O2397" i="246"/>
  <c r="R2397" i="246" s="1"/>
  <c r="R1106" i="246"/>
  <c r="R2419" i="246"/>
  <c r="O2391" i="246"/>
  <c r="R2391" i="246" s="1"/>
  <c r="O2330" i="246"/>
  <c r="R2330" i="246" s="1"/>
  <c r="R1014" i="246"/>
  <c r="O1028" i="246"/>
  <c r="R1085" i="246"/>
  <c r="R1077" i="246"/>
  <c r="O1074" i="246"/>
  <c r="R428" i="246"/>
  <c r="S428" i="246"/>
  <c r="R2310" i="246"/>
  <c r="O2386" i="246"/>
  <c r="O986" i="246"/>
  <c r="R915" i="246"/>
  <c r="I17" i="89"/>
  <c r="I394" i="89" s="1"/>
  <c r="K13" i="89"/>
  <c r="J17" i="89"/>
  <c r="J394" i="89" s="1"/>
  <c r="I40" i="4"/>
  <c r="G33" i="240"/>
  <c r="A17" i="26"/>
  <c r="A15" i="26"/>
  <c r="M987" i="1"/>
  <c r="A20" i="26"/>
  <c r="A33" i="26"/>
  <c r="A22" i="26"/>
  <c r="A24" i="26"/>
  <c r="A21" i="26"/>
  <c r="A29" i="26"/>
  <c r="A63" i="26"/>
  <c r="A31" i="26"/>
  <c r="A65" i="26"/>
  <c r="A26" i="26"/>
  <c r="A48" i="26"/>
  <c r="A61" i="26"/>
  <c r="M1139" i="1"/>
  <c r="R1139" i="1" s="1"/>
  <c r="F130" i="231"/>
  <c r="A30" i="26"/>
  <c r="A46" i="26"/>
  <c r="E337" i="4"/>
  <c r="A28" i="26"/>
  <c r="G20" i="168"/>
  <c r="A34" i="26"/>
  <c r="A25" i="26"/>
  <c r="A19" i="26"/>
  <c r="A23" i="26"/>
  <c r="K12" i="89"/>
  <c r="K16" i="89"/>
  <c r="M1142" i="1"/>
  <c r="M1143" i="1"/>
  <c r="M1016" i="1"/>
  <c r="M2370" i="1"/>
  <c r="M2325" i="1"/>
  <c r="M2374" i="1"/>
  <c r="M2373" i="1"/>
  <c r="A16" i="26"/>
  <c r="M919" i="1"/>
  <c r="M2453" i="1"/>
  <c r="M1104" i="1"/>
  <c r="S1104" i="1" s="1"/>
  <c r="M2450" i="1"/>
  <c r="M2362" i="1"/>
  <c r="M1089" i="1"/>
  <c r="M2343" i="1"/>
  <c r="M2416" i="1"/>
  <c r="M1017" i="1"/>
  <c r="M2417" i="1"/>
  <c r="M2433" i="1"/>
  <c r="M585" i="1"/>
  <c r="M2426" i="1"/>
  <c r="M2369" i="1"/>
  <c r="M2359" i="1"/>
  <c r="M2411" i="1"/>
  <c r="M2360" i="1"/>
  <c r="M2364" i="1"/>
  <c r="M1015" i="1"/>
  <c r="M2372" i="1"/>
  <c r="M2422" i="1"/>
  <c r="M2412" i="1"/>
  <c r="M2430" i="1"/>
  <c r="M2319" i="1"/>
  <c r="S2319" i="1" s="1"/>
  <c r="M2368" i="1"/>
  <c r="M2365" i="1"/>
  <c r="M2424" i="1"/>
  <c r="M2355" i="1"/>
  <c r="M2366" i="1"/>
  <c r="M2427" i="1"/>
  <c r="M2361" i="1"/>
  <c r="M2428" i="1"/>
  <c r="R1534" i="246" l="1"/>
  <c r="R1555" i="246"/>
  <c r="R1547" i="246"/>
  <c r="R1536" i="246"/>
  <c r="R1548" i="246"/>
  <c r="R1537" i="246"/>
  <c r="R1538" i="246"/>
  <c r="R1541" i="246"/>
  <c r="R1549" i="246"/>
  <c r="R1542" i="246"/>
  <c r="R1557" i="246"/>
  <c r="R1550" i="246"/>
  <c r="R1556" i="246"/>
  <c r="R1551" i="246"/>
  <c r="R1552" i="246"/>
  <c r="R1544" i="246"/>
  <c r="R1553" i="246"/>
  <c r="R1539" i="246"/>
  <c r="R1546" i="246"/>
  <c r="R1535" i="246"/>
  <c r="R2217" i="246"/>
  <c r="R2216" i="246"/>
  <c r="R2199" i="246"/>
  <c r="R1348" i="246"/>
  <c r="R1355" i="246"/>
  <c r="R1429" i="1"/>
  <c r="R1424" i="1"/>
  <c r="R1425" i="1"/>
  <c r="R1428" i="1"/>
  <c r="R1422" i="1"/>
  <c r="S1422" i="1"/>
  <c r="R1400" i="246"/>
  <c r="R1396" i="246"/>
  <c r="R1395" i="246"/>
  <c r="R1399" i="246"/>
  <c r="R1393" i="246"/>
  <c r="S1393" i="246"/>
  <c r="R1223" i="246"/>
  <c r="R1218" i="246"/>
  <c r="R1222" i="246"/>
  <c r="R1219" i="246"/>
  <c r="S1221" i="1"/>
  <c r="M1218" i="1" s="1"/>
  <c r="R1568" i="1"/>
  <c r="R1581" i="1"/>
  <c r="R1571" i="1"/>
  <c r="R1575" i="1"/>
  <c r="R1577" i="1"/>
  <c r="R1585" i="1"/>
  <c r="R1564" i="1"/>
  <c r="R1582" i="1"/>
  <c r="R1576" i="1"/>
  <c r="R1573" i="1"/>
  <c r="R1567" i="1"/>
  <c r="R1579" i="1"/>
  <c r="R1565" i="1"/>
  <c r="R1578" i="1"/>
  <c r="R1584" i="1"/>
  <c r="R1586" i="1"/>
  <c r="R1566" i="1"/>
  <c r="R1580" i="1"/>
  <c r="R1570" i="1"/>
  <c r="R945" i="246"/>
  <c r="R909" i="246"/>
  <c r="R904" i="246"/>
  <c r="R905" i="246"/>
  <c r="R912" i="246"/>
  <c r="R908" i="246"/>
  <c r="R903" i="246"/>
  <c r="R947" i="246"/>
  <c r="R911" i="246"/>
  <c r="R907" i="246"/>
  <c r="R946" i="246"/>
  <c r="R910" i="246"/>
  <c r="R906" i="246"/>
  <c r="R1365" i="246"/>
  <c r="R1350" i="246"/>
  <c r="R1346" i="246"/>
  <c r="R1366" i="246"/>
  <c r="R1351" i="246"/>
  <c r="R1347" i="246"/>
  <c r="R1368" i="246"/>
  <c r="R1353" i="246"/>
  <c r="R1349" i="246"/>
  <c r="R1367" i="246"/>
  <c r="R1352" i="246"/>
  <c r="R1360" i="246"/>
  <c r="R1363" i="246"/>
  <c r="R1362" i="246"/>
  <c r="R1364" i="246"/>
  <c r="R1358" i="246"/>
  <c r="R1356" i="246"/>
  <c r="R1359" i="246"/>
  <c r="R1361" i="246"/>
  <c r="R1357" i="246"/>
  <c r="R1397" i="1"/>
  <c r="R1371" i="1"/>
  <c r="R1387" i="1"/>
  <c r="R1373" i="1"/>
  <c r="R1395" i="1"/>
  <c r="R1379" i="1"/>
  <c r="R1392" i="1"/>
  <c r="R1388" i="1"/>
  <c r="R1378" i="1"/>
  <c r="R1374" i="1"/>
  <c r="R1385" i="1"/>
  <c r="R1383" i="1"/>
  <c r="R1369" i="1"/>
  <c r="R1390" i="1"/>
  <c r="R1370" i="1"/>
  <c r="R1391" i="1"/>
  <c r="R1375" i="1"/>
  <c r="R1382" i="1"/>
  <c r="R1386" i="1"/>
  <c r="R1396" i="1"/>
  <c r="R1389" i="1"/>
  <c r="R1372" i="1"/>
  <c r="R1368" i="1"/>
  <c r="R1393" i="1"/>
  <c r="R1384" i="1"/>
  <c r="R1381" i="1"/>
  <c r="R1394" i="1"/>
  <c r="R1380" i="1"/>
  <c r="O1324" i="246"/>
  <c r="O1346" i="1"/>
  <c r="R1028" i="246"/>
  <c r="U1028" i="246"/>
  <c r="R574" i="246"/>
  <c r="R1074" i="246"/>
  <c r="S1074" i="246"/>
  <c r="R2289" i="246"/>
  <c r="S2289" i="246"/>
  <c r="R1111" i="246"/>
  <c r="R1105" i="246"/>
  <c r="R1104" i="246"/>
  <c r="L110" i="5"/>
  <c r="L265" i="5"/>
  <c r="I41" i="4"/>
  <c r="U428" i="246"/>
  <c r="R986" i="246"/>
  <c r="O993" i="246"/>
  <c r="U993" i="246" s="1"/>
  <c r="R2386" i="246"/>
  <c r="R939" i="246"/>
  <c r="R944" i="246"/>
  <c r="R942" i="246"/>
  <c r="R940" i="246"/>
  <c r="R913" i="246"/>
  <c r="R943" i="246"/>
  <c r="S2307" i="246"/>
  <c r="R2307" i="246"/>
  <c r="R429" i="246"/>
  <c r="L257" i="5"/>
  <c r="K17" i="89"/>
  <c r="K394" i="89" s="1"/>
  <c r="G130" i="231"/>
  <c r="J145" i="5"/>
  <c r="L145" i="5" s="1"/>
  <c r="O1134" i="246" s="1"/>
  <c r="R1134" i="246" s="1"/>
  <c r="S1075" i="1"/>
  <c r="J67" i="26"/>
  <c r="J33" i="26"/>
  <c r="M994" i="1"/>
  <c r="V994" i="1" s="1"/>
  <c r="M916" i="1"/>
  <c r="D2" i="5"/>
  <c r="M1029" i="1"/>
  <c r="V1029" i="1" s="1"/>
  <c r="R2219" i="246" l="1"/>
  <c r="R2218" i="246"/>
  <c r="R2210" i="246"/>
  <c r="R2232" i="246"/>
  <c r="R2220" i="246"/>
  <c r="R2234" i="246"/>
  <c r="R2233" i="246"/>
  <c r="R2201" i="246"/>
  <c r="R2207" i="246"/>
  <c r="R2202" i="246"/>
  <c r="R2209" i="246"/>
  <c r="R2204" i="246"/>
  <c r="R2200" i="246"/>
  <c r="R2203" i="246"/>
  <c r="R2235" i="246"/>
  <c r="R2206" i="246"/>
  <c r="R2208" i="246"/>
  <c r="R2205" i="246"/>
  <c r="R1005" i="246"/>
  <c r="R1013" i="246"/>
  <c r="J1331" i="246"/>
  <c r="J1353" i="1"/>
  <c r="H1331" i="246"/>
  <c r="H1353" i="1"/>
  <c r="L273" i="5"/>
  <c r="L46" i="5"/>
  <c r="M1050" i="1" s="1"/>
  <c r="M1051" i="1"/>
  <c r="O1050" i="246"/>
  <c r="R1050" i="246" s="1"/>
  <c r="R1008" i="246"/>
  <c r="R1030" i="246"/>
  <c r="R1012" i="246"/>
  <c r="R1004" i="246"/>
  <c r="R1034" i="246"/>
  <c r="R1033" i="246"/>
  <c r="R1003" i="246"/>
  <c r="R1009" i="246"/>
  <c r="R1029" i="246"/>
  <c r="R1006" i="246"/>
  <c r="R1010" i="246"/>
  <c r="R1007" i="246"/>
  <c r="R1031" i="246"/>
  <c r="R1032" i="246"/>
  <c r="R1002" i="246"/>
  <c r="R1011" i="246"/>
  <c r="R1027" i="246"/>
  <c r="R1026" i="246"/>
  <c r="I42" i="4"/>
  <c r="D306" i="1" s="1"/>
  <c r="R993" i="246"/>
  <c r="R992" i="246" s="1"/>
  <c r="R2290" i="246"/>
  <c r="R1081" i="246"/>
  <c r="R1075" i="246"/>
  <c r="R1076" i="246"/>
  <c r="R1080" i="246"/>
  <c r="R2319" i="246"/>
  <c r="R2309" i="246"/>
  <c r="R2308" i="246"/>
  <c r="R2316" i="246"/>
  <c r="L45" i="5"/>
  <c r="E131" i="231"/>
  <c r="J344" i="5"/>
  <c r="J399" i="5"/>
  <c r="M1135" i="1"/>
  <c r="J205" i="5"/>
  <c r="J401" i="5"/>
  <c r="L401" i="5" s="1"/>
  <c r="J68" i="26"/>
  <c r="J87" i="5" s="1"/>
  <c r="L87" i="5" s="1"/>
  <c r="M917" i="1"/>
  <c r="M942" i="1" s="1"/>
  <c r="M2341" i="1"/>
  <c r="D93" i="246" l="1"/>
  <c r="D93" i="1"/>
  <c r="M438" i="1"/>
  <c r="O438" i="246"/>
  <c r="D261" i="246"/>
  <c r="D277" i="246"/>
  <c r="D276" i="1"/>
  <c r="D307" i="246"/>
  <c r="D262" i="1"/>
  <c r="D263" i="1"/>
  <c r="D262" i="246"/>
  <c r="C984" i="246"/>
  <c r="D73" i="1"/>
  <c r="D73" i="246"/>
  <c r="C985" i="1"/>
  <c r="D337" i="1"/>
  <c r="D337" i="246"/>
  <c r="D166" i="246"/>
  <c r="D166" i="1"/>
  <c r="K1331" i="246"/>
  <c r="K1353" i="1"/>
  <c r="O1049" i="246"/>
  <c r="R1049" i="246" s="1"/>
  <c r="C1649" i="246"/>
  <c r="D339" i="1"/>
  <c r="D3253" i="1"/>
  <c r="C1678" i="1"/>
  <c r="M1049" i="1"/>
  <c r="O1048" i="246"/>
  <c r="R1048" i="246" s="1"/>
  <c r="D3088" i="1"/>
  <c r="D3418" i="1"/>
  <c r="D339" i="246"/>
  <c r="D2593" i="1"/>
  <c r="D2563" i="246"/>
  <c r="D2923" i="1"/>
  <c r="D2758" i="1"/>
  <c r="D2893" i="246"/>
  <c r="D2728" i="246"/>
  <c r="D122" i="1"/>
  <c r="D122" i="246"/>
  <c r="D2416" i="1"/>
  <c r="D258" i="1"/>
  <c r="D257" i="246"/>
  <c r="D2386" i="246"/>
  <c r="R996" i="246"/>
  <c r="R991" i="246"/>
  <c r="R994" i="246"/>
  <c r="R995" i="246" s="1"/>
  <c r="O1086" i="246"/>
  <c r="O2421" i="246"/>
  <c r="O2416" i="246" s="1"/>
  <c r="R2320" i="246"/>
  <c r="R2317" i="246"/>
  <c r="F131" i="231"/>
  <c r="M1087" i="1"/>
  <c r="M1083" i="1" s="1"/>
  <c r="M2451" i="1"/>
  <c r="M2446" i="1" s="1"/>
  <c r="V428" i="1"/>
  <c r="S428" i="1"/>
  <c r="D381" i="246" l="1"/>
  <c r="D398" i="246"/>
  <c r="D398" i="1"/>
  <c r="D381" i="1"/>
  <c r="D316" i="246"/>
  <c r="D364" i="246"/>
  <c r="D316" i="1"/>
  <c r="D364" i="1"/>
  <c r="R2421" i="246"/>
  <c r="R438" i="246"/>
  <c r="S438" i="246"/>
  <c r="R1086" i="246"/>
  <c r="O1082" i="246"/>
  <c r="R2318" i="246"/>
  <c r="G131" i="231"/>
  <c r="L44" i="5"/>
  <c r="L237" i="5"/>
  <c r="S2446" i="1"/>
  <c r="S438" i="1"/>
  <c r="O1224" i="246" l="1"/>
  <c r="S1224" i="246" s="1"/>
  <c r="M1225" i="1"/>
  <c r="S1225" i="1" s="1"/>
  <c r="O1047" i="246"/>
  <c r="M1048" i="1"/>
  <c r="R439" i="246"/>
  <c r="R2416" i="246"/>
  <c r="S2416" i="246"/>
  <c r="R1082" i="246"/>
  <c r="S1082" i="246"/>
  <c r="O1114" i="246" s="1"/>
  <c r="O2327" i="246"/>
  <c r="O430" i="246"/>
  <c r="E132" i="231"/>
  <c r="F132" i="231" s="1"/>
  <c r="G132" i="231" s="1"/>
  <c r="M2357" i="1"/>
  <c r="M2351" i="1" s="1"/>
  <c r="S1083" i="1"/>
  <c r="M1115" i="1" l="1"/>
  <c r="V438" i="1" s="1"/>
  <c r="R1114" i="246"/>
  <c r="R1073" i="246" s="1"/>
  <c r="U438" i="246"/>
  <c r="R2417" i="246"/>
  <c r="R2426" i="246"/>
  <c r="R1102" i="246"/>
  <c r="R1084" i="246"/>
  <c r="R1101" i="246"/>
  <c r="R1083" i="246"/>
  <c r="R430" i="246"/>
  <c r="S430" i="246"/>
  <c r="R2327" i="246"/>
  <c r="O2321" i="246"/>
  <c r="R1047" i="246"/>
  <c r="E133" i="231"/>
  <c r="F133" i="231" s="1"/>
  <c r="G133" i="231" s="1"/>
  <c r="S2351" i="1"/>
  <c r="R1071" i="246" l="1"/>
  <c r="R1072" i="246" s="1"/>
  <c r="R1116" i="246"/>
  <c r="R1070" i="246"/>
  <c r="R1118" i="246"/>
  <c r="R1064" i="246"/>
  <c r="R1065" i="246"/>
  <c r="R1066" i="246"/>
  <c r="R1119" i="246"/>
  <c r="R1068" i="246"/>
  <c r="R1067" i="246"/>
  <c r="R1112" i="246"/>
  <c r="R1063" i="246"/>
  <c r="R1117" i="246"/>
  <c r="R1120" i="246"/>
  <c r="R1113" i="246"/>
  <c r="R1062" i="246"/>
  <c r="R1061" i="246"/>
  <c r="R1115" i="246"/>
  <c r="R1069" i="246"/>
  <c r="R2427" i="246"/>
  <c r="R2418" i="246"/>
  <c r="R431" i="246"/>
  <c r="R2321" i="246"/>
  <c r="S2321" i="246"/>
  <c r="E134" i="231"/>
  <c r="F134" i="231" s="1"/>
  <c r="G134" i="231" s="1"/>
  <c r="R2428" i="246" l="1"/>
  <c r="R2429" i="246" s="1"/>
  <c r="R2430" i="246" s="1"/>
  <c r="R2352" i="246"/>
  <c r="R2322" i="246"/>
  <c r="E135" i="231"/>
  <c r="F135" i="231" s="1"/>
  <c r="G135" i="231" s="1"/>
  <c r="R2323"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E152" i="231" l="1"/>
  <c r="F152" i="231" s="1"/>
  <c r="G152" i="231" s="1"/>
  <c r="L281" i="5"/>
  <c r="L111" i="5"/>
  <c r="M1331" i="246" l="1"/>
  <c r="O1331" i="246" s="1"/>
  <c r="M1353" i="1"/>
  <c r="O1051" i="246"/>
  <c r="M1052" i="1"/>
  <c r="M1055" i="1" s="1"/>
  <c r="O2385" i="246"/>
  <c r="E153" i="231"/>
  <c r="F153" i="231" s="1"/>
  <c r="G153" i="231" s="1"/>
  <c r="M2415" i="1"/>
  <c r="O1353" i="1" l="1"/>
  <c r="J18" i="26"/>
  <c r="J17" i="26"/>
  <c r="V1055" i="1"/>
  <c r="R2385" i="246"/>
  <c r="R1051" i="246"/>
  <c r="O1054" i="246"/>
  <c r="E154" i="231"/>
  <c r="F154" i="231" s="1"/>
  <c r="G154" i="231" s="1"/>
  <c r="J225" i="5" l="1"/>
  <c r="L225" i="5" s="1"/>
  <c r="J16" i="5"/>
  <c r="L16" i="5" s="1"/>
  <c r="R1054" i="246"/>
  <c r="U1054" i="246"/>
  <c r="E155" i="231"/>
  <c r="F155" i="231" s="1"/>
  <c r="G155" i="231" s="1"/>
  <c r="R1045" i="246" l="1"/>
  <c r="R1046" i="246"/>
  <c r="M2046" i="1"/>
  <c r="O2017" i="246"/>
  <c r="R1040" i="246"/>
  <c r="R1037" i="246"/>
  <c r="R1036" i="246"/>
  <c r="R1044" i="246"/>
  <c r="R1060" i="246"/>
  <c r="R1035" i="246"/>
  <c r="R1056" i="246"/>
  <c r="R1058" i="246"/>
  <c r="R1038" i="246"/>
  <c r="R1041" i="246"/>
  <c r="R1052" i="246"/>
  <c r="R1057" i="246"/>
  <c r="R1055" i="246"/>
  <c r="R1042" i="246"/>
  <c r="R1053" i="246"/>
  <c r="R1059" i="246"/>
  <c r="R1039" i="246"/>
  <c r="R1043" i="246"/>
  <c r="E156" i="231"/>
  <c r="F156" i="231" s="1"/>
  <c r="G156" i="231" s="1"/>
  <c r="R2017" i="246" l="1"/>
  <c r="S2017" i="246"/>
  <c r="S2046" i="1"/>
  <c r="E157" i="231"/>
  <c r="F157" i="231" s="1"/>
  <c r="G157" i="231" s="1"/>
  <c r="J78" i="26"/>
  <c r="G484" i="26"/>
  <c r="E158" i="231" l="1"/>
  <c r="F158" i="231" s="1"/>
  <c r="G158" i="231" s="1"/>
  <c r="H484" i="26"/>
  <c r="C325" i="1" l="1"/>
  <c r="E159" i="231"/>
  <c r="F159" i="231" s="1"/>
  <c r="G159" i="231" s="1"/>
  <c r="C332" i="1" l="1"/>
  <c r="E160" i="231"/>
  <c r="F160" i="231" s="1"/>
  <c r="G160" i="231" s="1"/>
  <c r="C337" i="1" l="1"/>
  <c r="E161" i="231"/>
  <c r="F161" i="231" s="1"/>
  <c r="G161" i="231" s="1"/>
  <c r="C350" i="1" l="1"/>
  <c r="C368" i="1" s="1"/>
  <c r="E162" i="231"/>
  <c r="F162" i="231" s="1"/>
  <c r="G162" i="231" s="1"/>
  <c r="C385" i="1" l="1"/>
  <c r="C402" i="1" s="1"/>
  <c r="E163" i="231"/>
  <c r="F163" i="231" s="1"/>
  <c r="G163" i="231" s="1"/>
  <c r="E164" i="231" l="1"/>
  <c r="F164" i="231" s="1"/>
  <c r="G164" i="231" s="1"/>
  <c r="E165" i="231" l="1"/>
  <c r="F165" i="231" s="1"/>
  <c r="G165" i="231" s="1"/>
  <c r="E166" i="231" l="1"/>
  <c r="F166" i="231" s="1"/>
  <c r="G166" i="231" s="1"/>
  <c r="E167" i="231" l="1"/>
  <c r="F167" i="231" s="1"/>
  <c r="G167" i="231" s="1"/>
  <c r="M2340" i="1"/>
  <c r="M2337" i="1" s="1"/>
  <c r="J28" i="149"/>
  <c r="I166" i="136" s="1"/>
  <c r="F484" i="149"/>
  <c r="F486" i="149" s="1"/>
  <c r="F9" i="149" s="1"/>
  <c r="E168" i="231" l="1"/>
  <c r="F168" i="231" s="1"/>
  <c r="G168" i="231" s="1"/>
  <c r="I167" i="136"/>
  <c r="S2337" i="1"/>
  <c r="I168" i="136"/>
  <c r="G5" i="136"/>
  <c r="I5" i="136" s="1"/>
  <c r="F8" i="149"/>
  <c r="D8" i="149" s="1"/>
  <c r="O2437" i="246" l="1"/>
  <c r="M2467" i="1"/>
  <c r="N2" i="136"/>
  <c r="O2465" i="246"/>
  <c r="S2465" i="246" s="1"/>
  <c r="M2495" i="1"/>
  <c r="S2495" i="1" s="1"/>
  <c r="M2527" i="1" s="1"/>
  <c r="O2660" i="1"/>
  <c r="S2660" i="1" s="1"/>
  <c r="E169" i="231"/>
  <c r="F169" i="231" s="1"/>
  <c r="G169" i="231" s="1"/>
  <c r="G404" i="136"/>
  <c r="G2" i="136" s="1"/>
  <c r="O2611" i="246" l="1"/>
  <c r="D2611" i="246" s="1"/>
  <c r="O2591" i="246"/>
  <c r="D2591" i="246" s="1"/>
  <c r="O2549" i="246"/>
  <c r="D2549" i="246" s="1"/>
  <c r="O2606" i="246"/>
  <c r="O2533" i="246"/>
  <c r="D2533" i="246" s="1"/>
  <c r="O2497" i="246"/>
  <c r="O2483" i="246"/>
  <c r="D2483" i="246" s="1"/>
  <c r="O2678" i="1"/>
  <c r="D2678" i="1" s="1"/>
  <c r="O2728" i="1"/>
  <c r="D2728" i="1" s="1"/>
  <c r="O2786" i="1"/>
  <c r="D2786" i="1" s="1"/>
  <c r="O2744" i="1"/>
  <c r="D2744" i="1" s="1"/>
  <c r="O2692" i="1"/>
  <c r="O2801" i="1"/>
  <c r="O2806" i="1"/>
  <c r="D2806" i="1" s="1"/>
  <c r="M2563" i="1"/>
  <c r="M2636" i="1"/>
  <c r="M2579" i="1"/>
  <c r="Z2579" i="1" s="1"/>
  <c r="M2621" i="1"/>
  <c r="M2641" i="1"/>
  <c r="R2483" i="1" s="1"/>
  <c r="M2513" i="1"/>
  <c r="E170" i="231"/>
  <c r="F170" i="231" s="1"/>
  <c r="G170" i="231" s="1"/>
  <c r="R2545" i="1" l="1"/>
  <c r="R2591" i="1"/>
  <c r="R2499" i="1"/>
  <c r="R2529" i="1"/>
  <c r="R2632" i="1"/>
  <c r="R2617" i="1"/>
  <c r="R2523" i="1"/>
  <c r="R2648" i="1"/>
  <c r="R2453" i="246"/>
  <c r="Y2563" i="1"/>
  <c r="Z2563" i="1"/>
  <c r="Y2641" i="1"/>
  <c r="Z2641" i="1"/>
  <c r="Y2621" i="1"/>
  <c r="Z2621" i="1"/>
  <c r="U2549" i="246"/>
  <c r="Y2513" i="1"/>
  <c r="Z2513" i="1"/>
  <c r="R2586" i="1"/>
  <c r="V2744" i="1"/>
  <c r="Y2579" i="1"/>
  <c r="D2579" i="1" s="1"/>
  <c r="V2579" i="1"/>
  <c r="E171" i="231"/>
  <c r="F171" i="231" s="1"/>
  <c r="G171" i="231" s="1"/>
  <c r="R2515" i="246" l="1"/>
  <c r="R2561" i="246"/>
  <c r="R2710" i="1"/>
  <c r="R2756" i="1"/>
  <c r="D2563" i="1"/>
  <c r="D2513" i="1"/>
  <c r="D2621" i="1"/>
  <c r="D2641" i="1"/>
  <c r="R2602" i="246"/>
  <c r="R2797" i="1"/>
  <c r="R2587" i="246"/>
  <c r="R2493" i="246"/>
  <c r="R2782" i="1"/>
  <c r="R2688" i="1"/>
  <c r="R2583" i="246"/>
  <c r="R2535" i="246"/>
  <c r="R2536" i="246"/>
  <c r="R2537" i="1"/>
  <c r="R2566" i="1"/>
  <c r="R2731" i="1"/>
  <c r="R2730" i="1"/>
  <c r="R2591" i="246"/>
  <c r="R2478" i="246"/>
  <c r="R2565" i="246"/>
  <c r="R2589" i="246"/>
  <c r="R2576" i="246"/>
  <c r="R2458" i="246"/>
  <c r="R2551" i="246"/>
  <c r="R2611" i="246"/>
  <c r="R2504" i="246"/>
  <c r="R2499" i="246"/>
  <c r="R2530" i="246" s="1"/>
  <c r="R2568" i="246"/>
  <c r="R2461" i="246"/>
  <c r="R2517" i="246"/>
  <c r="R2566" i="246"/>
  <c r="R2457" i="246"/>
  <c r="R2513" i="246"/>
  <c r="R2549" i="246"/>
  <c r="R2490" i="246"/>
  <c r="R2506" i="246"/>
  <c r="R2503" i="246"/>
  <c r="R2598" i="246"/>
  <c r="R2462" i="246"/>
  <c r="R2586" i="246"/>
  <c r="R2534" i="246"/>
  <c r="R2578" i="246"/>
  <c r="R2464" i="246"/>
  <c r="R2590" i="246"/>
  <c r="R2557" i="246"/>
  <c r="R2532" i="246"/>
  <c r="R2552" i="246"/>
  <c r="R2553" i="246" s="1"/>
  <c r="R2554" i="246" s="1"/>
  <c r="R2460" i="246"/>
  <c r="R2538" i="246"/>
  <c r="R2562" i="246"/>
  <c r="R2507" i="246"/>
  <c r="R2539" i="246"/>
  <c r="R2455" i="246"/>
  <c r="R2544" i="246"/>
  <c r="R2502" i="246"/>
  <c r="R2469" i="246"/>
  <c r="R2480" i="246" s="1"/>
  <c r="R2463" i="246"/>
  <c r="R2476" i="246"/>
  <c r="R2509" i="246"/>
  <c r="R2615" i="246"/>
  <c r="R2526" i="246"/>
  <c r="R2593" i="246"/>
  <c r="R2594" i="246" s="1"/>
  <c r="R2595" i="246" s="1"/>
  <c r="R2529" i="246"/>
  <c r="R2572" i="246"/>
  <c r="R2510" i="246"/>
  <c r="R2573" i="246"/>
  <c r="R2523" i="246"/>
  <c r="R2479" i="246"/>
  <c r="R2560" i="246"/>
  <c r="R2531" i="246"/>
  <c r="R2475" i="246"/>
  <c r="R2488" i="246"/>
  <c r="R2459" i="246"/>
  <c r="R2596" i="246"/>
  <c r="R2518" i="246"/>
  <c r="R2492" i="246"/>
  <c r="R2569" i="246"/>
  <c r="R2564" i="246"/>
  <c r="R2559" i="246"/>
  <c r="R2540" i="246"/>
  <c r="R2505" i="246"/>
  <c r="R2522" i="246"/>
  <c r="R2465" i="246"/>
  <c r="R2466" i="246" s="1"/>
  <c r="R2567" i="246"/>
  <c r="R2571" i="246"/>
  <c r="R2556" i="246"/>
  <c r="R2612" i="246"/>
  <c r="R2474" i="246"/>
  <c r="R2473" i="246"/>
  <c r="R2485" i="246"/>
  <c r="R2494" i="246" s="1"/>
  <c r="R2495" i="246" s="1"/>
  <c r="R2496" i="246" s="1"/>
  <c r="R2563" i="246"/>
  <c r="R2524" i="246"/>
  <c r="R2454" i="246"/>
  <c r="R2613" i="246"/>
  <c r="R2467" i="246"/>
  <c r="R2468" i="246" s="1"/>
  <c r="R2582" i="246"/>
  <c r="R2541" i="246"/>
  <c r="R2520" i="246"/>
  <c r="R2516" i="246"/>
  <c r="R2514" i="246"/>
  <c r="R2550" i="246"/>
  <c r="R2527" i="246"/>
  <c r="R2599" i="246"/>
  <c r="R2508" i="246"/>
  <c r="R2528" i="246"/>
  <c r="R2525" i="246"/>
  <c r="R2555" i="246"/>
  <c r="R2545" i="246"/>
  <c r="R2601" i="246"/>
  <c r="R2617" i="246"/>
  <c r="R2456" i="246"/>
  <c r="R2614" i="246"/>
  <c r="R2616" i="246"/>
  <c r="R2575" i="246"/>
  <c r="R2472" i="246"/>
  <c r="R2511" i="246"/>
  <c r="R2581" i="246"/>
  <c r="R2592" i="246"/>
  <c r="R2537" i="246"/>
  <c r="R2600" i="246"/>
  <c r="R2548" i="246"/>
  <c r="R2521" i="246"/>
  <c r="R2512" i="246"/>
  <c r="R2609" i="246"/>
  <c r="R2558" i="246"/>
  <c r="R2489" i="246"/>
  <c r="R2542" i="246"/>
  <c r="R2580" i="246"/>
  <c r="R2610" i="246"/>
  <c r="R2584" i="246"/>
  <c r="R2585" i="246"/>
  <c r="R2546" i="246"/>
  <c r="R2577" i="246"/>
  <c r="R2543" i="246"/>
  <c r="R2519" i="246"/>
  <c r="R2608" i="246"/>
  <c r="R2570" i="246"/>
  <c r="R2547" i="246"/>
  <c r="R2477" i="246"/>
  <c r="R2579" i="246"/>
  <c r="R2533" i="246"/>
  <c r="R2574" i="246"/>
  <c r="R2597" i="246"/>
  <c r="R2491" i="246"/>
  <c r="R2664" i="1"/>
  <c r="R2796" i="1"/>
  <c r="R2699" i="1"/>
  <c r="R2794" i="1"/>
  <c r="R2706" i="1"/>
  <c r="R2778" i="1"/>
  <c r="R2769" i="1"/>
  <c r="R2667" i="1"/>
  <c r="R2670" i="1"/>
  <c r="R2763" i="1"/>
  <c r="R2722" i="1"/>
  <c r="R2774" i="1"/>
  <c r="R2723" i="1"/>
  <c r="R2716" i="1"/>
  <c r="R2712" i="1"/>
  <c r="R2724" i="1"/>
  <c r="R2761" i="1"/>
  <c r="R2772" i="1"/>
  <c r="R2762" i="1"/>
  <c r="R2764" i="1"/>
  <c r="R2686" i="1"/>
  <c r="R2754" i="1"/>
  <c r="R2744" i="1"/>
  <c r="R2735" i="1"/>
  <c r="R2728" i="1"/>
  <c r="R2742" i="1"/>
  <c r="R2726" i="1"/>
  <c r="R2729" i="1"/>
  <c r="R2812" i="1"/>
  <c r="R2685" i="1"/>
  <c r="R2775" i="1"/>
  <c r="R2669" i="1"/>
  <c r="R2700" i="1"/>
  <c r="R2721" i="1"/>
  <c r="R2766" i="1"/>
  <c r="R2719" i="1"/>
  <c r="R2752" i="1"/>
  <c r="R2668" i="1"/>
  <c r="R2717" i="1"/>
  <c r="R2753" i="1"/>
  <c r="R2654" i="1"/>
  <c r="R2808" i="1"/>
  <c r="R2739" i="1"/>
  <c r="R2745" i="1"/>
  <c r="R2806" i="1"/>
  <c r="R2737" i="1"/>
  <c r="R2701" i="1"/>
  <c r="R2771" i="1"/>
  <c r="R2788" i="1"/>
  <c r="R2671" i="1"/>
  <c r="R2757" i="1"/>
  <c r="R2780" i="1"/>
  <c r="R2781" i="1"/>
  <c r="R2705" i="1"/>
  <c r="R2662" i="1"/>
  <c r="R2663" i="1" s="1"/>
  <c r="R2659" i="1"/>
  <c r="R2649" i="1"/>
  <c r="R2656" i="1"/>
  <c r="R2650" i="1"/>
  <c r="R2736" i="1"/>
  <c r="R2746" i="1"/>
  <c r="R2807" i="1"/>
  <c r="R2741" i="1"/>
  <c r="R2674" i="1"/>
  <c r="R2697" i="1"/>
  <c r="R2713" i="1"/>
  <c r="R2683" i="1"/>
  <c r="R2768" i="1"/>
  <c r="R2714" i="1"/>
  <c r="R2673" i="1"/>
  <c r="R2793" i="1"/>
  <c r="R2760" i="1"/>
  <c r="R2755" i="1"/>
  <c r="R2767" i="1"/>
  <c r="R2672" i="1"/>
  <c r="R2708" i="1"/>
  <c r="R2704" i="1"/>
  <c r="R2758" i="1"/>
  <c r="R2694" i="1"/>
  <c r="R2747" i="1"/>
  <c r="R2750" i="1"/>
  <c r="R2715" i="1"/>
  <c r="R2791" i="1"/>
  <c r="R2680" i="1"/>
  <c r="R2652" i="1"/>
  <c r="R2732" i="1"/>
  <c r="R2653" i="1"/>
  <c r="R2740" i="1"/>
  <c r="R2786" i="1"/>
  <c r="R2657" i="1"/>
  <c r="R2655" i="1"/>
  <c r="R2809" i="1"/>
  <c r="R2804" i="1"/>
  <c r="R2810" i="1"/>
  <c r="R2733" i="1"/>
  <c r="R2787" i="1"/>
  <c r="R2784" i="1"/>
  <c r="R2703" i="1"/>
  <c r="R2795" i="1"/>
  <c r="R2684" i="1"/>
  <c r="R2765" i="1"/>
  <c r="R2773" i="1"/>
  <c r="R2770" i="1"/>
  <c r="R2698" i="1"/>
  <c r="R2776" i="1"/>
  <c r="R2792" i="1"/>
  <c r="R2718" i="1"/>
  <c r="R2785" i="1"/>
  <c r="R2805" i="1"/>
  <c r="R2658" i="1"/>
  <c r="R2651" i="1"/>
  <c r="R2743" i="1"/>
  <c r="R2727" i="1"/>
  <c r="R2777" i="1"/>
  <c r="R2707" i="1"/>
  <c r="R2803" i="1"/>
  <c r="R2711" i="1"/>
  <c r="R2751" i="1"/>
  <c r="R2779" i="1"/>
  <c r="R2709" i="1"/>
  <c r="R2759" i="1"/>
  <c r="R2702" i="1"/>
  <c r="R2687" i="1"/>
  <c r="R2720" i="1"/>
  <c r="R2811" i="1"/>
  <c r="R2660" i="1"/>
  <c r="R2661" i="1" s="1"/>
  <c r="R2734" i="1"/>
  <c r="R2738" i="1"/>
  <c r="R2563" i="1"/>
  <c r="R2486" i="1"/>
  <c r="R2642" i="1"/>
  <c r="R2644" i="1"/>
  <c r="R2600" i="1"/>
  <c r="R2504" i="1"/>
  <c r="R2515" i="1"/>
  <c r="R2616" i="1"/>
  <c r="R2579" i="1"/>
  <c r="R2485" i="1"/>
  <c r="R2628" i="1"/>
  <c r="R2587" i="1"/>
  <c r="R2605" i="1"/>
  <c r="R2639" i="1"/>
  <c r="R2602" i="1"/>
  <c r="R2613" i="1"/>
  <c r="R2578" i="1"/>
  <c r="R2561" i="1"/>
  <c r="R2641" i="1"/>
  <c r="R2581" i="1"/>
  <c r="R2638" i="1"/>
  <c r="R2623" i="1"/>
  <c r="R2624" i="1" s="1"/>
  <c r="R2625" i="1" s="1"/>
  <c r="R2556" i="1"/>
  <c r="R2569" i="1"/>
  <c r="R2604" i="1"/>
  <c r="R2574" i="1"/>
  <c r="R2533" i="1"/>
  <c r="R2599" i="1"/>
  <c r="R2519" i="1"/>
  <c r="R2558" i="1"/>
  <c r="R2603" i="1"/>
  <c r="R2502" i="1"/>
  <c r="R2626" i="1"/>
  <c r="R2646" i="1"/>
  <c r="R2520" i="1"/>
  <c r="R2597" i="1"/>
  <c r="R2487" i="1"/>
  <c r="R2547" i="1"/>
  <c r="R2593" i="1"/>
  <c r="R2497" i="1"/>
  <c r="R2498" i="1" s="1"/>
  <c r="R2505" i="1"/>
  <c r="R2610" i="1"/>
  <c r="R2562" i="1"/>
  <c r="R2570" i="1"/>
  <c r="R2590" i="1"/>
  <c r="R2540" i="1"/>
  <c r="R2614" i="1"/>
  <c r="R2491" i="1"/>
  <c r="R2495" i="1"/>
  <c r="R2496" i="1" s="1"/>
  <c r="R2494" i="1"/>
  <c r="R2594" i="1"/>
  <c r="R2564" i="1"/>
  <c r="R2568" i="1"/>
  <c r="R2484" i="1"/>
  <c r="R2598" i="1"/>
  <c r="R2530" i="1"/>
  <c r="R2531" i="1" s="1"/>
  <c r="R2643" i="1"/>
  <c r="R2645" i="1"/>
  <c r="R2611" i="1"/>
  <c r="R2607" i="1"/>
  <c r="R2575" i="1"/>
  <c r="R2596" i="1"/>
  <c r="R2576" i="1"/>
  <c r="R2552" i="1"/>
  <c r="R2565" i="1"/>
  <c r="R2585" i="1"/>
  <c r="R2601" i="1"/>
  <c r="R2507" i="1"/>
  <c r="R2621" i="1"/>
  <c r="R2571" i="1"/>
  <c r="R2492" i="1"/>
  <c r="R2546" i="1"/>
  <c r="R2554" i="1"/>
  <c r="R2595" i="1"/>
  <c r="R2619" i="1"/>
  <c r="R2609" i="1"/>
  <c r="R2608" i="1"/>
  <c r="R2615" i="1"/>
  <c r="R2534" i="1"/>
  <c r="R2536" i="1"/>
  <c r="R2521" i="1"/>
  <c r="R2567" i="1"/>
  <c r="R2580" i="1"/>
  <c r="R2544" i="1"/>
  <c r="R2553" i="1"/>
  <c r="R2573" i="1"/>
  <c r="R2606" i="1"/>
  <c r="R2510" i="1"/>
  <c r="R2550" i="1"/>
  <c r="R2532" i="1"/>
  <c r="R2589" i="1"/>
  <c r="R2503" i="1"/>
  <c r="R2557" i="1"/>
  <c r="R2538" i="1"/>
  <c r="R2518" i="1"/>
  <c r="R2493" i="1"/>
  <c r="R2535" i="1"/>
  <c r="R2620" i="1"/>
  <c r="R2588" i="1"/>
  <c r="R2582" i="1"/>
  <c r="R2583" i="1" s="1"/>
  <c r="R2584" i="1" s="1"/>
  <c r="R2543" i="1"/>
  <c r="R2612" i="1"/>
  <c r="R2539" i="1"/>
  <c r="R2592" i="1"/>
  <c r="R2631" i="1"/>
  <c r="R2490" i="1"/>
  <c r="R2509" i="1"/>
  <c r="R2572" i="1"/>
  <c r="R2551" i="1"/>
  <c r="R2542" i="1"/>
  <c r="R2522" i="1"/>
  <c r="R2577" i="1"/>
  <c r="R2559" i="1"/>
  <c r="R2555" i="1"/>
  <c r="R2647" i="1"/>
  <c r="R2630" i="1"/>
  <c r="R2489" i="1"/>
  <c r="R2627" i="1"/>
  <c r="R2629" i="1"/>
  <c r="R2548" i="1"/>
  <c r="R2640" i="1"/>
  <c r="R2488" i="1"/>
  <c r="R2508" i="1"/>
  <c r="R2549" i="1"/>
  <c r="R2622" i="1"/>
  <c r="R2506" i="1"/>
  <c r="R2541" i="1"/>
  <c r="E172" i="231"/>
  <c r="F172" i="231" s="1"/>
  <c r="G172" i="231" s="1"/>
  <c r="R2517" i="1" l="1"/>
  <c r="R2527" i="1"/>
  <c r="R2528" i="1" s="1"/>
  <c r="R2560" i="1"/>
  <c r="R2633" i="1"/>
  <c r="R2634" i="1" s="1"/>
  <c r="R2635" i="1" s="1"/>
  <c r="R2636" i="1" s="1"/>
  <c r="R2637" i="1" s="1"/>
  <c r="R2500" i="246"/>
  <c r="R2501" i="246" s="1"/>
  <c r="R2588" i="246"/>
  <c r="R2470" i="246"/>
  <c r="R2471" i="246" s="1"/>
  <c r="R2481" i="246"/>
  <c r="R2482" i="246" s="1"/>
  <c r="R2483" i="246" s="1"/>
  <c r="R2484" i="246" s="1"/>
  <c r="R2603" i="246"/>
  <c r="R2604" i="246" s="1"/>
  <c r="R2605" i="246" s="1"/>
  <c r="R2606" i="246" s="1"/>
  <c r="R2607" i="246" s="1"/>
  <c r="R2487" i="246"/>
  <c r="R2486" i="246"/>
  <c r="R2497" i="246"/>
  <c r="R2498" i="246" s="1"/>
  <c r="R2681" i="1"/>
  <c r="R2692" i="1"/>
  <c r="R2693" i="1" s="1"/>
  <c r="R2682" i="1"/>
  <c r="R2689" i="1"/>
  <c r="R2690" i="1" s="1"/>
  <c r="R2691" i="1" s="1"/>
  <c r="R2748" i="1"/>
  <c r="R2749" i="1" s="1"/>
  <c r="R2783" i="1"/>
  <c r="R2789" i="1"/>
  <c r="R2790" i="1" s="1"/>
  <c r="R2798" i="1"/>
  <c r="R2799" i="1" s="1"/>
  <c r="R2800" i="1" s="1"/>
  <c r="R2801" i="1" s="1"/>
  <c r="R2802" i="1" s="1"/>
  <c r="R2725" i="1"/>
  <c r="R2695" i="1"/>
  <c r="R2696" i="1" s="1"/>
  <c r="R2665" i="1"/>
  <c r="R2666" i="1" s="1"/>
  <c r="R2675" i="1"/>
  <c r="R2676" i="1"/>
  <c r="R2677" i="1" s="1"/>
  <c r="R2678" i="1" s="1"/>
  <c r="R2679" i="1" s="1"/>
  <c r="R2516" i="1"/>
  <c r="R2500" i="1"/>
  <c r="R2501" i="1" s="1"/>
  <c r="R2524" i="1" s="1"/>
  <c r="R2525" i="1" s="1"/>
  <c r="R2526" i="1" s="1"/>
  <c r="R2618" i="1"/>
  <c r="R2511" i="1"/>
  <c r="R2512" i="1" s="1"/>
  <c r="R2513" i="1" s="1"/>
  <c r="R2514" i="1" s="1"/>
  <c r="E173" i="231"/>
  <c r="F173" i="231" s="1"/>
  <c r="G173" i="231" s="1"/>
  <c r="E174" i="231" l="1"/>
  <c r="F174" i="231" s="1"/>
  <c r="G174" i="231" s="1"/>
  <c r="E175" i="231" l="1"/>
  <c r="F175" i="231" s="1"/>
  <c r="G175" i="231" s="1"/>
  <c r="N361" i="5"/>
  <c r="H24" i="187" l="1"/>
  <c r="H26" i="187" s="1"/>
  <c r="O1783" i="1"/>
  <c r="U1783" i="1" s="1"/>
  <c r="E176" i="231"/>
  <c r="F176" i="231" s="1"/>
  <c r="G176" i="231" s="1"/>
  <c r="I361" i="5"/>
  <c r="L361" i="5" s="1"/>
  <c r="O1753" i="246" l="1"/>
  <c r="R1753" i="246" s="1"/>
  <c r="M1783" i="1"/>
  <c r="S1783" i="1" s="1"/>
  <c r="G24" i="187"/>
  <c r="G26" i="187" s="1"/>
  <c r="E177" i="231"/>
  <c r="F177" i="231" s="1"/>
  <c r="G177" i="231" s="1"/>
  <c r="N34" i="5"/>
  <c r="S1753" i="246" l="1"/>
  <c r="E178" i="231"/>
  <c r="F178" i="231" s="1"/>
  <c r="G178" i="231" s="1"/>
  <c r="R1783" i="1"/>
  <c r="N38" i="5"/>
  <c r="E179" i="231" l="1"/>
  <c r="F179" i="231" s="1"/>
  <c r="G179" i="231" s="1"/>
  <c r="N37" i="5"/>
  <c r="N36" i="5"/>
  <c r="R2468" i="1" l="1"/>
  <c r="R2469" i="1"/>
  <c r="E180" i="231"/>
  <c r="F180" i="231" s="1"/>
  <c r="G180" i="231" s="1"/>
  <c r="Y2469" i="1" l="1"/>
  <c r="U2469" i="1"/>
  <c r="Z2469" i="1"/>
  <c r="X3301" i="1"/>
  <c r="X2971" i="1"/>
  <c r="E181" i="231"/>
  <c r="F181" i="231" s="1"/>
  <c r="G181" i="231" s="1"/>
  <c r="Y2468" i="1"/>
  <c r="Z2468" i="1"/>
  <c r="U2468" i="1"/>
  <c r="D2469" i="1" l="1"/>
  <c r="D2468" i="1"/>
  <c r="E182" i="231"/>
  <c r="F182" i="231" s="1"/>
  <c r="G182" i="231" s="1"/>
  <c r="N228" i="5"/>
  <c r="O2054" i="1" s="1"/>
  <c r="U2054" i="1" s="1"/>
  <c r="E183" i="231" l="1"/>
  <c r="F183" i="231" s="1"/>
  <c r="G183" i="231" s="1"/>
  <c r="N140" i="5"/>
  <c r="N139" i="5"/>
  <c r="O2438" i="1" s="1"/>
  <c r="R2438" i="1" s="1"/>
  <c r="N138" i="5"/>
  <c r="O2437" i="1" s="1"/>
  <c r="R2437" i="1" s="1"/>
  <c r="N137" i="5"/>
  <c r="O2436" i="1" s="1"/>
  <c r="R2436" i="1" s="1"/>
  <c r="N136" i="5"/>
  <c r="O2435" i="1" s="1"/>
  <c r="R2435" i="1" s="1"/>
  <c r="E184" i="231" l="1"/>
  <c r="F184" i="231" s="1"/>
  <c r="G184" i="231" s="1"/>
  <c r="O2439" i="1"/>
  <c r="N191" i="5"/>
  <c r="O1930" i="1" s="1"/>
  <c r="N199" i="5"/>
  <c r="O1938" i="1" s="1"/>
  <c r="N192" i="5"/>
  <c r="O1931" i="1" s="1"/>
  <c r="N196" i="5"/>
  <c r="O1935" i="1" s="1"/>
  <c r="E185" i="231" l="1"/>
  <c r="F185" i="231" s="1"/>
  <c r="G185" i="231" s="1"/>
  <c r="H14" i="168"/>
  <c r="H21" i="168"/>
  <c r="H13" i="168"/>
  <c r="H18" i="168"/>
  <c r="I196" i="5"/>
  <c r="N202" i="5"/>
  <c r="N193" i="5"/>
  <c r="O1932" i="1" s="1"/>
  <c r="I192" i="5"/>
  <c r="I199" i="5"/>
  <c r="I191" i="5"/>
  <c r="L191" i="5" s="1"/>
  <c r="O1900" i="246" s="1"/>
  <c r="R1900" i="246" s="1"/>
  <c r="N201" i="5"/>
  <c r="H26" i="168" s="1"/>
  <c r="N211" i="5"/>
  <c r="N209" i="5"/>
  <c r="N208" i="5"/>
  <c r="O1943" i="1" l="1"/>
  <c r="U1943" i="1" s="1"/>
  <c r="I201" i="5"/>
  <c r="L201" i="5" s="1"/>
  <c r="M1930" i="1"/>
  <c r="R1930" i="1" s="1"/>
  <c r="E186" i="231"/>
  <c r="F186" i="231" s="1"/>
  <c r="G186" i="231" s="1"/>
  <c r="H15" i="168"/>
  <c r="G13" i="168"/>
  <c r="O1973" i="1"/>
  <c r="H16" i="169"/>
  <c r="O1970" i="1"/>
  <c r="H13" i="169"/>
  <c r="O1971" i="1"/>
  <c r="H14" i="169"/>
  <c r="I211" i="5"/>
  <c r="L211" i="5" s="1"/>
  <c r="O1943" i="246" s="1"/>
  <c r="R1943" i="246" s="1"/>
  <c r="N194" i="5"/>
  <c r="O1933" i="1" s="1"/>
  <c r="I209" i="5"/>
  <c r="L209" i="5" s="1"/>
  <c r="O1941" i="246" s="1"/>
  <c r="R1941" i="246" s="1"/>
  <c r="I202" i="5"/>
  <c r="L202" i="5" s="1"/>
  <c r="N200" i="5"/>
  <c r="O1939" i="1" s="1"/>
  <c r="E302" i="4"/>
  <c r="I193" i="5"/>
  <c r="L193" i="5" s="1"/>
  <c r="O1902" i="246" s="1"/>
  <c r="R1902" i="246" s="1"/>
  <c r="I208" i="5"/>
  <c r="L208" i="5" s="1"/>
  <c r="O1940" i="246" s="1"/>
  <c r="R1940" i="246" s="1"/>
  <c r="N195" i="5"/>
  <c r="O1934" i="1" s="1"/>
  <c r="O1913" i="246" l="1"/>
  <c r="S1913" i="246" s="1"/>
  <c r="G26" i="168"/>
  <c r="M1932" i="1"/>
  <c r="R1932" i="1" s="1"/>
  <c r="M1943" i="1"/>
  <c r="R1943" i="1" s="1"/>
  <c r="H22" i="168"/>
  <c r="E187" i="231"/>
  <c r="F187" i="231" s="1"/>
  <c r="G187" i="231" s="1"/>
  <c r="H17" i="168"/>
  <c r="G15" i="168"/>
  <c r="H16" i="168"/>
  <c r="M1970" i="1"/>
  <c r="R1970" i="1" s="1"/>
  <c r="G13" i="169"/>
  <c r="M1971" i="1"/>
  <c r="R1971" i="1" s="1"/>
  <c r="G14" i="169"/>
  <c r="M1973" i="1"/>
  <c r="R1973" i="1" s="1"/>
  <c r="G16" i="169"/>
  <c r="I200" i="5"/>
  <c r="L200" i="5" s="1"/>
  <c r="I195" i="5"/>
  <c r="I194" i="5"/>
  <c r="E312" i="4"/>
  <c r="R1913" i="246" l="1"/>
  <c r="R1910" i="246" s="1"/>
  <c r="M1939" i="1"/>
  <c r="R1939" i="1" s="1"/>
  <c r="O1909" i="246"/>
  <c r="R1909" i="246" s="1"/>
  <c r="R1940" i="1"/>
  <c r="R1941" i="1"/>
  <c r="R1942" i="1"/>
  <c r="E188" i="231"/>
  <c r="F188" i="231" s="1"/>
  <c r="G188" i="231" s="1"/>
  <c r="G22" i="168"/>
  <c r="S1943" i="1"/>
  <c r="E347" i="4"/>
  <c r="N175" i="5"/>
  <c r="N174" i="5"/>
  <c r="N172" i="5"/>
  <c r="N82" i="5"/>
  <c r="N81" i="5"/>
  <c r="N80" i="5"/>
  <c r="N79" i="5"/>
  <c r="N113" i="5"/>
  <c r="N114" i="5"/>
  <c r="N18" i="5"/>
  <c r="N29" i="5"/>
  <c r="N30" i="5"/>
  <c r="N76" i="5"/>
  <c r="N77" i="5"/>
  <c r="N78" i="5"/>
  <c r="N132" i="5"/>
  <c r="N133" i="5"/>
  <c r="O2432" i="1" s="1"/>
  <c r="R2432" i="1" s="1"/>
  <c r="N134" i="5"/>
  <c r="O2433" i="1" s="1"/>
  <c r="R2433" i="1" s="1"/>
  <c r="N115" i="5"/>
  <c r="N116" i="5"/>
  <c r="N19" i="5"/>
  <c r="N20" i="5"/>
  <c r="N400" i="5"/>
  <c r="N398" i="5"/>
  <c r="N393" i="5"/>
  <c r="N389" i="5"/>
  <c r="O2189" i="1" s="1"/>
  <c r="R2189" i="1" s="1"/>
  <c r="N388" i="5"/>
  <c r="O2188" i="1" s="1"/>
  <c r="R2188" i="1" s="1"/>
  <c r="N385" i="5"/>
  <c r="N378" i="5"/>
  <c r="N366" i="5"/>
  <c r="N313" i="5"/>
  <c r="N307" i="5"/>
  <c r="N302" i="5"/>
  <c r="N283" i="5"/>
  <c r="N279" i="5"/>
  <c r="N275" i="5"/>
  <c r="N271" i="5"/>
  <c r="N267" i="5"/>
  <c r="N263" i="5"/>
  <c r="N259" i="5"/>
  <c r="N255" i="5"/>
  <c r="N238" i="5"/>
  <c r="O1222" i="1" s="1"/>
  <c r="N235" i="5"/>
  <c r="N220" i="5"/>
  <c r="N183" i="5"/>
  <c r="N182" i="5"/>
  <c r="N180" i="5"/>
  <c r="N179" i="5"/>
  <c r="O1894" i="1" s="1"/>
  <c r="R1894" i="1" s="1"/>
  <c r="N178" i="5"/>
  <c r="O1893" i="1" s="1"/>
  <c r="R1893" i="1" s="1"/>
  <c r="N176" i="5"/>
  <c r="N168" i="5"/>
  <c r="N167" i="5"/>
  <c r="N166" i="5"/>
  <c r="N165" i="5"/>
  <c r="N164" i="5"/>
  <c r="N160" i="5"/>
  <c r="N159" i="5"/>
  <c r="N155" i="5"/>
  <c r="N135" i="5"/>
  <c r="O2434" i="1" s="1"/>
  <c r="R2434" i="1" s="1"/>
  <c r="N130" i="5"/>
  <c r="O2429" i="1" s="1"/>
  <c r="R2429" i="1" s="1"/>
  <c r="N127" i="5"/>
  <c r="N126" i="5"/>
  <c r="N125" i="5"/>
  <c r="O2425" i="1" s="1"/>
  <c r="R2425" i="1" s="1"/>
  <c r="N123" i="5"/>
  <c r="N121" i="5"/>
  <c r="O2420" i="1" s="1"/>
  <c r="R2420" i="1" s="1"/>
  <c r="N120" i="5"/>
  <c r="O2419" i="1" s="1"/>
  <c r="R2419" i="1" s="1"/>
  <c r="N119" i="5"/>
  <c r="N118" i="5"/>
  <c r="O2417" i="1" s="1"/>
  <c r="R2417" i="1" s="1"/>
  <c r="N117" i="5"/>
  <c r="N109" i="5"/>
  <c r="N104" i="5"/>
  <c r="O2409" i="1" s="1"/>
  <c r="R2409" i="1" s="1"/>
  <c r="N102" i="5"/>
  <c r="N101" i="5"/>
  <c r="N100" i="5"/>
  <c r="N96" i="5"/>
  <c r="N95" i="5"/>
  <c r="N90" i="5"/>
  <c r="N89" i="5"/>
  <c r="O1089" i="1" s="1"/>
  <c r="R1089" i="1" s="1"/>
  <c r="N88" i="5"/>
  <c r="O1088" i="1" s="1"/>
  <c r="R1088" i="1" s="1"/>
  <c r="N84" i="5"/>
  <c r="N72" i="5"/>
  <c r="N70" i="5"/>
  <c r="N68" i="5"/>
  <c r="N67" i="5"/>
  <c r="N63" i="5"/>
  <c r="O1017" i="1" s="1"/>
  <c r="R1017" i="1" s="1"/>
  <c r="N60" i="5"/>
  <c r="N59" i="5"/>
  <c r="N58" i="5"/>
  <c r="N57" i="5"/>
  <c r="N56" i="5"/>
  <c r="N54" i="5"/>
  <c r="N53" i="5"/>
  <c r="O2363" i="1" s="1"/>
  <c r="R2363" i="1" s="1"/>
  <c r="N52" i="5"/>
  <c r="N51" i="5"/>
  <c r="N47" i="5"/>
  <c r="O2358" i="1" s="1"/>
  <c r="R2358" i="1" s="1"/>
  <c r="N42" i="5"/>
  <c r="O2356" i="1" s="1"/>
  <c r="R2356" i="1" s="1"/>
  <c r="N40" i="5"/>
  <c r="N32" i="5"/>
  <c r="N31" i="5"/>
  <c r="N25" i="5"/>
  <c r="N24" i="5"/>
  <c r="N23" i="5"/>
  <c r="N22" i="5"/>
  <c r="N21" i="5"/>
  <c r="N15" i="5"/>
  <c r="N14" i="5"/>
  <c r="N13" i="5"/>
  <c r="N10" i="5"/>
  <c r="O893" i="1" s="1"/>
  <c r="R893" i="1" s="1"/>
  <c r="U1222" i="1" l="1"/>
  <c r="R1222" i="1"/>
  <c r="O2407" i="1"/>
  <c r="H19" i="240"/>
  <c r="O2328" i="1"/>
  <c r="R2328" i="1" s="1"/>
  <c r="O2326" i="1"/>
  <c r="R2326" i="1" s="1"/>
  <c r="O2379" i="1"/>
  <c r="R2379" i="1" s="1"/>
  <c r="O2329" i="1"/>
  <c r="R2329" i="1" s="1"/>
  <c r="O2327" i="1"/>
  <c r="R2327" i="1" s="1"/>
  <c r="O2380" i="1"/>
  <c r="R2380" i="1" s="1"/>
  <c r="O2330" i="1"/>
  <c r="R2330" i="1" s="1"/>
  <c r="O2381" i="1"/>
  <c r="R2381" i="1" s="1"/>
  <c r="O2377" i="1"/>
  <c r="R2377" i="1" s="1"/>
  <c r="O2378" i="1"/>
  <c r="R2378" i="1" s="1"/>
  <c r="C997" i="246"/>
  <c r="O987" i="1"/>
  <c r="C998" i="1"/>
  <c r="O573" i="1"/>
  <c r="R573" i="1" s="1"/>
  <c r="O1901" i="1"/>
  <c r="R1901" i="1" s="1"/>
  <c r="O1902" i="1"/>
  <c r="R1902" i="1" s="1"/>
  <c r="O574" i="1"/>
  <c r="R574" i="1" s="1"/>
  <c r="O1867" i="1"/>
  <c r="O563" i="1"/>
  <c r="O1866" i="1"/>
  <c r="R1866" i="1" s="1"/>
  <c r="O562" i="1"/>
  <c r="R562" i="1" s="1"/>
  <c r="R1912" i="246"/>
  <c r="R1911" i="246"/>
  <c r="O988" i="1"/>
  <c r="R988" i="1" s="1"/>
  <c r="O990" i="1"/>
  <c r="R990" i="1" s="1"/>
  <c r="O991" i="1"/>
  <c r="R991" i="1" s="1"/>
  <c r="O989" i="1"/>
  <c r="R989" i="1" s="1"/>
  <c r="O527" i="1"/>
  <c r="X527" i="1" s="1"/>
  <c r="I378" i="5"/>
  <c r="L378" i="5" s="1"/>
  <c r="O527" i="246" s="1"/>
  <c r="I393" i="5"/>
  <c r="L393" i="5" s="1"/>
  <c r="O2160" i="1"/>
  <c r="E189" i="231"/>
  <c r="F189" i="231" s="1"/>
  <c r="G189" i="231" s="1"/>
  <c r="O2418" i="1"/>
  <c r="R2418" i="1" s="1"/>
  <c r="O2371" i="1"/>
  <c r="R2371" i="1" s="1"/>
  <c r="O2431" i="1"/>
  <c r="R2431" i="1" s="1"/>
  <c r="O2354" i="1"/>
  <c r="R2354" i="1" s="1"/>
  <c r="O2376" i="1"/>
  <c r="R2376" i="1" s="1"/>
  <c r="O2375" i="1"/>
  <c r="R2375" i="1" s="1"/>
  <c r="O585" i="1"/>
  <c r="R585" i="1" s="1"/>
  <c r="N12" i="5"/>
  <c r="N27" i="5"/>
  <c r="N253" i="5"/>
  <c r="H1320" i="1" s="1"/>
  <c r="N261" i="5"/>
  <c r="J1320" i="1" s="1"/>
  <c r="N269" i="5"/>
  <c r="K1320" i="1" s="1"/>
  <c r="N61" i="5"/>
  <c r="O919" i="1"/>
  <c r="R919" i="1" s="1"/>
  <c r="O2343" i="1"/>
  <c r="R2343" i="1" s="1"/>
  <c r="N99" i="5"/>
  <c r="N157" i="5"/>
  <c r="N254" i="5"/>
  <c r="H1327" i="1" s="1"/>
  <c r="N262" i="5"/>
  <c r="J1327" i="1" s="1"/>
  <c r="N270" i="5"/>
  <c r="K1327" i="1" s="1"/>
  <c r="N354" i="5"/>
  <c r="O918" i="1"/>
  <c r="R918" i="1" s="1"/>
  <c r="O2342" i="1"/>
  <c r="R2342" i="1" s="1"/>
  <c r="O2416" i="1"/>
  <c r="R2416" i="1" s="1"/>
  <c r="O920" i="1"/>
  <c r="R920" i="1" s="1"/>
  <c r="O2344" i="1"/>
  <c r="R2344" i="1" s="1"/>
  <c r="N85" i="5"/>
  <c r="N91" i="5"/>
  <c r="O1110" i="1"/>
  <c r="R1110" i="1" s="1"/>
  <c r="O2452" i="1"/>
  <c r="R2452" i="1" s="1"/>
  <c r="N122" i="5"/>
  <c r="O2426" i="1"/>
  <c r="R2426" i="1" s="1"/>
  <c r="N142" i="5"/>
  <c r="N154" i="5"/>
  <c r="O1144" i="1" s="1"/>
  <c r="R1144" i="1" s="1"/>
  <c r="N229" i="5"/>
  <c r="N251" i="5"/>
  <c r="N274" i="5"/>
  <c r="K1328" i="1" s="1"/>
  <c r="N342" i="5"/>
  <c r="N359" i="5"/>
  <c r="N374" i="5"/>
  <c r="N379" i="5"/>
  <c r="N75" i="5"/>
  <c r="O2341" i="1"/>
  <c r="R2341" i="1" s="1"/>
  <c r="O917" i="1"/>
  <c r="R917" i="1" s="1"/>
  <c r="N86" i="5"/>
  <c r="N55" i="5"/>
  <c r="N66" i="5"/>
  <c r="N94" i="5"/>
  <c r="N112" i="5"/>
  <c r="N185" i="5"/>
  <c r="N319" i="5"/>
  <c r="O1108" i="1"/>
  <c r="R1108" i="1" s="1"/>
  <c r="O2454" i="1"/>
  <c r="R2454" i="1" s="1"/>
  <c r="O1109" i="1"/>
  <c r="R1109" i="1" s="1"/>
  <c r="O2449" i="1"/>
  <c r="N258" i="5"/>
  <c r="H1328" i="1" s="1"/>
  <c r="N266" i="5"/>
  <c r="J1328" i="1" s="1"/>
  <c r="N39" i="5"/>
  <c r="N43" i="5"/>
  <c r="N69" i="5"/>
  <c r="N83" i="5"/>
  <c r="N93" i="5"/>
  <c r="O1080" i="1" s="1"/>
  <c r="R1080" i="1" s="1"/>
  <c r="N98" i="5"/>
  <c r="N143" i="5"/>
  <c r="N278" i="5"/>
  <c r="M1327" i="1" s="1"/>
  <c r="N282" i="5"/>
  <c r="M1328" i="1" s="1"/>
  <c r="N74" i="5"/>
  <c r="N28" i="5"/>
  <c r="N372" i="5"/>
  <c r="N395" i="5"/>
  <c r="N391" i="5"/>
  <c r="O2191" i="1" s="1"/>
  <c r="R2191" i="1" s="1"/>
  <c r="N153" i="5"/>
  <c r="O1143" i="1" s="1"/>
  <c r="R1143" i="1" s="1"/>
  <c r="N390" i="5"/>
  <c r="O2190" i="1" s="1"/>
  <c r="R2190" i="1" s="1"/>
  <c r="N163" i="5"/>
  <c r="N371" i="5"/>
  <c r="N392" i="5"/>
  <c r="O2192" i="1" s="1"/>
  <c r="R2192" i="1" s="1"/>
  <c r="N365" i="5"/>
  <c r="N376" i="5"/>
  <c r="N384" i="5"/>
  <c r="N401" i="5"/>
  <c r="N26" i="5"/>
  <c r="N207" i="5"/>
  <c r="N353" i="5"/>
  <c r="H30" i="229" s="1"/>
  <c r="N330" i="5"/>
  <c r="N332" i="5"/>
  <c r="H15" i="229" s="1"/>
  <c r="N206" i="5"/>
  <c r="N349" i="5"/>
  <c r="H26" i="229" s="1"/>
  <c r="N213" i="5"/>
  <c r="N169" i="5"/>
  <c r="N215" i="5"/>
  <c r="N205" i="5"/>
  <c r="N357" i="5"/>
  <c r="N341" i="5"/>
  <c r="N356" i="5"/>
  <c r="N312" i="5"/>
  <c r="N352" i="5"/>
  <c r="H29" i="229" s="1"/>
  <c r="N381" i="5"/>
  <c r="N280" i="5"/>
  <c r="M1317" i="1" s="1"/>
  <c r="N219" i="5"/>
  <c r="N370" i="5"/>
  <c r="N218" i="5"/>
  <c r="N214" i="5"/>
  <c r="N252" i="5"/>
  <c r="H1316" i="1" s="1"/>
  <c r="N260" i="5"/>
  <c r="J1316" i="1" s="1"/>
  <c r="N310" i="5"/>
  <c r="N350" i="5"/>
  <c r="H27" i="229" s="1"/>
  <c r="N377" i="5"/>
  <c r="N216" i="5"/>
  <c r="N181" i="5"/>
  <c r="O1900" i="1" s="1"/>
  <c r="N217" i="5"/>
  <c r="N315" i="5"/>
  <c r="N308" i="5"/>
  <c r="N316" i="5"/>
  <c r="N317" i="5"/>
  <c r="N264" i="5"/>
  <c r="J1317" i="1" s="1"/>
  <c r="N256" i="5"/>
  <c r="H1317" i="1" s="1"/>
  <c r="N173" i="5"/>
  <c r="O561" i="1" s="1"/>
  <c r="N272" i="5"/>
  <c r="K1317" i="1" s="1"/>
  <c r="N311" i="5"/>
  <c r="N177" i="5"/>
  <c r="N268" i="5"/>
  <c r="K1316" i="1" s="1"/>
  <c r="N321" i="5"/>
  <c r="N334" i="5"/>
  <c r="N189" i="5"/>
  <c r="N394" i="5"/>
  <c r="N309" i="5"/>
  <c r="N276" i="5"/>
  <c r="M1316" i="1" s="1"/>
  <c r="N369" i="5"/>
  <c r="N380" i="5"/>
  <c r="N396" i="5"/>
  <c r="H10" i="229" l="1"/>
  <c r="I308" i="5"/>
  <c r="H1313" i="1"/>
  <c r="O428" i="1"/>
  <c r="U428" i="1" s="1"/>
  <c r="O2408" i="1"/>
  <c r="R2408" i="1" s="1"/>
  <c r="K1313" i="1"/>
  <c r="K1338" i="1"/>
  <c r="K1360" i="1" s="1"/>
  <c r="O1327" i="1"/>
  <c r="H1324" i="1"/>
  <c r="O1317" i="1"/>
  <c r="J1313" i="1"/>
  <c r="J1338" i="1"/>
  <c r="J1360" i="1" s="1"/>
  <c r="O1728" i="1"/>
  <c r="H18" i="229"/>
  <c r="M1324" i="1"/>
  <c r="M1313" i="1"/>
  <c r="O1721" i="1"/>
  <c r="H17" i="229"/>
  <c r="H1338" i="1"/>
  <c r="H1360" i="1" s="1"/>
  <c r="O1316" i="1"/>
  <c r="O1709" i="1"/>
  <c r="H13" i="229"/>
  <c r="O1328" i="1"/>
  <c r="K1324" i="1"/>
  <c r="J1324" i="1"/>
  <c r="O2331" i="1"/>
  <c r="R997" i="246"/>
  <c r="O1732" i="1"/>
  <c r="O2423" i="1"/>
  <c r="R2423" i="1" s="1"/>
  <c r="H17" i="178"/>
  <c r="O1819" i="1"/>
  <c r="O1730" i="1"/>
  <c r="O1729" i="1"/>
  <c r="O1733" i="1"/>
  <c r="H16" i="178"/>
  <c r="O1818" i="1"/>
  <c r="H15" i="178"/>
  <c r="O1817" i="1"/>
  <c r="O1897" i="1"/>
  <c r="U1897" i="1" s="1"/>
  <c r="O1892" i="1"/>
  <c r="O1889" i="1" s="1"/>
  <c r="O572" i="1"/>
  <c r="O577" i="1" s="1"/>
  <c r="H14" i="178"/>
  <c r="O1816" i="1"/>
  <c r="O2131" i="246"/>
  <c r="R527" i="246"/>
  <c r="U527" i="246"/>
  <c r="O1700" i="1"/>
  <c r="O1928" i="1"/>
  <c r="M527" i="1"/>
  <c r="O1719" i="1"/>
  <c r="M2160" i="1"/>
  <c r="R2160" i="1" s="1"/>
  <c r="E190" i="231"/>
  <c r="F190" i="231" s="1"/>
  <c r="G190" i="231" s="1"/>
  <c r="H11" i="168"/>
  <c r="O1978" i="1"/>
  <c r="H21" i="169"/>
  <c r="O1975" i="1"/>
  <c r="H18" i="169"/>
  <c r="O1976" i="1"/>
  <c r="H19" i="169"/>
  <c r="O1981" i="1"/>
  <c r="H24" i="169"/>
  <c r="O1979" i="1"/>
  <c r="H22" i="169"/>
  <c r="O1967" i="1"/>
  <c r="H10" i="169"/>
  <c r="O1980" i="1"/>
  <c r="H23" i="169"/>
  <c r="O1977" i="1"/>
  <c r="H20" i="169"/>
  <c r="O1968" i="1"/>
  <c r="H11" i="169"/>
  <c r="O1969" i="1"/>
  <c r="H12" i="169"/>
  <c r="O2362" i="1"/>
  <c r="R2362" i="1" s="1"/>
  <c r="I372" i="5"/>
  <c r="L372" i="5" s="1"/>
  <c r="O2114" i="1"/>
  <c r="I371" i="5"/>
  <c r="L371" i="5" s="1"/>
  <c r="O2113" i="1"/>
  <c r="O2368" i="1"/>
  <c r="R2368" i="1" s="1"/>
  <c r="O2374" i="1"/>
  <c r="R2374" i="1" s="1"/>
  <c r="O2422" i="1"/>
  <c r="R2422" i="1" s="1"/>
  <c r="O2364" i="1"/>
  <c r="R2364" i="1" s="1"/>
  <c r="R2407" i="1"/>
  <c r="O2373" i="1"/>
  <c r="R2373" i="1" s="1"/>
  <c r="O2369" i="1"/>
  <c r="R2369" i="1" s="1"/>
  <c r="R998" i="1"/>
  <c r="I394" i="5"/>
  <c r="L394" i="5" s="1"/>
  <c r="O2161" i="1"/>
  <c r="O1667" i="1"/>
  <c r="I316" i="5"/>
  <c r="L316" i="5" s="1"/>
  <c r="O1638" i="246" s="1"/>
  <c r="R1638" i="246" s="1"/>
  <c r="I312" i="5"/>
  <c r="L312" i="5" s="1"/>
  <c r="O1608" i="246" s="1"/>
  <c r="R1608" i="246" s="1"/>
  <c r="O1637" i="1"/>
  <c r="I215" i="5"/>
  <c r="L215" i="5" s="1"/>
  <c r="O1947" i="246" s="1"/>
  <c r="R1947" i="246" s="1"/>
  <c r="I213" i="5"/>
  <c r="L213" i="5" s="1"/>
  <c r="O1945" i="246" s="1"/>
  <c r="R1945" i="246" s="1"/>
  <c r="N222" i="5"/>
  <c r="N277" i="5"/>
  <c r="M1320" i="1" s="1"/>
  <c r="O1320" i="1" s="1"/>
  <c r="N231" i="5"/>
  <c r="O1206" i="1" s="1"/>
  <c r="U1206" i="1" s="1"/>
  <c r="N50" i="5"/>
  <c r="N129" i="5"/>
  <c r="N227" i="5"/>
  <c r="O2053" i="1" s="1"/>
  <c r="U2053" i="1" s="1"/>
  <c r="O2050" i="1" s="1"/>
  <c r="N156" i="5"/>
  <c r="N128" i="5"/>
  <c r="N318" i="5"/>
  <c r="O1668" i="1"/>
  <c r="I317" i="5"/>
  <c r="L317" i="5" s="1"/>
  <c r="N170" i="5"/>
  <c r="I310" i="5"/>
  <c r="L310" i="5" s="1"/>
  <c r="O1606" i="246" s="1"/>
  <c r="R1606" i="246" s="1"/>
  <c r="O1635" i="1"/>
  <c r="O2112" i="1"/>
  <c r="I370" i="5"/>
  <c r="L370" i="5" s="1"/>
  <c r="I341" i="5"/>
  <c r="I349" i="5"/>
  <c r="L349" i="5" s="1"/>
  <c r="I206" i="5"/>
  <c r="L206" i="5" s="1"/>
  <c r="N232" i="5"/>
  <c r="O1221" i="1" s="1"/>
  <c r="N41" i="5"/>
  <c r="N124" i="5"/>
  <c r="I395" i="5"/>
  <c r="L395" i="5" s="1"/>
  <c r="O2162" i="1"/>
  <c r="H20" i="167"/>
  <c r="I380" i="5"/>
  <c r="L380" i="5" s="1"/>
  <c r="O2053" i="246" s="1"/>
  <c r="O2082" i="1"/>
  <c r="I189" i="5"/>
  <c r="L189" i="5" s="1"/>
  <c r="O1898" i="246" s="1"/>
  <c r="R1898" i="246" s="1"/>
  <c r="I268" i="5"/>
  <c r="L268" i="5" s="1"/>
  <c r="K1316" i="246" s="1"/>
  <c r="I173" i="5"/>
  <c r="L173" i="5" s="1"/>
  <c r="O561" i="246" s="1"/>
  <c r="O566" i="1"/>
  <c r="O508" i="1"/>
  <c r="O1865" i="1"/>
  <c r="I216" i="5"/>
  <c r="L216" i="5" s="1"/>
  <c r="O1948" i="246" s="1"/>
  <c r="R1948" i="246" s="1"/>
  <c r="I214" i="5"/>
  <c r="L214" i="5" s="1"/>
  <c r="O1946" i="246" s="1"/>
  <c r="R1946" i="246" s="1"/>
  <c r="I353" i="5"/>
  <c r="L353" i="5" s="1"/>
  <c r="I207" i="5"/>
  <c r="N375" i="5"/>
  <c r="O1634" i="1"/>
  <c r="I309" i="5"/>
  <c r="L309" i="5" s="1"/>
  <c r="O1605" i="246" s="1"/>
  <c r="R1605" i="246" s="1"/>
  <c r="I315" i="5"/>
  <c r="L315" i="5" s="1"/>
  <c r="O1637" i="246" s="1"/>
  <c r="R1637" i="246" s="1"/>
  <c r="O1666" i="1"/>
  <c r="I217" i="5"/>
  <c r="L217" i="5" s="1"/>
  <c r="O1949" i="246" s="1"/>
  <c r="R1949" i="246" s="1"/>
  <c r="I181" i="5"/>
  <c r="L181" i="5" s="1"/>
  <c r="I350" i="5"/>
  <c r="L350" i="5" s="1"/>
  <c r="I352" i="5"/>
  <c r="L352" i="5" s="1"/>
  <c r="N367" i="5"/>
  <c r="I205" i="5"/>
  <c r="L205" i="5" s="1"/>
  <c r="I332" i="5"/>
  <c r="I330" i="5"/>
  <c r="N146" i="5"/>
  <c r="N62" i="5"/>
  <c r="N145" i="5"/>
  <c r="N48" i="5"/>
  <c r="N151" i="5"/>
  <c r="N64" i="5"/>
  <c r="N71" i="5"/>
  <c r="O2370" i="1" s="1"/>
  <c r="R2370" i="1" s="1"/>
  <c r="N131" i="5"/>
  <c r="O2340" i="1"/>
  <c r="O2337" i="1" s="1"/>
  <c r="O916" i="1"/>
  <c r="O942" i="1" s="1"/>
  <c r="I369" i="5"/>
  <c r="L369" i="5" s="1"/>
  <c r="O2111" i="1"/>
  <c r="I218" i="5"/>
  <c r="L218" i="5" s="1"/>
  <c r="O1950" i="246" s="1"/>
  <c r="R1950" i="246" s="1"/>
  <c r="N49" i="5"/>
  <c r="O2246" i="1" s="1"/>
  <c r="R2449" i="1"/>
  <c r="I321" i="5"/>
  <c r="L321" i="5" s="1"/>
  <c r="I311" i="5"/>
  <c r="L311" i="5" s="1"/>
  <c r="O1607" i="246" s="1"/>
  <c r="R1607" i="246" s="1"/>
  <c r="O1636" i="1"/>
  <c r="O482" i="1"/>
  <c r="O1633" i="1"/>
  <c r="L308" i="5"/>
  <c r="N355" i="5"/>
  <c r="I252" i="5"/>
  <c r="L252" i="5" s="1"/>
  <c r="H1316" i="246" s="1"/>
  <c r="N373" i="5"/>
  <c r="O2083" i="1"/>
  <c r="I381" i="5"/>
  <c r="L381" i="5" s="1"/>
  <c r="O2054" i="246" s="1"/>
  <c r="R2054" i="246" s="1"/>
  <c r="H37" i="167"/>
  <c r="N221" i="5"/>
  <c r="H91" i="167"/>
  <c r="O2086" i="1"/>
  <c r="I384" i="5"/>
  <c r="L384" i="5" s="1"/>
  <c r="O2057" i="246" s="1"/>
  <c r="R2057" i="246" s="1"/>
  <c r="H93" i="187"/>
  <c r="I365" i="5"/>
  <c r="L365" i="5" s="1"/>
  <c r="O1760" i="246" s="1"/>
  <c r="O1790" i="1"/>
  <c r="U1790" i="1" s="1"/>
  <c r="N152" i="5"/>
  <c r="N150" i="5"/>
  <c r="N397" i="5"/>
  <c r="N17" i="5"/>
  <c r="R987" i="1"/>
  <c r="O994" i="1"/>
  <c r="X994" i="1" s="1"/>
  <c r="O2163" i="1"/>
  <c r="I396" i="5"/>
  <c r="L396" i="5" s="1"/>
  <c r="O2134" i="246" s="1"/>
  <c r="R2134" i="246" s="1"/>
  <c r="I334" i="5"/>
  <c r="L334" i="5" s="1"/>
  <c r="O509" i="1"/>
  <c r="I177" i="5"/>
  <c r="L177" i="5" s="1"/>
  <c r="I377" i="5"/>
  <c r="L377" i="5" s="1"/>
  <c r="O2109" i="246" s="1"/>
  <c r="R2109" i="246" s="1"/>
  <c r="O2138" i="1"/>
  <c r="I260" i="5"/>
  <c r="L260" i="5" s="1"/>
  <c r="J1316" i="246" s="1"/>
  <c r="I219" i="5"/>
  <c r="L219" i="5" s="1"/>
  <c r="O1951" i="246" s="1"/>
  <c r="R1951" i="246" s="1"/>
  <c r="O1758" i="1"/>
  <c r="I356" i="5"/>
  <c r="L356" i="5" s="1"/>
  <c r="O1728" i="246" s="1"/>
  <c r="R1728" i="246" s="1"/>
  <c r="O1759" i="1"/>
  <c r="I357" i="5"/>
  <c r="L357" i="5" s="1"/>
  <c r="O1729" i="246" s="1"/>
  <c r="R1729" i="246" s="1"/>
  <c r="N11" i="5"/>
  <c r="O894" i="1" s="1"/>
  <c r="R894" i="1" s="1"/>
  <c r="I376" i="5"/>
  <c r="L376" i="5" s="1"/>
  <c r="O2108" i="246" s="1"/>
  <c r="R2108" i="246" s="1"/>
  <c r="O2137" i="1"/>
  <c r="N225" i="5"/>
  <c r="O2046" i="1" s="1"/>
  <c r="N73" i="5"/>
  <c r="N106" i="5"/>
  <c r="N105" i="5"/>
  <c r="N171" i="5"/>
  <c r="O2453" i="1"/>
  <c r="R2453" i="1" s="1"/>
  <c r="O1107" i="1"/>
  <c r="R1104" i="1" s="1"/>
  <c r="O1086" i="1"/>
  <c r="O1078" i="1"/>
  <c r="O2450" i="1"/>
  <c r="R2450" i="1" s="1"/>
  <c r="O1015" i="1"/>
  <c r="C1602" i="246" l="1"/>
  <c r="U2046" i="1"/>
  <c r="R2046" i="1"/>
  <c r="G10" i="229"/>
  <c r="R2053" i="246"/>
  <c r="R2246" i="1"/>
  <c r="R2245" i="1"/>
  <c r="R2228" i="1"/>
  <c r="C1631" i="1"/>
  <c r="O2032" i="1"/>
  <c r="U2032" i="1" s="1"/>
  <c r="O2007" i="1"/>
  <c r="O2033" i="1"/>
  <c r="U2033" i="1" s="1"/>
  <c r="O2062" i="1"/>
  <c r="U2062" i="1" s="1"/>
  <c r="I221" i="5"/>
  <c r="U1221" i="1"/>
  <c r="O1218" i="1" s="1"/>
  <c r="R1218" i="1" s="1"/>
  <c r="R1221" i="1"/>
  <c r="O1937" i="246"/>
  <c r="R1937" i="246" s="1"/>
  <c r="O1938" i="246"/>
  <c r="R1938" i="246" s="1"/>
  <c r="M1338" i="1"/>
  <c r="M1360" i="1" s="1"/>
  <c r="M1730" i="1"/>
  <c r="R1730" i="1" s="1"/>
  <c r="G27" i="229"/>
  <c r="M1733" i="1"/>
  <c r="R1733" i="1" s="1"/>
  <c r="G30" i="229"/>
  <c r="H33" i="240"/>
  <c r="M1323" i="1"/>
  <c r="O1313" i="1"/>
  <c r="O1338" i="1"/>
  <c r="J1323" i="1"/>
  <c r="M1721" i="1"/>
  <c r="R1721" i="1" s="1"/>
  <c r="G17" i="229"/>
  <c r="M1732" i="1"/>
  <c r="R1732" i="1" s="1"/>
  <c r="G29" i="229"/>
  <c r="M1729" i="1"/>
  <c r="R1729" i="1" s="1"/>
  <c r="G26" i="229"/>
  <c r="H1323" i="1"/>
  <c r="O1324" i="1"/>
  <c r="K1323" i="1"/>
  <c r="O2325" i="1"/>
  <c r="R2325" i="1" s="1"/>
  <c r="Z2007" i="1"/>
  <c r="E244" i="4"/>
  <c r="H1338" i="246"/>
  <c r="K1338" i="246"/>
  <c r="J1338" i="246"/>
  <c r="O572" i="246"/>
  <c r="R577" i="246" s="1"/>
  <c r="F236" i="4"/>
  <c r="O2421" i="1"/>
  <c r="R2421" i="1" s="1"/>
  <c r="L330" i="5"/>
  <c r="G13" i="229" s="1"/>
  <c r="O2319" i="1"/>
  <c r="M1818" i="1"/>
  <c r="R1818" i="1" s="1"/>
  <c r="O1788" i="246"/>
  <c r="R1788" i="246" s="1"/>
  <c r="O1789" i="246"/>
  <c r="R1789" i="246" s="1"/>
  <c r="M1819" i="1"/>
  <c r="R1819" i="1" s="1"/>
  <c r="O2132" i="246"/>
  <c r="R2132" i="246" s="1"/>
  <c r="O1787" i="246"/>
  <c r="R1787" i="246" s="1"/>
  <c r="M1817" i="1"/>
  <c r="R1817" i="1" s="1"/>
  <c r="M1900" i="1"/>
  <c r="R1897" i="1" s="1"/>
  <c r="R1898" i="1" s="1"/>
  <c r="O1870" i="246"/>
  <c r="O1867" i="246" s="1"/>
  <c r="O1862" i="246"/>
  <c r="O1859" i="246" s="1"/>
  <c r="M1892" i="1"/>
  <c r="U1889" i="1"/>
  <c r="O1870" i="1"/>
  <c r="X566" i="1" s="1"/>
  <c r="O1639" i="246"/>
  <c r="R1639" i="246" s="1"/>
  <c r="M1816" i="1"/>
  <c r="R1816" i="1" s="1"/>
  <c r="O1786" i="246"/>
  <c r="R1786" i="246" s="1"/>
  <c r="H12" i="178"/>
  <c r="O1814" i="1"/>
  <c r="D482" i="1"/>
  <c r="O1691" i="246"/>
  <c r="R1691" i="246" s="1"/>
  <c r="O2083" i="246"/>
  <c r="R2083" i="246" s="1"/>
  <c r="G15" i="178"/>
  <c r="O2085" i="246"/>
  <c r="R2085" i="246" s="1"/>
  <c r="G17" i="178"/>
  <c r="O1702" i="246"/>
  <c r="R1702" i="246" s="1"/>
  <c r="O1703" i="246"/>
  <c r="R1703" i="246" s="1"/>
  <c r="O1699" i="246"/>
  <c r="R1699" i="246" s="1"/>
  <c r="O2084" i="246"/>
  <c r="R2084" i="246" s="1"/>
  <c r="G16" i="178"/>
  <c r="O2082" i="246"/>
  <c r="R2082" i="246" s="1"/>
  <c r="G14" i="178"/>
  <c r="O1700" i="246"/>
  <c r="R1700" i="246" s="1"/>
  <c r="O509" i="246"/>
  <c r="R509" i="246" s="1"/>
  <c r="O2133" i="246"/>
  <c r="R2133" i="246" s="1"/>
  <c r="R2131" i="246"/>
  <c r="R1760" i="246"/>
  <c r="S1760" i="246"/>
  <c r="O1670" i="246"/>
  <c r="O482" i="246"/>
  <c r="O1604" i="246"/>
  <c r="D482" i="246"/>
  <c r="O1835" i="246"/>
  <c r="O528" i="1"/>
  <c r="V527" i="1"/>
  <c r="R527" i="1"/>
  <c r="M1928" i="1"/>
  <c r="R1928" i="1" s="1"/>
  <c r="M1700" i="1"/>
  <c r="E191" i="231"/>
  <c r="F191" i="231" s="1"/>
  <c r="G191" i="231" s="1"/>
  <c r="M1635" i="1"/>
  <c r="R1635" i="1" s="1"/>
  <c r="M1759" i="1"/>
  <c r="R1759" i="1" s="1"/>
  <c r="M2138" i="1"/>
  <c r="R2138" i="1" s="1"/>
  <c r="M1636" i="1"/>
  <c r="R1636" i="1" s="1"/>
  <c r="M2112" i="1"/>
  <c r="R2112" i="1" s="1"/>
  <c r="M2114" i="1"/>
  <c r="R2114" i="1" s="1"/>
  <c r="M2163" i="1"/>
  <c r="R2163" i="1" s="1"/>
  <c r="M2111" i="1"/>
  <c r="R2111" i="1" s="1"/>
  <c r="M1634" i="1"/>
  <c r="R1634" i="1" s="1"/>
  <c r="M1668" i="1"/>
  <c r="R1668" i="1" s="1"/>
  <c r="M1637" i="1"/>
  <c r="R1637" i="1" s="1"/>
  <c r="M1758" i="1"/>
  <c r="R1758" i="1" s="1"/>
  <c r="M1666" i="1"/>
  <c r="R1666" i="1" s="1"/>
  <c r="M1667" i="1"/>
  <c r="R1667" i="1" s="1"/>
  <c r="M2113" i="1"/>
  <c r="R2113" i="1" s="1"/>
  <c r="M2137" i="1"/>
  <c r="R2137" i="1" s="1"/>
  <c r="O1142" i="1"/>
  <c r="R1142" i="1" s="1"/>
  <c r="G11" i="168"/>
  <c r="O1141" i="1"/>
  <c r="O1640" i="1"/>
  <c r="X482" i="1" s="1"/>
  <c r="M1975" i="1"/>
  <c r="R1975" i="1" s="1"/>
  <c r="G18" i="169"/>
  <c r="M1967" i="1"/>
  <c r="R1967" i="1" s="1"/>
  <c r="G10" i="169"/>
  <c r="M1978" i="1"/>
  <c r="R1978" i="1" s="1"/>
  <c r="G21" i="169"/>
  <c r="M1977" i="1"/>
  <c r="R1977" i="1" s="1"/>
  <c r="G20" i="169"/>
  <c r="M1980" i="1"/>
  <c r="R1980" i="1" s="1"/>
  <c r="G23" i="169"/>
  <c r="M1976" i="1"/>
  <c r="R1976" i="1" s="1"/>
  <c r="G19" i="169"/>
  <c r="M1981" i="1"/>
  <c r="R1981" i="1" s="1"/>
  <c r="G24" i="169"/>
  <c r="M1979" i="1"/>
  <c r="R1979" i="1" s="1"/>
  <c r="G22" i="169"/>
  <c r="M1968" i="1"/>
  <c r="R1968" i="1" s="1"/>
  <c r="G11" i="169"/>
  <c r="R428" i="1"/>
  <c r="O2372" i="1"/>
  <c r="R2372" i="1" s="1"/>
  <c r="O1016" i="1"/>
  <c r="R1016" i="1" s="1"/>
  <c r="O1136" i="1"/>
  <c r="O2355" i="1"/>
  <c r="R2355" i="1" s="1"/>
  <c r="O2366" i="1"/>
  <c r="R2366" i="1" s="1"/>
  <c r="O2424" i="1"/>
  <c r="R2424" i="1" s="1"/>
  <c r="O2361" i="1"/>
  <c r="R2361" i="1" s="1"/>
  <c r="O2360" i="1"/>
  <c r="R2360" i="1" s="1"/>
  <c r="O2430" i="1"/>
  <c r="R2430" i="1" s="1"/>
  <c r="O2359" i="1"/>
  <c r="R2359" i="1" s="1"/>
  <c r="O2427" i="1"/>
  <c r="R2427" i="1" s="1"/>
  <c r="O552" i="1"/>
  <c r="O1140" i="1"/>
  <c r="O2411" i="1"/>
  <c r="R2411" i="1" s="1"/>
  <c r="O2412" i="1"/>
  <c r="R2412" i="1" s="1"/>
  <c r="O1135" i="1"/>
  <c r="R1135" i="1" s="1"/>
  <c r="O2428" i="1"/>
  <c r="R2428" i="1" s="1"/>
  <c r="N265" i="5"/>
  <c r="J1331" i="1" s="1"/>
  <c r="J1339" i="1" s="1"/>
  <c r="J1361" i="1" s="1"/>
  <c r="N382" i="5"/>
  <c r="I318" i="5"/>
  <c r="L318" i="5" s="1"/>
  <c r="O1640" i="246" s="1"/>
  <c r="R1640" i="246" s="1"/>
  <c r="O1669" i="1"/>
  <c r="N383" i="5"/>
  <c r="N314" i="5"/>
  <c r="O1075" i="1"/>
  <c r="R1078" i="1"/>
  <c r="R1086" i="1"/>
  <c r="M509" i="1"/>
  <c r="R994" i="1"/>
  <c r="M1790" i="1"/>
  <c r="G93" i="187"/>
  <c r="G37" i="167"/>
  <c r="M2083" i="1"/>
  <c r="R2083" i="1" s="1"/>
  <c r="H39" i="178"/>
  <c r="O1820" i="1"/>
  <c r="I373" i="5"/>
  <c r="L373" i="5" s="1"/>
  <c r="I355" i="5"/>
  <c r="L355" i="5" s="1"/>
  <c r="O1757" i="1"/>
  <c r="R916" i="1"/>
  <c r="T212" i="5"/>
  <c r="I367" i="5"/>
  <c r="L367" i="5" s="1"/>
  <c r="O2109" i="1"/>
  <c r="M2161" i="1"/>
  <c r="N188" i="5"/>
  <c r="N363" i="5"/>
  <c r="O1788" i="1" s="1"/>
  <c r="N364" i="5"/>
  <c r="O1789" i="1" s="1"/>
  <c r="R1015" i="1"/>
  <c r="M572" i="1"/>
  <c r="I397" i="5"/>
  <c r="L397" i="5" s="1"/>
  <c r="O2164" i="1"/>
  <c r="O2167" i="1" s="1"/>
  <c r="M482" i="1"/>
  <c r="M1633" i="1"/>
  <c r="R2340" i="1"/>
  <c r="N5" i="5"/>
  <c r="M561" i="1"/>
  <c r="M2082" i="1"/>
  <c r="R2082" i="1" s="1"/>
  <c r="G20" i="167"/>
  <c r="O507" i="1"/>
  <c r="I170" i="5"/>
  <c r="O1847" i="1"/>
  <c r="O551" i="1"/>
  <c r="N103" i="5"/>
  <c r="N210" i="5"/>
  <c r="N190" i="5"/>
  <c r="N110" i="5"/>
  <c r="O1051" i="1" s="1"/>
  <c r="N351" i="5"/>
  <c r="H28" i="229" s="1"/>
  <c r="N16" i="5"/>
  <c r="N347" i="5"/>
  <c r="H24" i="229" s="1"/>
  <c r="N362" i="5"/>
  <c r="N144" i="5"/>
  <c r="O2365" i="1"/>
  <c r="O1104" i="1"/>
  <c r="U1104" i="1" s="1"/>
  <c r="R1107" i="1"/>
  <c r="I276" i="5"/>
  <c r="L276" i="5" s="1"/>
  <c r="M1316" i="246" s="1"/>
  <c r="M2086" i="1"/>
  <c r="R2086" i="1" s="1"/>
  <c r="G91" i="167"/>
  <c r="L221" i="5"/>
  <c r="O526" i="1"/>
  <c r="I375" i="5"/>
  <c r="L375" i="5" s="1"/>
  <c r="C2105" i="246" s="1"/>
  <c r="O2136" i="1"/>
  <c r="O2141" i="1" s="1"/>
  <c r="M1865" i="1"/>
  <c r="E292" i="4"/>
  <c r="M2162" i="1"/>
  <c r="R2162" i="1" s="1"/>
  <c r="N45" i="5"/>
  <c r="C2134" i="1" l="1"/>
  <c r="R2239" i="1"/>
  <c r="R2264" i="1"/>
  <c r="R2238" i="1"/>
  <c r="R2261" i="1"/>
  <c r="R2230" i="1"/>
  <c r="R2231" i="1"/>
  <c r="R2249" i="1"/>
  <c r="R2263" i="1"/>
  <c r="R2262" i="1"/>
  <c r="R2237" i="1"/>
  <c r="R2229" i="1"/>
  <c r="R2232" i="1"/>
  <c r="R2233" i="1"/>
  <c r="R2235" i="1"/>
  <c r="R2234" i="1"/>
  <c r="R2236" i="1"/>
  <c r="O2135" i="246"/>
  <c r="R2135" i="246" s="1"/>
  <c r="C2129" i="246"/>
  <c r="R2248" i="1"/>
  <c r="R2247" i="1"/>
  <c r="C2158" i="1"/>
  <c r="M2032" i="1"/>
  <c r="S2032" i="1" s="1"/>
  <c r="O2003" i="246"/>
  <c r="S2003" i="246" s="1"/>
  <c r="O2029" i="1"/>
  <c r="R1224" i="1"/>
  <c r="R1223" i="1"/>
  <c r="R1220" i="1"/>
  <c r="R1219" i="1"/>
  <c r="O421" i="1"/>
  <c r="U421" i="1" s="1"/>
  <c r="O888" i="1"/>
  <c r="O897" i="1" s="1"/>
  <c r="O2295" i="1"/>
  <c r="R2295" i="1" s="1"/>
  <c r="O2265" i="246"/>
  <c r="R2265" i="246" s="1"/>
  <c r="X1313" i="1"/>
  <c r="O1323" i="1"/>
  <c r="J1334" i="1"/>
  <c r="X1338" i="1"/>
  <c r="O1360" i="1"/>
  <c r="M1338" i="246"/>
  <c r="O1316" i="246"/>
  <c r="O2294" i="1"/>
  <c r="R2294" i="1" s="1"/>
  <c r="O2264" i="246"/>
  <c r="R2264" i="246" s="1"/>
  <c r="O577" i="246"/>
  <c r="M1709" i="1"/>
  <c r="R1709" i="1" s="1"/>
  <c r="E253" i="4"/>
  <c r="O1679" i="246"/>
  <c r="R1679" i="246" s="1"/>
  <c r="R576" i="246"/>
  <c r="R571" i="246"/>
  <c r="R572" i="246"/>
  <c r="R575" i="246"/>
  <c r="R578" i="246"/>
  <c r="R570" i="246"/>
  <c r="R579" i="246"/>
  <c r="O1713" i="1"/>
  <c r="O1049" i="1"/>
  <c r="R1049" i="1" s="1"/>
  <c r="O1731" i="1"/>
  <c r="R1889" i="1"/>
  <c r="R1892" i="1" s="1"/>
  <c r="M1889" i="1"/>
  <c r="S1889" i="1" s="1"/>
  <c r="D528" i="1"/>
  <c r="X508" i="1"/>
  <c r="R1899" i="1"/>
  <c r="D526" i="1"/>
  <c r="R1903" i="1"/>
  <c r="R1900" i="1"/>
  <c r="R1867" i="246"/>
  <c r="S1867" i="246"/>
  <c r="V1900" i="1"/>
  <c r="M1897" i="1"/>
  <c r="S1897" i="1" s="1"/>
  <c r="V1892" i="1"/>
  <c r="S1859" i="246"/>
  <c r="R1859" i="246"/>
  <c r="O1784" i="246"/>
  <c r="M1814" i="1"/>
  <c r="R577" i="1"/>
  <c r="M577" i="1"/>
  <c r="D526" i="246"/>
  <c r="G12" i="178"/>
  <c r="O1727" i="246"/>
  <c r="R1604" i="246"/>
  <c r="O1611" i="246"/>
  <c r="R1611" i="246" s="1"/>
  <c r="O1790" i="246"/>
  <c r="R1790" i="246" s="1"/>
  <c r="D528" i="246"/>
  <c r="O2138" i="246"/>
  <c r="R2138" i="246" s="1"/>
  <c r="R2130" i="246" s="1"/>
  <c r="R482" i="246"/>
  <c r="R1670" i="246"/>
  <c r="O2107" i="246"/>
  <c r="O526" i="246"/>
  <c r="O2080" i="246"/>
  <c r="O528" i="246"/>
  <c r="O1929" i="1"/>
  <c r="O1927" i="1"/>
  <c r="M528" i="1"/>
  <c r="E192" i="231"/>
  <c r="F192" i="231" s="1"/>
  <c r="G192" i="231" s="1"/>
  <c r="M2164" i="1"/>
  <c r="M1669" i="1"/>
  <c r="R1669" i="1" s="1"/>
  <c r="R429" i="1"/>
  <c r="O1906" i="1"/>
  <c r="X509" i="1" s="1"/>
  <c r="H12" i="168"/>
  <c r="H10" i="168"/>
  <c r="O1972" i="1"/>
  <c r="H15" i="169"/>
  <c r="R1790" i="1"/>
  <c r="S1790" i="1"/>
  <c r="O1029" i="1"/>
  <c r="O555" i="1"/>
  <c r="M551" i="1" s="1"/>
  <c r="X526" i="1"/>
  <c r="X528" i="1"/>
  <c r="I190" i="5"/>
  <c r="L190" i="5" s="1"/>
  <c r="O1899" i="246" s="1"/>
  <c r="R1899" i="246" s="1"/>
  <c r="R1633" i="1"/>
  <c r="M1640" i="1"/>
  <c r="R1640" i="1" s="1"/>
  <c r="I188" i="5"/>
  <c r="L188" i="5" s="1"/>
  <c r="O1897" i="246" s="1"/>
  <c r="R1897" i="246" s="1"/>
  <c r="R509" i="1"/>
  <c r="M2136" i="1"/>
  <c r="M526" i="1"/>
  <c r="O2317" i="1"/>
  <c r="R482" i="1"/>
  <c r="H62" i="187"/>
  <c r="I363" i="5"/>
  <c r="L363" i="5" s="1"/>
  <c r="U1788" i="1"/>
  <c r="R2161" i="1"/>
  <c r="M2109" i="1"/>
  <c r="R2109" i="1" s="1"/>
  <c r="X428" i="1"/>
  <c r="R942" i="1"/>
  <c r="R915" i="1" s="1"/>
  <c r="G39" i="178"/>
  <c r="M1820" i="1"/>
  <c r="R1820" i="1" s="1"/>
  <c r="R1075" i="1"/>
  <c r="U1075" i="1"/>
  <c r="I383" i="5"/>
  <c r="L383" i="5" s="1"/>
  <c r="O2056" i="246" s="1"/>
  <c r="R2056" i="246" s="1"/>
  <c r="H74" i="167"/>
  <c r="O2085" i="1"/>
  <c r="I264" i="5"/>
  <c r="L264" i="5" s="1"/>
  <c r="J1317" i="246" s="1"/>
  <c r="N273" i="5"/>
  <c r="K1331" i="1" s="1"/>
  <c r="N257" i="5"/>
  <c r="H1331" i="1" s="1"/>
  <c r="I210" i="5"/>
  <c r="L210" i="5" s="1"/>
  <c r="O1942" i="246" s="1"/>
  <c r="R1942" i="246" s="1"/>
  <c r="O2410" i="1"/>
  <c r="R992" i="1"/>
  <c r="R997" i="1"/>
  <c r="R995" i="1"/>
  <c r="R996" i="1" s="1"/>
  <c r="R993" i="1"/>
  <c r="O483" i="1"/>
  <c r="O1665" i="1"/>
  <c r="O1672" i="1" s="1"/>
  <c r="I314" i="5"/>
  <c r="H54" i="167"/>
  <c r="O2084" i="1"/>
  <c r="I382" i="5"/>
  <c r="L382" i="5" s="1"/>
  <c r="O2055" i="246" s="1"/>
  <c r="N46" i="5"/>
  <c r="R2365" i="1"/>
  <c r="I347" i="5"/>
  <c r="L347" i="5" s="1"/>
  <c r="G24" i="229" s="1"/>
  <c r="I351" i="5"/>
  <c r="L351" i="5" s="1"/>
  <c r="L170" i="5"/>
  <c r="O551" i="246" s="1"/>
  <c r="U2319" i="1"/>
  <c r="R2319" i="1"/>
  <c r="H76" i="187"/>
  <c r="U1789" i="1"/>
  <c r="I364" i="5"/>
  <c r="L364" i="5" s="1"/>
  <c r="R1105" i="1"/>
  <c r="R1112" i="1"/>
  <c r="R1106" i="1"/>
  <c r="O2461" i="1"/>
  <c r="U2461" i="1" s="1"/>
  <c r="O1134" i="1"/>
  <c r="O440" i="1"/>
  <c r="U440" i="1" s="1"/>
  <c r="N344" i="5"/>
  <c r="R1700" i="1"/>
  <c r="O1787" i="1"/>
  <c r="U1787" i="1" s="1"/>
  <c r="I362" i="5"/>
  <c r="L362" i="5" s="1"/>
  <c r="O1757" i="246" s="1"/>
  <c r="H45" i="187"/>
  <c r="O2324" i="1"/>
  <c r="O423" i="1"/>
  <c r="X963" i="1" s="1"/>
  <c r="R1051" i="1"/>
  <c r="X507" i="1"/>
  <c r="U2337" i="1"/>
  <c r="R2337" i="1"/>
  <c r="M1757" i="1"/>
  <c r="M1789" i="1" l="1"/>
  <c r="O1759" i="246"/>
  <c r="O1758" i="246"/>
  <c r="S1758" i="246" s="1"/>
  <c r="M1788" i="1"/>
  <c r="R2055" i="246"/>
  <c r="R1620" i="246"/>
  <c r="R1603" i="246"/>
  <c r="R1650" i="1"/>
  <c r="R1632" i="1"/>
  <c r="R945" i="1"/>
  <c r="R911" i="1"/>
  <c r="R907" i="1"/>
  <c r="R946" i="1"/>
  <c r="R906" i="1"/>
  <c r="R910" i="1"/>
  <c r="R905" i="1"/>
  <c r="R912" i="1"/>
  <c r="R908" i="1"/>
  <c r="R947" i="1"/>
  <c r="R913" i="1"/>
  <c r="R909" i="1"/>
  <c r="R904" i="1"/>
  <c r="X421" i="1"/>
  <c r="J1345" i="1"/>
  <c r="J1356" i="1"/>
  <c r="M1731" i="1"/>
  <c r="G28" i="229"/>
  <c r="O1710" i="1"/>
  <c r="H21" i="229"/>
  <c r="H1339" i="1"/>
  <c r="H1361" i="1" s="1"/>
  <c r="H1334" i="1"/>
  <c r="R1308" i="1"/>
  <c r="R1309" i="1" s="1"/>
  <c r="V1360" i="1"/>
  <c r="K1339" i="1"/>
  <c r="K1361" i="1" s="1"/>
  <c r="K1334" i="1"/>
  <c r="O1338" i="246"/>
  <c r="U1338" i="246" s="1"/>
  <c r="J1339" i="246"/>
  <c r="J1312" i="246"/>
  <c r="M1713" i="1"/>
  <c r="R1713" i="1" s="1"/>
  <c r="E265" i="4"/>
  <c r="R1896" i="1"/>
  <c r="O1716" i="1"/>
  <c r="U1716" i="1" s="1"/>
  <c r="O1050" i="1"/>
  <c r="R1050" i="1" s="1"/>
  <c r="R1890" i="1"/>
  <c r="R1891" i="1"/>
  <c r="R1895" i="1"/>
  <c r="R1029" i="1"/>
  <c r="X1029" i="1"/>
  <c r="R1870" i="246"/>
  <c r="R1868" i="246"/>
  <c r="R1869" i="246"/>
  <c r="R1873" i="246"/>
  <c r="R1862" i="246"/>
  <c r="R1865" i="246"/>
  <c r="R1860" i="246"/>
  <c r="R1866" i="246"/>
  <c r="R1861" i="246"/>
  <c r="U482" i="246"/>
  <c r="O1683" i="246"/>
  <c r="R1683" i="246" s="1"/>
  <c r="O1701" i="246"/>
  <c r="R2124" i="246"/>
  <c r="R2123" i="246"/>
  <c r="R2120" i="246"/>
  <c r="R2137" i="246"/>
  <c r="R2127" i="246"/>
  <c r="R2125" i="246"/>
  <c r="R2140" i="246"/>
  <c r="R2126" i="246"/>
  <c r="R2139" i="246"/>
  <c r="R2136" i="246"/>
  <c r="R2142" i="246"/>
  <c r="R2121" i="246"/>
  <c r="R2141" i="246"/>
  <c r="R2119" i="246"/>
  <c r="R2128" i="246"/>
  <c r="R2144" i="246"/>
  <c r="R2143" i="246"/>
  <c r="R2129" i="246"/>
  <c r="R2122" i="246"/>
  <c r="R2080" i="246"/>
  <c r="R2107" i="246"/>
  <c r="O2112" i="246"/>
  <c r="R2112" i="246" s="1"/>
  <c r="R2106" i="246" s="1"/>
  <c r="S1757" i="246"/>
  <c r="R1757" i="246"/>
  <c r="R528" i="246"/>
  <c r="U528" i="246"/>
  <c r="R526" i="246"/>
  <c r="R1601" i="246"/>
  <c r="R1614" i="246"/>
  <c r="R1600" i="246"/>
  <c r="R1592" i="246"/>
  <c r="R1622" i="246"/>
  <c r="R1599" i="246"/>
  <c r="R1602" i="246"/>
  <c r="R1621" i="246"/>
  <c r="R1609" i="246"/>
  <c r="R1612" i="246"/>
  <c r="R1613" i="246" s="1"/>
  <c r="R1596" i="246"/>
  <c r="R1597" i="246"/>
  <c r="R1598" i="246"/>
  <c r="R1623" i="246"/>
  <c r="R1610" i="246"/>
  <c r="R1593" i="246"/>
  <c r="R1594" i="246"/>
  <c r="R1595" i="246"/>
  <c r="R1759" i="246"/>
  <c r="S1759" i="246"/>
  <c r="O1876" i="246"/>
  <c r="R1727" i="246"/>
  <c r="M1929" i="1"/>
  <c r="R1929" i="1" s="1"/>
  <c r="M1927" i="1"/>
  <c r="R1927" i="1" s="1"/>
  <c r="M2167" i="1"/>
  <c r="R2167" i="1" s="1"/>
  <c r="R2159" i="1" s="1"/>
  <c r="R944" i="1"/>
  <c r="E193" i="231"/>
  <c r="F193" i="231" s="1"/>
  <c r="G193" i="231" s="1"/>
  <c r="R1623" i="1"/>
  <c r="R1649" i="1"/>
  <c r="R1643" i="1"/>
  <c r="R2164" i="1"/>
  <c r="R2320" i="1"/>
  <c r="X577" i="1"/>
  <c r="G10" i="168"/>
  <c r="G12" i="168"/>
  <c r="M1972" i="1"/>
  <c r="R1972" i="1" s="1"/>
  <c r="G15" i="169"/>
  <c r="R576" i="1"/>
  <c r="R571" i="1"/>
  <c r="R575" i="1"/>
  <c r="R570" i="1"/>
  <c r="R579" i="1"/>
  <c r="R578" i="1"/>
  <c r="R572" i="1"/>
  <c r="L195" i="5"/>
  <c r="O1904" i="246" s="1"/>
  <c r="R1904" i="246" s="1"/>
  <c r="G404" i="5"/>
  <c r="G2" i="5" s="1"/>
  <c r="L194" i="5"/>
  <c r="O1903" i="246" s="1"/>
  <c r="R1903" i="246" s="1"/>
  <c r="U423" i="1"/>
  <c r="X555" i="1"/>
  <c r="V482" i="1"/>
  <c r="X483" i="1"/>
  <c r="R528" i="1"/>
  <c r="R2338" i="1"/>
  <c r="R2339" i="1"/>
  <c r="R2349" i="1"/>
  <c r="R2346" i="1"/>
  <c r="G76" i="187"/>
  <c r="I272" i="5"/>
  <c r="L272" i="5" s="1"/>
  <c r="K1317" i="246" s="1"/>
  <c r="R526" i="1"/>
  <c r="E287" i="4"/>
  <c r="E297" i="4"/>
  <c r="M2085" i="1"/>
  <c r="R2085" i="1" s="1"/>
  <c r="G74" i="167"/>
  <c r="U2317" i="1"/>
  <c r="R2136" i="1"/>
  <c r="M2141" i="1"/>
  <c r="R2141" i="1" s="1"/>
  <c r="R2135" i="1" s="1"/>
  <c r="N87" i="5"/>
  <c r="O438" i="1" s="1"/>
  <c r="R1757" i="1"/>
  <c r="I344" i="5"/>
  <c r="L344" i="5" s="1"/>
  <c r="R1077" i="1"/>
  <c r="R1076" i="1"/>
  <c r="R1081" i="1"/>
  <c r="R1082" i="1"/>
  <c r="R940" i="1"/>
  <c r="R914" i="1"/>
  <c r="R943" i="1"/>
  <c r="R941" i="1"/>
  <c r="G45" i="187"/>
  <c r="M1787" i="1"/>
  <c r="G54" i="167"/>
  <c r="M2084" i="1"/>
  <c r="R2084" i="1" s="1"/>
  <c r="N186" i="5"/>
  <c r="O2321" i="1"/>
  <c r="O1180" i="1"/>
  <c r="I256" i="5"/>
  <c r="L256" i="5" s="1"/>
  <c r="H1317" i="246" s="1"/>
  <c r="H1312" i="246" s="1"/>
  <c r="G62" i="187"/>
  <c r="R1630" i="1"/>
  <c r="R1629" i="1"/>
  <c r="R1628" i="1"/>
  <c r="R1627" i="1"/>
  <c r="R1631" i="1"/>
  <c r="R1639" i="1"/>
  <c r="R1626" i="1"/>
  <c r="R1625" i="1"/>
  <c r="R1624" i="1"/>
  <c r="R1638" i="1"/>
  <c r="R1622" i="1"/>
  <c r="R1621" i="1"/>
  <c r="R1652" i="1"/>
  <c r="R1641" i="1"/>
  <c r="R1642" i="1" s="1"/>
  <c r="R1651" i="1"/>
  <c r="R1758" i="246" l="1"/>
  <c r="R1031" i="1"/>
  <c r="R1014" i="1"/>
  <c r="R1306" i="1"/>
  <c r="R1301" i="1"/>
  <c r="R1365" i="1"/>
  <c r="R1307" i="1"/>
  <c r="R1303" i="1"/>
  <c r="R1366" i="1"/>
  <c r="R1305" i="1"/>
  <c r="R1300" i="1"/>
  <c r="R1364" i="1"/>
  <c r="R1302" i="1"/>
  <c r="R1304" i="1"/>
  <c r="R1367" i="1"/>
  <c r="R1311" i="1"/>
  <c r="R1310" i="1"/>
  <c r="R1363" i="1"/>
  <c r="R1731" i="1"/>
  <c r="R1362" i="1"/>
  <c r="R1346" i="1"/>
  <c r="R1359" i="1"/>
  <c r="R1349" i="1"/>
  <c r="R1318" i="1"/>
  <c r="R1356" i="1"/>
  <c r="R1335" i="1"/>
  <c r="R1321" i="1"/>
  <c r="R1336" i="1"/>
  <c r="R1328" i="1"/>
  <c r="R1345" i="1"/>
  <c r="R1352" i="1"/>
  <c r="R1343" i="1"/>
  <c r="R1322" i="1"/>
  <c r="R1361" i="1"/>
  <c r="R1340" i="1"/>
  <c r="R1342" i="1"/>
  <c r="R1339" i="1"/>
  <c r="R1324" i="1"/>
  <c r="R1357" i="1"/>
  <c r="R1353" i="1"/>
  <c r="R1338" i="1"/>
  <c r="R1313" i="1"/>
  <c r="R1334" i="1"/>
  <c r="R1347" i="1"/>
  <c r="R1329" i="1"/>
  <c r="R1312" i="1"/>
  <c r="R1360" i="1"/>
  <c r="R1316" i="1"/>
  <c r="R1315" i="1"/>
  <c r="R1325" i="1"/>
  <c r="R1344" i="1"/>
  <c r="R1323" i="1"/>
  <c r="R1317" i="1"/>
  <c r="R1326" i="1"/>
  <c r="R1314" i="1"/>
  <c r="R1350" i="1"/>
  <c r="R1337" i="1"/>
  <c r="R1333" i="1"/>
  <c r="R1327" i="1"/>
  <c r="R1351" i="1"/>
  <c r="R1330" i="1"/>
  <c r="R1358" i="1"/>
  <c r="R1320" i="1"/>
  <c r="R1355" i="1"/>
  <c r="R1341" i="1"/>
  <c r="R1354" i="1"/>
  <c r="R1332" i="1"/>
  <c r="R1331" i="1"/>
  <c r="R1319" i="1"/>
  <c r="R1348" i="1"/>
  <c r="K1345" i="1"/>
  <c r="K1356" i="1"/>
  <c r="E256" i="4"/>
  <c r="G21" i="229"/>
  <c r="H1345" i="1"/>
  <c r="H1356" i="1"/>
  <c r="R1307" i="246"/>
  <c r="R1308" i="246" s="1"/>
  <c r="K1339" i="246"/>
  <c r="K1312" i="246"/>
  <c r="H1339" i="246"/>
  <c r="J1334" i="246"/>
  <c r="J1323" i="246"/>
  <c r="J16" i="26"/>
  <c r="R1006" i="1"/>
  <c r="R1011" i="1"/>
  <c r="R1035" i="1"/>
  <c r="R1009" i="1"/>
  <c r="R1034" i="1"/>
  <c r="R1010" i="1"/>
  <c r="R1028" i="1"/>
  <c r="R1013" i="1"/>
  <c r="R1012" i="1"/>
  <c r="R1027" i="1"/>
  <c r="R1008" i="1"/>
  <c r="R1004" i="1"/>
  <c r="R1005" i="1"/>
  <c r="R1007" i="1"/>
  <c r="R1033" i="1"/>
  <c r="R1030" i="1"/>
  <c r="R1003" i="1"/>
  <c r="R1032" i="1"/>
  <c r="M1710" i="1"/>
  <c r="R1701" i="246"/>
  <c r="U526" i="246"/>
  <c r="R1876" i="246"/>
  <c r="R1858" i="246" s="1"/>
  <c r="O1680" i="246"/>
  <c r="U509" i="246"/>
  <c r="U577" i="246"/>
  <c r="R2110" i="246"/>
  <c r="R2097" i="246"/>
  <c r="R2116" i="246"/>
  <c r="R2102" i="246"/>
  <c r="R2113" i="246"/>
  <c r="R2100" i="246"/>
  <c r="R2098" i="246"/>
  <c r="R2105" i="246"/>
  <c r="R2103" i="246"/>
  <c r="R2096" i="246"/>
  <c r="R2101" i="246"/>
  <c r="R2095" i="246"/>
  <c r="R2111" i="246"/>
  <c r="R2099" i="246"/>
  <c r="R2118" i="246"/>
  <c r="R2104" i="246"/>
  <c r="R2115" i="246"/>
  <c r="R2117" i="246"/>
  <c r="R2114" i="246"/>
  <c r="O1925" i="1"/>
  <c r="M1934" i="1"/>
  <c r="R1934" i="1" s="1"/>
  <c r="M1933" i="1"/>
  <c r="R1933" i="1" s="1"/>
  <c r="R2150" i="1"/>
  <c r="R2169" i="1"/>
  <c r="R2126" i="1"/>
  <c r="R2143" i="1"/>
  <c r="E194" i="231"/>
  <c r="F194" i="231" s="1"/>
  <c r="G194" i="231" s="1"/>
  <c r="R2152" i="1"/>
  <c r="R2168" i="1"/>
  <c r="R2172" i="1"/>
  <c r="R2154" i="1"/>
  <c r="R2165" i="1"/>
  <c r="R2158" i="1"/>
  <c r="V528" i="1"/>
  <c r="R2156" i="1"/>
  <c r="R2171" i="1"/>
  <c r="R2151" i="1"/>
  <c r="R2170" i="1"/>
  <c r="R2149" i="1"/>
  <c r="R2173" i="1"/>
  <c r="R2153" i="1"/>
  <c r="R2157" i="1"/>
  <c r="R2166" i="1"/>
  <c r="R2148" i="1"/>
  <c r="R2155" i="1"/>
  <c r="R2350" i="1"/>
  <c r="R2347" i="1"/>
  <c r="M1906" i="1"/>
  <c r="V509" i="1" s="1"/>
  <c r="G16" i="168"/>
  <c r="G17" i="168"/>
  <c r="H8" i="168"/>
  <c r="R1788" i="1"/>
  <c r="S1788" i="1"/>
  <c r="R1787" i="1"/>
  <c r="S1787" i="1"/>
  <c r="R1789" i="1"/>
  <c r="S1789" i="1"/>
  <c r="E322" i="4"/>
  <c r="E317" i="4"/>
  <c r="U2321" i="1"/>
  <c r="V526" i="1"/>
  <c r="O1087" i="1"/>
  <c r="O2451" i="1"/>
  <c r="O2446" i="1" s="1"/>
  <c r="X440" i="1"/>
  <c r="O426" i="1"/>
  <c r="I186" i="5"/>
  <c r="R2139" i="1"/>
  <c r="R2128" i="1"/>
  <c r="R2127" i="1"/>
  <c r="R2129" i="1"/>
  <c r="R2146" i="1"/>
  <c r="R2124" i="1"/>
  <c r="R2144" i="1"/>
  <c r="R2147" i="1"/>
  <c r="R2125" i="1"/>
  <c r="R2140" i="1"/>
  <c r="R2145" i="1"/>
  <c r="R2134" i="1"/>
  <c r="R2142" i="1"/>
  <c r="R2132" i="1"/>
  <c r="R2131" i="1"/>
  <c r="R2130" i="1"/>
  <c r="R2133" i="1"/>
  <c r="N187" i="5"/>
  <c r="J6" i="5" l="1"/>
  <c r="L6" i="5" s="1"/>
  <c r="M889" i="1" s="1"/>
  <c r="R889" i="1" s="1"/>
  <c r="J289" i="5"/>
  <c r="L289" i="5" s="1"/>
  <c r="O1560" i="246" s="1"/>
  <c r="R1301" i="246"/>
  <c r="R1303" i="246"/>
  <c r="R1345" i="246"/>
  <c r="R1304" i="246"/>
  <c r="R1299" i="246"/>
  <c r="R1310" i="246"/>
  <c r="R1306" i="246"/>
  <c r="R1302" i="246"/>
  <c r="R1344" i="246"/>
  <c r="R1305" i="246"/>
  <c r="R1300" i="246"/>
  <c r="R1343" i="246"/>
  <c r="R1329" i="246"/>
  <c r="R1309" i="246"/>
  <c r="J335" i="5"/>
  <c r="L335" i="5" s="1"/>
  <c r="M1722" i="1" s="1"/>
  <c r="R1722" i="1" s="1"/>
  <c r="J171" i="5"/>
  <c r="L171" i="5" s="1"/>
  <c r="J227" i="5"/>
  <c r="L227" i="5" s="1"/>
  <c r="R1315" i="246"/>
  <c r="R1320" i="246"/>
  <c r="R1337" i="246"/>
  <c r="R1334" i="246"/>
  <c r="R1338" i="246"/>
  <c r="R1321" i="246"/>
  <c r="R1318" i="246"/>
  <c r="R1314" i="246"/>
  <c r="R1342" i="246"/>
  <c r="R1332" i="246"/>
  <c r="R1311" i="246"/>
  <c r="R1335" i="246"/>
  <c r="R1330" i="246"/>
  <c r="R1323" i="246"/>
  <c r="R1327" i="246"/>
  <c r="R1340" i="246"/>
  <c r="R1339" i="246"/>
  <c r="R1336" i="246"/>
  <c r="R1331" i="246"/>
  <c r="R1319" i="246"/>
  <c r="R1317" i="246"/>
  <c r="R1316" i="246"/>
  <c r="R1328" i="246"/>
  <c r="R1324" i="246"/>
  <c r="R1312" i="246"/>
  <c r="R1325" i="246"/>
  <c r="R1333" i="246"/>
  <c r="R1313" i="246"/>
  <c r="R1326" i="246"/>
  <c r="R1322" i="246"/>
  <c r="R1341" i="246"/>
  <c r="K1334" i="246"/>
  <c r="K1323" i="246"/>
  <c r="H1323" i="246"/>
  <c r="H1334" i="246"/>
  <c r="J15" i="26"/>
  <c r="J108" i="5" s="1"/>
  <c r="L108" i="5" s="1"/>
  <c r="R1710" i="1"/>
  <c r="R1680" i="246"/>
  <c r="R1874" i="246"/>
  <c r="R1848" i="246"/>
  <c r="R1847" i="246"/>
  <c r="R1880" i="246"/>
  <c r="R1882" i="246"/>
  <c r="R1855" i="246"/>
  <c r="R1852" i="246"/>
  <c r="R1857" i="246"/>
  <c r="R1850" i="246"/>
  <c r="R1853" i="246"/>
  <c r="R1881" i="246"/>
  <c r="R1856" i="246"/>
  <c r="R1854" i="246"/>
  <c r="R1877" i="246"/>
  <c r="R1878" i="246"/>
  <c r="R1875" i="246"/>
  <c r="R1879" i="246"/>
  <c r="R1849" i="246"/>
  <c r="R1851" i="246"/>
  <c r="O1926" i="1"/>
  <c r="O1942" i="1" s="1"/>
  <c r="E195" i="231"/>
  <c r="F195" i="231" s="1"/>
  <c r="G195" i="231" s="1"/>
  <c r="R2348" i="1"/>
  <c r="V577" i="1"/>
  <c r="H9" i="168"/>
  <c r="H24" i="168" s="1"/>
  <c r="H28" i="168" s="1"/>
  <c r="H30" i="168" s="1"/>
  <c r="R1906" i="1"/>
  <c r="R1888" i="1" s="1"/>
  <c r="U438" i="1"/>
  <c r="R438" i="1"/>
  <c r="O516" i="1"/>
  <c r="O2349" i="1"/>
  <c r="R1087" i="1"/>
  <c r="O1083" i="1"/>
  <c r="I187" i="5"/>
  <c r="R2451" i="1"/>
  <c r="O2335" i="1"/>
  <c r="M2414" i="1" l="1"/>
  <c r="R2414" i="1" s="1"/>
  <c r="O2384" i="246"/>
  <c r="R2384" i="246" s="1"/>
  <c r="O2024" i="246"/>
  <c r="M2053" i="1"/>
  <c r="M2007" i="1"/>
  <c r="O1977" i="246"/>
  <c r="O2033" i="246"/>
  <c r="S2033" i="246" s="1"/>
  <c r="M2062" i="1"/>
  <c r="S2062" i="1" s="1"/>
  <c r="O1506" i="246"/>
  <c r="M1535" i="1"/>
  <c r="M1589" i="1"/>
  <c r="O480" i="246"/>
  <c r="M1544" i="1"/>
  <c r="S1544" i="1" s="1"/>
  <c r="M1539" i="1" s="1"/>
  <c r="O1515" i="246"/>
  <c r="S1515" i="246" s="1"/>
  <c r="O1510" i="246" s="1"/>
  <c r="M480" i="1"/>
  <c r="O888" i="246"/>
  <c r="R888" i="246" s="1"/>
  <c r="J233" i="5"/>
  <c r="L233" i="5" s="1"/>
  <c r="J141" i="5"/>
  <c r="L141" i="5" s="1"/>
  <c r="J304" i="5"/>
  <c r="L304" i="5" s="1"/>
  <c r="J207" i="5"/>
  <c r="L207" i="5" s="1"/>
  <c r="O1939" i="246" s="1"/>
  <c r="R1939" i="246" s="1"/>
  <c r="J360" i="5"/>
  <c r="O1692" i="246"/>
  <c r="R1692" i="246" s="1"/>
  <c r="O552" i="246"/>
  <c r="O555" i="246" s="1"/>
  <c r="M552" i="1"/>
  <c r="M555" i="1" s="1"/>
  <c r="M507" i="1"/>
  <c r="O507" i="246"/>
  <c r="M1847" i="1"/>
  <c r="O1817" i="246"/>
  <c r="Y2007" i="1"/>
  <c r="R2007" i="1" s="1"/>
  <c r="R2006" i="1" s="1"/>
  <c r="W1977" i="246"/>
  <c r="R1977" i="246" s="1"/>
  <c r="R1976" i="246" s="1"/>
  <c r="J13" i="5"/>
  <c r="L13" i="5" s="1"/>
  <c r="O2294" i="246" s="1"/>
  <c r="R2294" i="246" s="1"/>
  <c r="J5" i="5"/>
  <c r="L5" i="5" s="1"/>
  <c r="U1923" i="1"/>
  <c r="O1946" i="1" s="1"/>
  <c r="X516" i="1" s="1"/>
  <c r="E196" i="231"/>
  <c r="F196" i="231" s="1"/>
  <c r="G196" i="231" s="1"/>
  <c r="R439" i="1"/>
  <c r="R1887" i="1"/>
  <c r="R1879" i="1"/>
  <c r="R1885" i="1"/>
  <c r="R1905" i="1"/>
  <c r="R1881" i="1"/>
  <c r="R1911" i="1"/>
  <c r="R1910" i="1"/>
  <c r="R1878" i="1"/>
  <c r="R1883" i="1"/>
  <c r="R1884" i="1"/>
  <c r="R1908" i="1"/>
  <c r="R1909" i="1"/>
  <c r="R1912" i="1"/>
  <c r="R1880" i="1"/>
  <c r="R1907" i="1"/>
  <c r="R1882" i="1"/>
  <c r="R1877" i="1"/>
  <c r="R1904" i="1"/>
  <c r="R1886" i="1"/>
  <c r="U1083" i="1"/>
  <c r="O1115" i="1" s="1"/>
  <c r="R1083" i="1"/>
  <c r="U2446" i="1"/>
  <c r="R2446" i="1"/>
  <c r="S2053" i="1" l="1"/>
  <c r="R2053" i="1"/>
  <c r="S2024" i="246"/>
  <c r="R2024" i="246"/>
  <c r="D481" i="246"/>
  <c r="C1606" i="1"/>
  <c r="C1577" i="246"/>
  <c r="O1579" i="246"/>
  <c r="C1587" i="246"/>
  <c r="R1521" i="1"/>
  <c r="R1522" i="1"/>
  <c r="R1492" i="246"/>
  <c r="R1494" i="246" s="1"/>
  <c r="R1493" i="246"/>
  <c r="M1214" i="1"/>
  <c r="O1213" i="246"/>
  <c r="V480" i="1"/>
  <c r="R480" i="1"/>
  <c r="U480" i="246"/>
  <c r="R480" i="246"/>
  <c r="M2440" i="1"/>
  <c r="R2440" i="1" s="1"/>
  <c r="O2410" i="246"/>
  <c r="R2410" i="246" s="1"/>
  <c r="R1495" i="246"/>
  <c r="R1496" i="246" s="1"/>
  <c r="U1510" i="246"/>
  <c r="R1524" i="1"/>
  <c r="R1525" i="1" s="1"/>
  <c r="V1539" i="1"/>
  <c r="M481" i="1"/>
  <c r="R481" i="1" s="1"/>
  <c r="D481" i="1"/>
  <c r="C1616" i="1"/>
  <c r="M1608" i="1"/>
  <c r="M1613" i="1" s="1"/>
  <c r="O481" i="246"/>
  <c r="R481" i="246" s="1"/>
  <c r="M421" i="1"/>
  <c r="O421" i="246"/>
  <c r="M888" i="1"/>
  <c r="R888" i="1" s="1"/>
  <c r="O887" i="246"/>
  <c r="M1969" i="1"/>
  <c r="R1969" i="1" s="1"/>
  <c r="G12" i="169"/>
  <c r="U507" i="246"/>
  <c r="U555" i="246"/>
  <c r="V555" i="1"/>
  <c r="V507" i="1"/>
  <c r="M2324" i="1"/>
  <c r="R2324" i="1" s="1"/>
  <c r="M2317" i="1"/>
  <c r="O2287" i="246"/>
  <c r="E197" i="231"/>
  <c r="F197" i="231" s="1"/>
  <c r="G197" i="231" s="1"/>
  <c r="R2447" i="1"/>
  <c r="R2456" i="1"/>
  <c r="X438" i="1"/>
  <c r="R1115" i="1"/>
  <c r="R1074" i="1" s="1"/>
  <c r="R1103" i="1"/>
  <c r="R1102" i="1"/>
  <c r="R1085" i="1"/>
  <c r="R1084" i="1"/>
  <c r="R1579" i="246" l="1"/>
  <c r="O1584" i="246"/>
  <c r="R1584" i="246" s="1"/>
  <c r="R1519" i="1"/>
  <c r="R1523" i="1"/>
  <c r="R1548" i="1"/>
  <c r="R1550" i="1" s="1"/>
  <c r="R1552" i="1"/>
  <c r="R1519" i="246"/>
  <c r="R1520" i="246" s="1"/>
  <c r="R1523" i="246"/>
  <c r="R1559" i="246"/>
  <c r="R1562" i="246"/>
  <c r="R1566" i="246"/>
  <c r="R1560" i="246"/>
  <c r="R1561" i="246"/>
  <c r="R1563" i="246"/>
  <c r="R1564" i="246"/>
  <c r="R1558" i="246"/>
  <c r="R1565" i="246"/>
  <c r="R1482" i="246"/>
  <c r="R1485" i="246"/>
  <c r="R1595" i="1"/>
  <c r="R1592" i="1"/>
  <c r="R1593" i="1"/>
  <c r="R1520" i="1"/>
  <c r="R1589" i="1"/>
  <c r="R1513" i="1"/>
  <c r="R1594" i="1"/>
  <c r="R1516" i="1"/>
  <c r="R1517" i="1"/>
  <c r="R1514" i="1"/>
  <c r="R1518" i="1"/>
  <c r="R1591" i="1"/>
  <c r="R1512" i="1"/>
  <c r="R1587" i="1"/>
  <c r="R1590" i="1"/>
  <c r="R1511" i="1"/>
  <c r="R1515" i="1"/>
  <c r="R1588" i="1"/>
  <c r="R1487" i="246"/>
  <c r="R1488" i="246"/>
  <c r="R1490" i="246"/>
  <c r="R1484" i="246"/>
  <c r="R1491" i="246"/>
  <c r="R1486" i="246"/>
  <c r="R1489" i="246"/>
  <c r="R1483" i="246"/>
  <c r="R1213" i="246"/>
  <c r="S1213" i="246"/>
  <c r="O1210" i="246" s="1"/>
  <c r="R1210" i="246" s="1"/>
  <c r="S1214" i="1"/>
  <c r="M1211" i="1" s="1"/>
  <c r="R1211" i="1" s="1"/>
  <c r="R1214" i="1"/>
  <c r="R1518" i="246"/>
  <c r="R1513" i="246"/>
  <c r="R1503" i="246"/>
  <c r="R1517" i="246"/>
  <c r="R1501" i="246"/>
  <c r="R1498" i="246"/>
  <c r="R1500" i="246"/>
  <c r="R1510" i="246"/>
  <c r="R1504" i="246"/>
  <c r="R1506" i="246"/>
  <c r="R1509" i="246"/>
  <c r="R1508" i="246"/>
  <c r="R1515" i="246"/>
  <c r="R1514" i="246"/>
  <c r="R1499" i="246"/>
  <c r="R1511" i="246"/>
  <c r="R1512" i="246"/>
  <c r="R1497" i="246"/>
  <c r="R1537" i="1"/>
  <c r="R1527" i="1"/>
  <c r="R1538" i="1"/>
  <c r="R1526" i="1"/>
  <c r="R1530" i="1"/>
  <c r="R1535" i="1"/>
  <c r="R1541" i="1"/>
  <c r="R1528" i="1"/>
  <c r="R1532" i="1"/>
  <c r="R1533" i="1"/>
  <c r="R1540" i="1"/>
  <c r="R1546" i="1"/>
  <c r="R1529" i="1"/>
  <c r="R1544" i="1"/>
  <c r="R1543" i="1"/>
  <c r="R1542" i="1"/>
  <c r="R1539" i="1"/>
  <c r="R1547" i="1"/>
  <c r="R1608" i="1"/>
  <c r="R1590" i="246"/>
  <c r="O896" i="246"/>
  <c r="U421" i="246" s="1"/>
  <c r="R887" i="246"/>
  <c r="M897" i="1"/>
  <c r="V421" i="1" s="1"/>
  <c r="V481" i="1"/>
  <c r="R1613" i="1"/>
  <c r="R1607" i="1" s="1"/>
  <c r="S2287" i="246"/>
  <c r="R2287" i="246"/>
  <c r="R2288" i="246" s="1"/>
  <c r="S421" i="1"/>
  <c r="O290" i="1"/>
  <c r="M290" i="1" s="1"/>
  <c r="O290" i="246"/>
  <c r="S421" i="246"/>
  <c r="S2317" i="1"/>
  <c r="R2317" i="1"/>
  <c r="R2318" i="1" s="1"/>
  <c r="R1064" i="1"/>
  <c r="R1117" i="1"/>
  <c r="E198" i="231"/>
  <c r="F198" i="231" s="1"/>
  <c r="G198" i="231" s="1"/>
  <c r="R2448" i="1"/>
  <c r="R2457" i="1"/>
  <c r="R1116" i="1"/>
  <c r="R1069" i="1"/>
  <c r="R1071" i="1"/>
  <c r="R1065" i="1"/>
  <c r="R1113" i="1"/>
  <c r="R1066" i="1"/>
  <c r="R1063" i="1"/>
  <c r="R1121" i="1"/>
  <c r="R1118" i="1"/>
  <c r="R1120" i="1"/>
  <c r="R1070" i="1"/>
  <c r="R1119" i="1"/>
  <c r="R1067" i="1"/>
  <c r="R1072" i="1"/>
  <c r="R1073" i="1" s="1"/>
  <c r="R1068" i="1"/>
  <c r="R1062" i="1"/>
  <c r="R1114" i="1"/>
  <c r="R1578" i="246" l="1"/>
  <c r="R1574" i="246"/>
  <c r="R1567" i="246"/>
  <c r="R1572" i="246"/>
  <c r="R1576" i="246"/>
  <c r="R1587" i="246"/>
  <c r="R1573" i="246"/>
  <c r="R1582" i="246"/>
  <c r="R1583" i="246"/>
  <c r="R1577" i="246"/>
  <c r="R1568" i="246"/>
  <c r="R1585" i="246"/>
  <c r="R1586" i="246"/>
  <c r="R1570" i="246"/>
  <c r="R1571" i="246"/>
  <c r="R1575" i="246"/>
  <c r="R1569" i="246"/>
  <c r="R1551" i="1"/>
  <c r="R1521" i="246"/>
  <c r="R1522" i="246"/>
  <c r="R1549" i="1"/>
  <c r="R1525" i="246"/>
  <c r="R1530" i="246"/>
  <c r="R1531" i="246"/>
  <c r="R1526" i="246"/>
  <c r="R1528" i="246"/>
  <c r="R1524" i="246"/>
  <c r="R1532" i="246"/>
  <c r="R1527" i="246"/>
  <c r="R1529" i="246"/>
  <c r="R1559" i="1"/>
  <c r="R1560" i="1"/>
  <c r="R1561" i="1"/>
  <c r="R1554" i="1"/>
  <c r="R1557" i="1"/>
  <c r="R1556" i="1"/>
  <c r="R1553" i="1"/>
  <c r="R1555" i="1"/>
  <c r="R1558" i="1"/>
  <c r="R1212" i="1"/>
  <c r="R1216" i="1"/>
  <c r="R1213" i="1"/>
  <c r="R1217" i="1"/>
  <c r="R1212" i="246"/>
  <c r="R1216" i="246"/>
  <c r="R1211" i="246"/>
  <c r="R1215" i="246"/>
  <c r="U481" i="246"/>
  <c r="R1591" i="246"/>
  <c r="R1588" i="246"/>
  <c r="R1589" i="246"/>
  <c r="R1598" i="1"/>
  <c r="R1617" i="1"/>
  <c r="R1612" i="1"/>
  <c r="R1604" i="1"/>
  <c r="R1600" i="1"/>
  <c r="R1619" i="1"/>
  <c r="R1615" i="1"/>
  <c r="R1606" i="1"/>
  <c r="R1602" i="1"/>
  <c r="R1597" i="1"/>
  <c r="R1618" i="1"/>
  <c r="R1605" i="1"/>
  <c r="R1601" i="1"/>
  <c r="R1596" i="1"/>
  <c r="R1620" i="1"/>
  <c r="R1616" i="1"/>
  <c r="R1611" i="1"/>
  <c r="R1603" i="1"/>
  <c r="R1599" i="1"/>
  <c r="R1614" i="1"/>
  <c r="E199" i="231"/>
  <c r="F199" i="231" s="1"/>
  <c r="G199" i="231" s="1"/>
  <c r="R2458" i="1"/>
  <c r="R2459" i="1" s="1"/>
  <c r="R2460" i="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51" i="5"/>
  <c r="L151" i="5" s="1"/>
  <c r="O1140" i="246" s="1"/>
  <c r="R1140" i="246" s="1"/>
  <c r="J144" i="5"/>
  <c r="L144" i="5" s="1"/>
  <c r="L186" i="5"/>
  <c r="J150" i="5"/>
  <c r="L150" i="5" s="1"/>
  <c r="O1139" i="246" s="1"/>
  <c r="R1139" i="246" s="1"/>
  <c r="J146" i="5"/>
  <c r="L146" i="5" s="1"/>
  <c r="O1135" i="246" s="1"/>
  <c r="R1135" i="246" s="1"/>
  <c r="M2263" i="246" l="1"/>
  <c r="H376" i="4"/>
  <c r="M2293" i="1"/>
  <c r="O2431" i="246"/>
  <c r="O1133" i="246"/>
  <c r="O440" i="246"/>
  <c r="O1895" i="246"/>
  <c r="M1925" i="1"/>
  <c r="R1925" i="1" s="1"/>
  <c r="J187" i="5"/>
  <c r="L187" i="5" s="1"/>
  <c r="O1896" i="246" s="1"/>
  <c r="R1896" i="246" s="1"/>
  <c r="J24" i="5"/>
  <c r="L24" i="5" s="1"/>
  <c r="E207" i="231"/>
  <c r="F207" i="231" s="1"/>
  <c r="G207" i="231" s="1"/>
  <c r="M1141" i="1"/>
  <c r="R1141" i="1" s="1"/>
  <c r="M1134" i="1"/>
  <c r="R1134" i="1" s="1"/>
  <c r="J197" i="5"/>
  <c r="L197" i="5" s="1"/>
  <c r="O1906" i="246" s="1"/>
  <c r="R1906" i="246" s="1"/>
  <c r="M1140" i="1"/>
  <c r="R1140" i="1" s="1"/>
  <c r="G8" i="168"/>
  <c r="J103" i="5"/>
  <c r="L103" i="5" s="1"/>
  <c r="L199" i="5"/>
  <c r="O1908" i="246" s="1"/>
  <c r="R1908" i="246" s="1"/>
  <c r="E277" i="4"/>
  <c r="J204" i="5"/>
  <c r="M1136" i="1"/>
  <c r="M2461" i="1"/>
  <c r="M440" i="1"/>
  <c r="O2379" i="246" l="1"/>
  <c r="R1133" i="246"/>
  <c r="O1179" i="246"/>
  <c r="R1179" i="246" s="1"/>
  <c r="R1132" i="246" s="1"/>
  <c r="R440" i="246"/>
  <c r="S440" i="246"/>
  <c r="S2431" i="246"/>
  <c r="R2431" i="246"/>
  <c r="R1895" i="246"/>
  <c r="M1936" i="1"/>
  <c r="R1936" i="1" s="1"/>
  <c r="M1938" i="1"/>
  <c r="R1938" i="1" s="1"/>
  <c r="M1926" i="1"/>
  <c r="R1926" i="1" s="1"/>
  <c r="E208" i="231"/>
  <c r="F208" i="231" s="1"/>
  <c r="G208" i="231" s="1"/>
  <c r="G19" i="168"/>
  <c r="E332" i="4"/>
  <c r="G9" i="168"/>
  <c r="M2410" i="1"/>
  <c r="G21" i="168"/>
  <c r="E342" i="4"/>
  <c r="E282" i="4"/>
  <c r="S2461" i="1"/>
  <c r="R2461" i="1"/>
  <c r="R1136" i="1"/>
  <c r="M1180" i="1"/>
  <c r="S440" i="1"/>
  <c r="R440" i="1"/>
  <c r="R1183" i="246" l="1"/>
  <c r="R1128" i="246"/>
  <c r="R1180" i="246"/>
  <c r="R1129" i="246"/>
  <c r="R1127" i="246"/>
  <c r="R1122" i="246"/>
  <c r="R1124" i="246"/>
  <c r="R1181" i="246"/>
  <c r="R1177" i="246"/>
  <c r="R1123" i="246"/>
  <c r="R1121" i="246"/>
  <c r="R1131" i="246"/>
  <c r="R1130" i="246"/>
  <c r="R1184" i="246"/>
  <c r="R1126" i="246"/>
  <c r="R1178" i="246"/>
  <c r="R1125" i="246"/>
  <c r="R1182" i="246"/>
  <c r="R1185" i="246"/>
  <c r="R441" i="246"/>
  <c r="U440" i="246"/>
  <c r="R2379" i="246"/>
  <c r="R1180" i="1"/>
  <c r="E209" i="231"/>
  <c r="F209" i="231" s="1"/>
  <c r="G209" i="231" s="1"/>
  <c r="R441" i="1"/>
  <c r="R2410" i="1"/>
  <c r="V440" i="1"/>
  <c r="R1124" i="1" l="1"/>
  <c r="R1133" i="1"/>
  <c r="R1126" i="1"/>
  <c r="R1185" i="1"/>
  <c r="R1181" i="1"/>
  <c r="R1182" i="1"/>
  <c r="R1122" i="1"/>
  <c r="R1179" i="1"/>
  <c r="R1123" i="1"/>
  <c r="R1128" i="1"/>
  <c r="R1125" i="1"/>
  <c r="R1130" i="1"/>
  <c r="R1186" i="1"/>
  <c r="R1132" i="1"/>
  <c r="R1183" i="1"/>
  <c r="R1127" i="1"/>
  <c r="R1178" i="1"/>
  <c r="R1131" i="1"/>
  <c r="R1129" i="1"/>
  <c r="R1184" i="1"/>
  <c r="E210" i="231"/>
  <c r="F210" i="231" s="1"/>
  <c r="G210" i="231" s="1"/>
  <c r="E211" i="231" l="1"/>
  <c r="F211" i="231" s="1"/>
  <c r="G211" i="231" s="1"/>
  <c r="E212" i="231" l="1"/>
  <c r="F212" i="231" s="1"/>
  <c r="G212" i="231" s="1"/>
  <c r="E213" i="231" l="1"/>
  <c r="F213" i="231" s="1"/>
  <c r="G213" i="231" s="1"/>
  <c r="J76" i="26"/>
  <c r="J196" i="5" s="1"/>
  <c r="L196" i="5" s="1"/>
  <c r="O1905" i="246" s="1"/>
  <c r="R1905" i="246" s="1"/>
  <c r="J77" i="26"/>
  <c r="M1935" i="1" l="1"/>
  <c r="R1935" i="1" s="1"/>
  <c r="E327" i="4"/>
  <c r="G18" i="168"/>
  <c r="E214" i="231"/>
  <c r="F214" i="231" s="1"/>
  <c r="G214" i="231" s="1"/>
  <c r="J47" i="26"/>
  <c r="J250" i="5" s="1"/>
  <c r="L250" i="5" s="1"/>
  <c r="J46" i="26"/>
  <c r="N111" i="5"/>
  <c r="O432" i="1" s="1"/>
  <c r="N281" i="5"/>
  <c r="M1331" i="1" s="1"/>
  <c r="O1405" i="246" l="1"/>
  <c r="M1434" i="1"/>
  <c r="O1415" i="246"/>
  <c r="M1444" i="1"/>
  <c r="O479" i="246"/>
  <c r="M479" i="1"/>
  <c r="M1339" i="1"/>
  <c r="M1361" i="1" s="1"/>
  <c r="M1334" i="1"/>
  <c r="O1331" i="1"/>
  <c r="O1052" i="1"/>
  <c r="E215" i="231"/>
  <c r="F215" i="231" s="1"/>
  <c r="G215" i="231" s="1"/>
  <c r="J231" i="5"/>
  <c r="L231" i="5" s="1"/>
  <c r="J192" i="5"/>
  <c r="L192" i="5" s="1"/>
  <c r="I280" i="5"/>
  <c r="L280" i="5" s="1"/>
  <c r="M1317" i="246" s="1"/>
  <c r="O478" i="1"/>
  <c r="O2415" i="1"/>
  <c r="C1923" i="1" l="1"/>
  <c r="D527" i="246"/>
  <c r="C1893" i="246"/>
  <c r="D527" i="1"/>
  <c r="S1405" i="246"/>
  <c r="O1410" i="246" s="1"/>
  <c r="R1405" i="246"/>
  <c r="R479" i="1"/>
  <c r="R479" i="246"/>
  <c r="R1434" i="1"/>
  <c r="S1434" i="1"/>
  <c r="O1205" i="246"/>
  <c r="S1205" i="246" s="1"/>
  <c r="M1206" i="1"/>
  <c r="S1206" i="1" s="1"/>
  <c r="O1339" i="1"/>
  <c r="O1334" i="1"/>
  <c r="M1345" i="1"/>
  <c r="M1356" i="1"/>
  <c r="M1339" i="246"/>
  <c r="M1312" i="246"/>
  <c r="O1317" i="246"/>
  <c r="D516" i="1"/>
  <c r="D516" i="246"/>
  <c r="O1901" i="246"/>
  <c r="O516" i="246"/>
  <c r="O478" i="246"/>
  <c r="R478" i="246" s="1"/>
  <c r="M1931" i="1"/>
  <c r="E216" i="231"/>
  <c r="F216" i="231" s="1"/>
  <c r="G216" i="231" s="1"/>
  <c r="E307" i="4"/>
  <c r="G14" i="168"/>
  <c r="G24" i="168" s="1"/>
  <c r="G28" i="168" s="1"/>
  <c r="G30" i="168" s="1"/>
  <c r="M516" i="1"/>
  <c r="U432" i="1"/>
  <c r="R2415" i="1"/>
  <c r="O2404" i="1"/>
  <c r="M478" i="1"/>
  <c r="R478" i="1" s="1"/>
  <c r="R1052" i="1"/>
  <c r="U1410" i="246" l="1"/>
  <c r="U1476" i="246"/>
  <c r="O1401" i="246"/>
  <c r="R1401" i="246" s="1"/>
  <c r="R1402" i="246" s="1"/>
  <c r="U479" i="246"/>
  <c r="M1439" i="1"/>
  <c r="V1505" i="1" s="1"/>
  <c r="M1430" i="1"/>
  <c r="R1430" i="1" s="1"/>
  <c r="X1334" i="1"/>
  <c r="X1342" i="1"/>
  <c r="O1345" i="1"/>
  <c r="O1356" i="1"/>
  <c r="V1356" i="1" s="1"/>
  <c r="X1339" i="1"/>
  <c r="O1361" i="1"/>
  <c r="V1361" i="1" s="1"/>
  <c r="M1323" i="246"/>
  <c r="M1334" i="246"/>
  <c r="O1339" i="246"/>
  <c r="U1339" i="246" s="1"/>
  <c r="O1312" i="246"/>
  <c r="X478" i="1"/>
  <c r="R516" i="246"/>
  <c r="R1901" i="246"/>
  <c r="O1912" i="246"/>
  <c r="R1916" i="246"/>
  <c r="R1894" i="246" s="1"/>
  <c r="S1893" i="246"/>
  <c r="O1916" i="246" s="1"/>
  <c r="U516" i="246" s="1"/>
  <c r="R1946" i="1"/>
  <c r="R1924" i="1" s="1"/>
  <c r="M1942" i="1"/>
  <c r="R1931" i="1"/>
  <c r="R516" i="1"/>
  <c r="E217" i="231"/>
  <c r="F217" i="231" s="1"/>
  <c r="G217" i="231" s="1"/>
  <c r="S1923" i="1"/>
  <c r="M1946" i="1" s="1"/>
  <c r="U2404" i="1"/>
  <c r="R1407" i="246" l="1"/>
  <c r="R1403" i="246"/>
  <c r="R1406" i="246"/>
  <c r="R1436" i="1"/>
  <c r="R1435" i="1"/>
  <c r="R1431" i="1"/>
  <c r="R1432" i="1"/>
  <c r="V1439" i="1"/>
  <c r="V479" i="1"/>
  <c r="O1334" i="246"/>
  <c r="U1342" i="246" s="1"/>
  <c r="U1312" i="246"/>
  <c r="O1323" i="246"/>
  <c r="R1919" i="246"/>
  <c r="R1920" i="246"/>
  <c r="R1884" i="246"/>
  <c r="R1889" i="246"/>
  <c r="R1891" i="246"/>
  <c r="R1887" i="246"/>
  <c r="R1921" i="246"/>
  <c r="R1922" i="246"/>
  <c r="R1892" i="246"/>
  <c r="R1890" i="246"/>
  <c r="R1917" i="246"/>
  <c r="R1915" i="246"/>
  <c r="R1888" i="246"/>
  <c r="R1885" i="246"/>
  <c r="R1886" i="246"/>
  <c r="R1918" i="246"/>
  <c r="R1883" i="246"/>
  <c r="R1893" i="246"/>
  <c r="R1914" i="246"/>
  <c r="R1944" i="1"/>
  <c r="R1922" i="1"/>
  <c r="R1916" i="1"/>
  <c r="R1914" i="1"/>
  <c r="R1923" i="1"/>
  <c r="R1952" i="1"/>
  <c r="R1947" i="1"/>
  <c r="R1915" i="1"/>
  <c r="R1949" i="1"/>
  <c r="R1920" i="1"/>
  <c r="R1918" i="1"/>
  <c r="R1917" i="1"/>
  <c r="R1951" i="1"/>
  <c r="R1948" i="1"/>
  <c r="R1913" i="1"/>
  <c r="R1945" i="1"/>
  <c r="R1950" i="1"/>
  <c r="R1921" i="1"/>
  <c r="R1919" i="1"/>
  <c r="E218" i="231"/>
  <c r="F218" i="231" s="1"/>
  <c r="G218" i="231" s="1"/>
  <c r="V516" i="1"/>
  <c r="U1334" i="246" l="1"/>
  <c r="V478" i="1"/>
  <c r="U478" i="246"/>
  <c r="E219" i="231"/>
  <c r="F219" i="231" s="1"/>
  <c r="G219" i="231" s="1"/>
  <c r="E220" i="231" l="1"/>
  <c r="F220" i="231" s="1"/>
  <c r="G220" i="231" s="1"/>
  <c r="N212" i="5"/>
  <c r="E221" i="231" l="1"/>
  <c r="F221" i="231" s="1"/>
  <c r="G221" i="231" s="1"/>
  <c r="O1974" i="1"/>
  <c r="H17" i="169"/>
  <c r="I212" i="5"/>
  <c r="L212" i="5" s="1"/>
  <c r="O1944" i="246" l="1"/>
  <c r="R1944" i="246" s="1"/>
  <c r="E222" i="231"/>
  <c r="F222" i="231" s="1"/>
  <c r="G222" i="231" s="1"/>
  <c r="M1974" i="1"/>
  <c r="R1974" i="1" s="1"/>
  <c r="G17" i="169"/>
  <c r="N368" i="5"/>
  <c r="N358" i="5"/>
  <c r="N184" i="5"/>
  <c r="H13" i="178" l="1"/>
  <c r="H19" i="178" s="1"/>
  <c r="H21" i="178" s="1"/>
  <c r="O1815" i="1"/>
  <c r="O1823" i="1" s="1"/>
  <c r="E223" i="231"/>
  <c r="F223" i="231" s="1"/>
  <c r="G223" i="231" s="1"/>
  <c r="H19" i="206"/>
  <c r="N345" i="5"/>
  <c r="N360" i="5"/>
  <c r="O1782" i="1" s="1"/>
  <c r="N399" i="5"/>
  <c r="O583" i="1"/>
  <c r="I358" i="5"/>
  <c r="O1760" i="1"/>
  <c r="O1763" i="1" s="1"/>
  <c r="O491" i="1"/>
  <c r="O2110" i="1"/>
  <c r="O2117" i="1" s="1"/>
  <c r="I368" i="5"/>
  <c r="L368" i="5" s="1"/>
  <c r="C2078" i="246" s="1"/>
  <c r="O493" i="1"/>
  <c r="O525" i="1"/>
  <c r="H22" i="229" l="1"/>
  <c r="H32" i="229" s="1"/>
  <c r="H34" i="229" s="1"/>
  <c r="C2107" i="1"/>
  <c r="O1711" i="1"/>
  <c r="D525" i="246"/>
  <c r="O1785" i="246"/>
  <c r="R1785" i="246" s="1"/>
  <c r="M1815" i="1"/>
  <c r="R1815" i="1" s="1"/>
  <c r="D525" i="1"/>
  <c r="M493" i="1"/>
  <c r="O493" i="246"/>
  <c r="G13" i="178"/>
  <c r="G19" i="178" s="1"/>
  <c r="G21" i="178" s="1"/>
  <c r="O2081" i="246"/>
  <c r="O525" i="246"/>
  <c r="E224" i="231"/>
  <c r="F224" i="231" s="1"/>
  <c r="G224" i="231" s="1"/>
  <c r="X525" i="1"/>
  <c r="H28" i="187"/>
  <c r="O492" i="1"/>
  <c r="I360" i="5"/>
  <c r="L360" i="5" s="1"/>
  <c r="X491" i="1"/>
  <c r="M2110" i="1"/>
  <c r="M525" i="1"/>
  <c r="X493" i="1"/>
  <c r="O1791" i="1"/>
  <c r="U1791" i="1" s="1"/>
  <c r="I399" i="5"/>
  <c r="L399" i="5" s="1"/>
  <c r="O2058" i="246" s="1"/>
  <c r="O2087" i="1"/>
  <c r="O2090" i="1" s="1"/>
  <c r="O524" i="1"/>
  <c r="I345" i="5"/>
  <c r="L345" i="5" s="1"/>
  <c r="O484" i="1"/>
  <c r="O1752" i="246" l="1"/>
  <c r="M1782" i="1"/>
  <c r="R2058" i="246"/>
  <c r="O2061" i="246"/>
  <c r="R2061" i="246" s="1"/>
  <c r="O1697" i="1"/>
  <c r="U1697" i="1" s="1"/>
  <c r="O1737" i="1" s="1"/>
  <c r="X484" i="1" s="1"/>
  <c r="E259" i="4"/>
  <c r="G22" i="229"/>
  <c r="M1711" i="1"/>
  <c r="M1697" i="1" s="1"/>
  <c r="O1761" i="246"/>
  <c r="O524" i="246"/>
  <c r="O492" i="246"/>
  <c r="O1681" i="246"/>
  <c r="C1667" i="246" s="1"/>
  <c r="R493" i="246"/>
  <c r="R2081" i="246"/>
  <c r="O2088" i="246"/>
  <c r="R2088" i="246" s="1"/>
  <c r="R2079" i="246" s="1"/>
  <c r="R1784" i="246"/>
  <c r="O1793" i="246"/>
  <c r="R1793" i="246" s="1"/>
  <c r="R1783" i="246" s="1"/>
  <c r="R525" i="246"/>
  <c r="E225" i="231"/>
  <c r="F225" i="231" s="1"/>
  <c r="G225" i="231" s="1"/>
  <c r="O1786" i="1"/>
  <c r="U1782" i="1"/>
  <c r="O1794" i="1" s="1"/>
  <c r="X492" i="1" s="1"/>
  <c r="X524" i="1"/>
  <c r="G28" i="187"/>
  <c r="M492" i="1"/>
  <c r="M2087" i="1"/>
  <c r="M1791" i="1"/>
  <c r="M524" i="1"/>
  <c r="R493" i="1"/>
  <c r="R1814" i="1"/>
  <c r="M1823" i="1"/>
  <c r="R1823" i="1" s="1"/>
  <c r="R1813" i="1" s="1"/>
  <c r="R525" i="1"/>
  <c r="M2117" i="1"/>
  <c r="R2117" i="1" s="1"/>
  <c r="R2110" i="1"/>
  <c r="R2052" i="246" l="1"/>
  <c r="R2044" i="246"/>
  <c r="R2063" i="246"/>
  <c r="R2042" i="246"/>
  <c r="R2051" i="246"/>
  <c r="R2049" i="246"/>
  <c r="R2065" i="246"/>
  <c r="R2059" i="246"/>
  <c r="R2060" i="246"/>
  <c r="R2041" i="246"/>
  <c r="R2046" i="246"/>
  <c r="R2047" i="246"/>
  <c r="R2067" i="246"/>
  <c r="R2045" i="246"/>
  <c r="R2066" i="246"/>
  <c r="R2050" i="246"/>
  <c r="R2064" i="246"/>
  <c r="R2048" i="246"/>
  <c r="R2043" i="246"/>
  <c r="R2062" i="246"/>
  <c r="R2119" i="1"/>
  <c r="R2108" i="1"/>
  <c r="C1697" i="1"/>
  <c r="R2069" i="246"/>
  <c r="R2072" i="246"/>
  <c r="R2068" i="246"/>
  <c r="R2071" i="246"/>
  <c r="R2070" i="246"/>
  <c r="R2073" i="246"/>
  <c r="R1711" i="1"/>
  <c r="U493" i="246"/>
  <c r="R524" i="246"/>
  <c r="R492" i="246"/>
  <c r="U525" i="246"/>
  <c r="R1798" i="246"/>
  <c r="R1777" i="246"/>
  <c r="R1779" i="246"/>
  <c r="R1791" i="246"/>
  <c r="R1795" i="246"/>
  <c r="R1794" i="246"/>
  <c r="R1774" i="246"/>
  <c r="R1776" i="246"/>
  <c r="R1775" i="246"/>
  <c r="R1778" i="246"/>
  <c r="R1792" i="246"/>
  <c r="R1796" i="246"/>
  <c r="R1773" i="246"/>
  <c r="R1772" i="246"/>
  <c r="R1799" i="246"/>
  <c r="R1782" i="246"/>
  <c r="R1781" i="246"/>
  <c r="R1797" i="246"/>
  <c r="R1780" i="246"/>
  <c r="R1681" i="246"/>
  <c r="O1667" i="246"/>
  <c r="S1752" i="246"/>
  <c r="R1752" i="246"/>
  <c r="O1756" i="246"/>
  <c r="R2091" i="246"/>
  <c r="R2090" i="246"/>
  <c r="R2089" i="246"/>
  <c r="R2086" i="246"/>
  <c r="R2076" i="246"/>
  <c r="R2077" i="246"/>
  <c r="R2093" i="246"/>
  <c r="R2075" i="246"/>
  <c r="R2087" i="246"/>
  <c r="R2094" i="246"/>
  <c r="R2074" i="246"/>
  <c r="R2078" i="246"/>
  <c r="R2092" i="246"/>
  <c r="R1761" i="246"/>
  <c r="S1761" i="246"/>
  <c r="S1697" i="1"/>
  <c r="R1697" i="1"/>
  <c r="R1804" i="1"/>
  <c r="R1825" i="1"/>
  <c r="E226" i="231"/>
  <c r="F226" i="231" s="1"/>
  <c r="G226" i="231" s="1"/>
  <c r="R2099" i="1"/>
  <c r="R2121" i="1"/>
  <c r="S1782" i="1"/>
  <c r="M1786" i="1"/>
  <c r="R1791" i="1"/>
  <c r="S1791" i="1"/>
  <c r="V493" i="1"/>
  <c r="R2116" i="1"/>
  <c r="R2103" i="1"/>
  <c r="R2106" i="1"/>
  <c r="R2100" i="1"/>
  <c r="R2104" i="1"/>
  <c r="R2101" i="1"/>
  <c r="R2123" i="1"/>
  <c r="R2122" i="1"/>
  <c r="R2097" i="1"/>
  <c r="R2107" i="1"/>
  <c r="R2118" i="1"/>
  <c r="R2115" i="1"/>
  <c r="R2105" i="1"/>
  <c r="R2102" i="1"/>
  <c r="R2120" i="1"/>
  <c r="R2098" i="1"/>
  <c r="V525" i="1"/>
  <c r="M2090" i="1"/>
  <c r="R2090" i="1" s="1"/>
  <c r="R2081" i="1" s="1"/>
  <c r="R2087" i="1"/>
  <c r="R1782" i="1"/>
  <c r="R1822" i="1"/>
  <c r="R1807" i="1"/>
  <c r="R1826" i="1"/>
  <c r="R1803" i="1"/>
  <c r="R1812" i="1"/>
  <c r="R1824" i="1"/>
  <c r="R1828" i="1"/>
  <c r="R1802" i="1"/>
  <c r="R1808" i="1"/>
  <c r="R1805" i="1"/>
  <c r="R1811" i="1"/>
  <c r="R1809" i="1"/>
  <c r="R1810" i="1"/>
  <c r="R1827" i="1"/>
  <c r="R1829" i="1"/>
  <c r="R1806" i="1"/>
  <c r="R1821" i="1"/>
  <c r="R524" i="1"/>
  <c r="R492" i="1"/>
  <c r="O1764" i="246" l="1"/>
  <c r="R1764" i="246" s="1"/>
  <c r="U524" i="246"/>
  <c r="S1667" i="246"/>
  <c r="R1667" i="246"/>
  <c r="R1698" i="1"/>
  <c r="R1699" i="1" s="1"/>
  <c r="R1714" i="1"/>
  <c r="R1715" i="1" s="1"/>
  <c r="R2072" i="1"/>
  <c r="R2092" i="1"/>
  <c r="E227" i="231"/>
  <c r="F227" i="231" s="1"/>
  <c r="G227" i="231" s="1"/>
  <c r="M1794" i="1"/>
  <c r="R1794" i="1" s="1"/>
  <c r="V524" i="1"/>
  <c r="R2089" i="1"/>
  <c r="R2088" i="1"/>
  <c r="R2071" i="1"/>
  <c r="R2093" i="1"/>
  <c r="R2078" i="1"/>
  <c r="R2095" i="1"/>
  <c r="R2080" i="1"/>
  <c r="R2074" i="1"/>
  <c r="R2070" i="1"/>
  <c r="R2076" i="1"/>
  <c r="R2075" i="1"/>
  <c r="R2094" i="1"/>
  <c r="R2079" i="1"/>
  <c r="R2096" i="1"/>
  <c r="R2077" i="1"/>
  <c r="R2091" i="1"/>
  <c r="R2073" i="1"/>
  <c r="R1756" i="246" l="1"/>
  <c r="R1751" i="246"/>
  <c r="R1786" i="1"/>
  <c r="R1781" i="1"/>
  <c r="R1766" i="246"/>
  <c r="R1796" i="1"/>
  <c r="R1743" i="246"/>
  <c r="R1744" i="246"/>
  <c r="R1763" i="246"/>
  <c r="R1742" i="246"/>
  <c r="R1746" i="246"/>
  <c r="R1745" i="246"/>
  <c r="R1749" i="246"/>
  <c r="R1771" i="246"/>
  <c r="U492" i="246"/>
  <c r="R1769" i="246"/>
  <c r="R1765" i="246"/>
  <c r="R1750" i="246"/>
  <c r="R1741" i="246"/>
  <c r="R1747" i="246"/>
  <c r="R1770" i="246"/>
  <c r="R1748" i="246"/>
  <c r="R1762" i="246"/>
  <c r="R1740" i="246"/>
  <c r="R1668" i="246"/>
  <c r="R1669" i="246" s="1"/>
  <c r="R1684" i="246"/>
  <c r="R1685" i="246" s="1"/>
  <c r="E228" i="231"/>
  <c r="F228" i="231" s="1"/>
  <c r="G228" i="231" s="1"/>
  <c r="R1801" i="1"/>
  <c r="R1772" i="1"/>
  <c r="R1778" i="1"/>
  <c r="R1779" i="1"/>
  <c r="R1774" i="1"/>
  <c r="R1776" i="1"/>
  <c r="R1771" i="1"/>
  <c r="R1795" i="1"/>
  <c r="R1800" i="1"/>
  <c r="R1775" i="1"/>
  <c r="R1780" i="1"/>
  <c r="R1773" i="1"/>
  <c r="R1792" i="1"/>
  <c r="R1799" i="1"/>
  <c r="V492" i="1"/>
  <c r="R1777" i="1"/>
  <c r="R1793" i="1"/>
  <c r="R1770" i="1"/>
  <c r="R1754" i="246" l="1"/>
  <c r="R1755" i="246"/>
  <c r="R1785" i="1"/>
  <c r="R1784" i="1"/>
  <c r="E229" i="231"/>
  <c r="F229" i="231" s="1"/>
  <c r="G229" i="231" s="1"/>
  <c r="E230" i="231" l="1"/>
  <c r="F230" i="231" s="1"/>
  <c r="G230" i="231" s="1"/>
  <c r="N35" i="5"/>
  <c r="E231" i="231" l="1"/>
  <c r="F231" i="231" s="1"/>
  <c r="G231" i="231" s="1"/>
  <c r="X2641" i="1" l="1"/>
  <c r="E232" i="231"/>
  <c r="F232" i="231" s="1"/>
  <c r="G232" i="231" s="1"/>
  <c r="U2467" i="1"/>
  <c r="E233" i="231" l="1"/>
  <c r="F233" i="231" s="1"/>
  <c r="G233" i="231" s="1"/>
  <c r="E234" i="231" l="1"/>
  <c r="F234" i="231" s="1"/>
  <c r="G234" i="231" s="1"/>
  <c r="N226" i="5"/>
  <c r="O2047" i="1" l="1"/>
  <c r="U2047" i="1" s="1"/>
  <c r="O2008" i="1"/>
  <c r="O2011" i="1" s="1"/>
  <c r="O2063" i="1"/>
  <c r="U2063" i="1" s="1"/>
  <c r="I222" i="5"/>
  <c r="L222" i="5" s="1"/>
  <c r="Z2008" i="1"/>
  <c r="E235" i="231"/>
  <c r="F235" i="231" s="1"/>
  <c r="G235" i="231" s="1"/>
  <c r="O485" i="1"/>
  <c r="O518" i="1"/>
  <c r="O2043" i="1" l="1"/>
  <c r="O2058" i="1"/>
  <c r="X2058" i="1" s="1"/>
  <c r="M2033" i="1"/>
  <c r="S2033" i="1" s="1"/>
  <c r="O2004" i="246"/>
  <c r="S2004" i="246" s="1"/>
  <c r="O2000" i="246" s="1"/>
  <c r="E236" i="231"/>
  <c r="F236" i="231" s="1"/>
  <c r="G236" i="231" s="1"/>
  <c r="M2029" i="1" l="1"/>
  <c r="V2029" i="1" s="1"/>
  <c r="W2000" i="246"/>
  <c r="C2000" i="246" s="1"/>
  <c r="E237" i="231"/>
  <c r="F237" i="231" s="1"/>
  <c r="G237" i="231" s="1"/>
  <c r="X518" i="1"/>
  <c r="X485" i="1"/>
  <c r="N161" i="5"/>
  <c r="X2011" i="1"/>
  <c r="Z2029" i="1" l="1"/>
  <c r="J22" i="26"/>
  <c r="J21" i="26"/>
  <c r="Y2029" i="1"/>
  <c r="E238" i="231"/>
  <c r="F238" i="231" s="1"/>
  <c r="G238" i="231" s="1"/>
  <c r="J163" i="5" l="1"/>
  <c r="L163" i="5" s="1"/>
  <c r="J175" i="5"/>
  <c r="L175" i="5" s="1"/>
  <c r="J228" i="5"/>
  <c r="L228" i="5" s="1"/>
  <c r="J332" i="5"/>
  <c r="L332" i="5" s="1"/>
  <c r="C2029" i="1"/>
  <c r="E239" i="231"/>
  <c r="F239" i="231" s="1"/>
  <c r="G239" i="231" s="1"/>
  <c r="M2054" i="1" l="1"/>
  <c r="O2025" i="246"/>
  <c r="M1867" i="1"/>
  <c r="R1870" i="1" s="1"/>
  <c r="R1864" i="1" s="1"/>
  <c r="O1837" i="246"/>
  <c r="M563" i="1"/>
  <c r="R566" i="1" s="1"/>
  <c r="O563" i="246"/>
  <c r="M508" i="1"/>
  <c r="O508" i="246"/>
  <c r="R508" i="246" s="1"/>
  <c r="G15" i="229"/>
  <c r="O1689" i="246"/>
  <c r="M1719" i="1"/>
  <c r="E240" i="231"/>
  <c r="F240" i="231" s="1"/>
  <c r="G240" i="231" s="1"/>
  <c r="R2025" i="246" l="1"/>
  <c r="S2025" i="246"/>
  <c r="O2021" i="246" s="1"/>
  <c r="R2021" i="246" s="1"/>
  <c r="R2054" i="1"/>
  <c r="S2054" i="1"/>
  <c r="M2050" i="1" s="1"/>
  <c r="R2050" i="1" s="1"/>
  <c r="R1689" i="246"/>
  <c r="R561" i="1"/>
  <c r="R560" i="1"/>
  <c r="R559" i="1"/>
  <c r="R558" i="1" s="1"/>
  <c r="R565" i="1"/>
  <c r="R564" i="1"/>
  <c r="R567" i="1"/>
  <c r="R1865" i="1"/>
  <c r="R1858" i="1"/>
  <c r="R1854" i="1"/>
  <c r="R1869" i="1"/>
  <c r="R1860" i="1"/>
  <c r="R1856" i="1"/>
  <c r="R1855" i="1"/>
  <c r="R1874" i="1"/>
  <c r="R1868" i="1"/>
  <c r="R1853" i="1"/>
  <c r="R1859" i="1"/>
  <c r="R1871" i="1"/>
  <c r="R1872" i="1"/>
  <c r="R1875" i="1"/>
  <c r="R1861" i="1"/>
  <c r="R1873" i="1"/>
  <c r="R1862" i="1"/>
  <c r="R1876" i="1"/>
  <c r="R1863" i="1"/>
  <c r="R1857" i="1"/>
  <c r="R508" i="1"/>
  <c r="R563" i="1"/>
  <c r="M566" i="1"/>
  <c r="R1837" i="246"/>
  <c r="R1840" i="246"/>
  <c r="R1834" i="246" s="1"/>
  <c r="O1840" i="246"/>
  <c r="U508" i="246" s="1"/>
  <c r="R563" i="246"/>
  <c r="O566" i="246"/>
  <c r="R566" i="246"/>
  <c r="R1867" i="1"/>
  <c r="M1870" i="1"/>
  <c r="V508" i="1" s="1"/>
  <c r="R1719" i="1"/>
  <c r="E241" i="231"/>
  <c r="F241" i="231" s="1"/>
  <c r="G241" i="231" s="1"/>
  <c r="R2052" i="1" l="1"/>
  <c r="R2055" i="1"/>
  <c r="R2051" i="1"/>
  <c r="R2023" i="246"/>
  <c r="R2022" i="246"/>
  <c r="R2026" i="246"/>
  <c r="R568" i="1"/>
  <c r="R569" i="1"/>
  <c r="U566" i="246"/>
  <c r="V566" i="1"/>
  <c r="R560" i="246"/>
  <c r="R561" i="246"/>
  <c r="R565" i="246"/>
  <c r="R559" i="246"/>
  <c r="R558" i="246" s="1"/>
  <c r="R564" i="246"/>
  <c r="R567" i="246"/>
  <c r="R1835" i="246"/>
  <c r="R1825" i="246"/>
  <c r="R1845" i="246"/>
  <c r="R1831" i="246"/>
  <c r="R1823" i="246"/>
  <c r="R1833" i="246"/>
  <c r="R1839" i="246"/>
  <c r="R1826" i="246"/>
  <c r="R1843" i="246"/>
  <c r="R1832" i="246"/>
  <c r="R1827" i="246"/>
  <c r="R1841" i="246"/>
  <c r="R1842" i="246"/>
  <c r="R1846" i="246"/>
  <c r="R1828" i="246"/>
  <c r="R1830" i="246"/>
  <c r="R1838" i="246"/>
  <c r="R1844" i="246"/>
  <c r="R1824" i="246"/>
  <c r="R1829" i="246"/>
  <c r="E242" i="231"/>
  <c r="F242" i="231" s="1"/>
  <c r="G242" i="231" s="1"/>
  <c r="R569" i="246" l="1"/>
  <c r="R568" i="246"/>
  <c r="E243" i="23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s="1"/>
  <c r="H2" i="136" s="1"/>
  <c r="I404" i="136" l="1"/>
  <c r="I2" i="136" s="1"/>
  <c r="M430" i="1"/>
  <c r="F35" i="5"/>
  <c r="S430" i="1" l="1"/>
  <c r="F404" i="5"/>
  <c r="F2" i="5" s="1"/>
  <c r="K2" i="5" s="1"/>
  <c r="L35" i="5"/>
  <c r="R2436" i="246" l="1"/>
  <c r="U2611" i="246" l="1"/>
  <c r="R2437" i="246"/>
  <c r="W2437" i="246"/>
  <c r="D2437" i="246" s="1"/>
  <c r="S2437" i="246"/>
  <c r="R2467" i="1"/>
  <c r="R2466" i="1"/>
  <c r="V2806" i="1"/>
  <c r="Z2467" i="1"/>
  <c r="R2442" i="246"/>
  <c r="V2641" i="1"/>
  <c r="S2467" i="1"/>
  <c r="Y2467" i="1"/>
  <c r="D2467" i="1" l="1"/>
  <c r="R2440" i="246"/>
  <c r="R2443" i="246"/>
  <c r="R2441" i="246"/>
  <c r="R2472" i="1"/>
  <c r="R2471" i="1" l="1"/>
  <c r="R2473" i="1"/>
  <c r="R2470" i="1"/>
  <c r="J90" i="26" l="1"/>
  <c r="J91" i="26" l="1"/>
  <c r="N237" i="5" l="1"/>
  <c r="O1225" i="1" s="1"/>
  <c r="U1225" i="1" s="1"/>
  <c r="N44" i="5" l="1"/>
  <c r="O1048" i="1" l="1"/>
  <c r="O1055" i="1" s="1"/>
  <c r="X1055" i="1" s="1"/>
  <c r="O2357" i="1"/>
  <c r="O430" i="1"/>
  <c r="U430" i="1" l="1"/>
  <c r="R430" i="1"/>
  <c r="O2351" i="1"/>
  <c r="R2357" i="1"/>
  <c r="R1048" i="1"/>
  <c r="R1055" i="1"/>
  <c r="R1057" i="1" l="1"/>
  <c r="R1047" i="1"/>
  <c r="O436" i="1"/>
  <c r="O444" i="1"/>
  <c r="R431" i="1"/>
  <c r="R1038" i="1"/>
  <c r="R1059" i="1"/>
  <c r="R1039" i="1"/>
  <c r="R1044" i="1"/>
  <c r="R1040" i="1"/>
  <c r="R1046" i="1"/>
  <c r="R1060" i="1"/>
  <c r="R1053" i="1"/>
  <c r="R1041" i="1"/>
  <c r="R1056" i="1"/>
  <c r="R1058" i="1"/>
  <c r="R1042" i="1"/>
  <c r="R1036" i="1"/>
  <c r="R1054" i="1"/>
  <c r="R1043" i="1"/>
  <c r="R1037" i="1"/>
  <c r="R1045" i="1"/>
  <c r="R1061" i="1"/>
  <c r="R2351" i="1"/>
  <c r="U2351" i="1"/>
  <c r="O2385" i="1" l="1"/>
  <c r="O2401" i="1"/>
  <c r="O2464" i="1"/>
  <c r="O2459" i="1"/>
  <c r="O2444" i="1"/>
  <c r="O2472" i="1"/>
  <c r="R2382" i="1"/>
  <c r="R2352" i="1"/>
  <c r="X2401" i="1" l="1"/>
  <c r="R2353" i="1"/>
  <c r="N230" i="5" l="1"/>
  <c r="I230" i="5" l="1"/>
  <c r="L230" i="5" s="1"/>
  <c r="O1232" i="1"/>
  <c r="X1294" i="1" s="1"/>
  <c r="O1202" i="1"/>
  <c r="U1202" i="1" s="1"/>
  <c r="C1237" i="1" l="1"/>
  <c r="C1236" i="246"/>
  <c r="I19" i="89"/>
  <c r="O283" i="246"/>
  <c r="O283" i="1"/>
  <c r="M283" i="1" s="1"/>
  <c r="M1232" i="1"/>
  <c r="V1294" i="1" s="1"/>
  <c r="O1231" i="246"/>
  <c r="U1293" i="246" s="1"/>
  <c r="R1196" i="246"/>
  <c r="R1197" i="246" s="1"/>
  <c r="R1197" i="1"/>
  <c r="O1201" i="246"/>
  <c r="S1201" i="246" s="1"/>
  <c r="M1202" i="1"/>
  <c r="S1202" i="1" s="1"/>
  <c r="R1237" i="1" l="1"/>
  <c r="R1198" i="1"/>
  <c r="R1236" i="246"/>
  <c r="V1202" i="1"/>
  <c r="R1240" i="246"/>
  <c r="R1232" i="246"/>
  <c r="R1228" i="246"/>
  <c r="R1224" i="246"/>
  <c r="R1208" i="246"/>
  <c r="R1203" i="246"/>
  <c r="R1199" i="246"/>
  <c r="R1239" i="246"/>
  <c r="R1235" i="246"/>
  <c r="R1231" i="246"/>
  <c r="R1227" i="246"/>
  <c r="R1207" i="246"/>
  <c r="R1202" i="246"/>
  <c r="R1198" i="246"/>
  <c r="R1237" i="246"/>
  <c r="R1229" i="246"/>
  <c r="R1225" i="246"/>
  <c r="R1204" i="246"/>
  <c r="R1238" i="246"/>
  <c r="R1234" i="246"/>
  <c r="R1230" i="246"/>
  <c r="R1226" i="246"/>
  <c r="R1205" i="246"/>
  <c r="R1201" i="246"/>
  <c r="R1195" i="246"/>
  <c r="R1233" i="246"/>
  <c r="R1209" i="246"/>
  <c r="R1200" i="246"/>
  <c r="R1194" i="246"/>
  <c r="R1239" i="1"/>
  <c r="R1235" i="1"/>
  <c r="R1231" i="1"/>
  <c r="R1227" i="1"/>
  <c r="R1206" i="1"/>
  <c r="R1202" i="1"/>
  <c r="R1196" i="1"/>
  <c r="R1203" i="1"/>
  <c r="R1238" i="1"/>
  <c r="R1234" i="1"/>
  <c r="R1230" i="1"/>
  <c r="R1226" i="1"/>
  <c r="R1210" i="1"/>
  <c r="R1205" i="1"/>
  <c r="R1201" i="1"/>
  <c r="R1195" i="1"/>
  <c r="R1240" i="1"/>
  <c r="R1232" i="1"/>
  <c r="R1208" i="1"/>
  <c r="R1241" i="1"/>
  <c r="R1233" i="1"/>
  <c r="R1229" i="1"/>
  <c r="R1225" i="1"/>
  <c r="R1209" i="1"/>
  <c r="R1204" i="1"/>
  <c r="R1200" i="1"/>
  <c r="R1236" i="1"/>
  <c r="R1228" i="1"/>
  <c r="R1199" i="1"/>
  <c r="R1192" i="1"/>
  <c r="R1187" i="1"/>
  <c r="R1193" i="1"/>
  <c r="R1188" i="1"/>
  <c r="R1189" i="1"/>
  <c r="R1191" i="1"/>
  <c r="R1194" i="1"/>
  <c r="R1190" i="1"/>
  <c r="R1192" i="246"/>
  <c r="R1187" i="246"/>
  <c r="R1193" i="246"/>
  <c r="R1189" i="246"/>
  <c r="R1191" i="246"/>
  <c r="R1186" i="246"/>
  <c r="R1188" i="246"/>
  <c r="R1190" i="246"/>
  <c r="I20" i="89"/>
  <c r="N236" i="5"/>
  <c r="O1233" i="1" s="1"/>
  <c r="I236" i="5" l="1"/>
  <c r="L236" i="5" s="1"/>
  <c r="J19" i="89" s="1"/>
  <c r="K19" i="89" s="1"/>
  <c r="O1203" i="1"/>
  <c r="U1203" i="1" s="1"/>
  <c r="O1228" i="1" s="1"/>
  <c r="O477" i="1"/>
  <c r="O474" i="1" s="1"/>
  <c r="U474" i="1" s="1"/>
  <c r="O1232" i="246" l="1"/>
  <c r="M1233" i="1"/>
  <c r="O1202" i="246"/>
  <c r="S1202" i="246" s="1"/>
  <c r="O1227" i="246" s="1"/>
  <c r="M1203" i="1"/>
  <c r="S1203" i="1" s="1"/>
  <c r="M1228" i="1" s="1"/>
  <c r="O477" i="246"/>
  <c r="R477" i="246" s="1"/>
  <c r="M477" i="1"/>
  <c r="O1199" i="1"/>
  <c r="O1210" i="1" s="1"/>
  <c r="O280" i="246"/>
  <c r="O280" i="1"/>
  <c r="M280" i="1" s="1"/>
  <c r="V1203" i="1" l="1"/>
  <c r="M1199" i="1"/>
  <c r="M1210" i="1" s="1"/>
  <c r="O1198" i="246"/>
  <c r="O1209" i="246" s="1"/>
  <c r="R477" i="1"/>
  <c r="J20" i="89"/>
  <c r="K20" i="89"/>
  <c r="V1199" i="1" l="1"/>
  <c r="X1228" i="1"/>
  <c r="X477" i="1"/>
  <c r="N204" i="5"/>
  <c r="V1228" i="1" l="1"/>
  <c r="V477" i="1"/>
  <c r="U1227" i="246"/>
  <c r="U477" i="246"/>
  <c r="H9" i="169"/>
  <c r="O1966" i="1"/>
  <c r="I204" i="5"/>
  <c r="L204" i="5" l="1"/>
  <c r="O1936" i="246" s="1"/>
  <c r="R1936" i="246" s="1"/>
  <c r="G9" i="169" l="1"/>
  <c r="M1966" i="1"/>
  <c r="R1966" i="1" s="1"/>
  <c r="G376" i="4"/>
  <c r="O2263" i="246"/>
  <c r="R2263" i="246" s="1"/>
  <c r="O2293" i="1"/>
  <c r="R2293" i="1" s="1"/>
  <c r="N387" i="5"/>
  <c r="O2187" i="1" s="1"/>
  <c r="O2195" i="1" s="1"/>
  <c r="C2258" i="246" l="1"/>
  <c r="C2259" i="246"/>
  <c r="C2288" i="1"/>
  <c r="C2289" i="1"/>
  <c r="R2260" i="246"/>
  <c r="R2261" i="246" s="1"/>
  <c r="R2290" i="1"/>
  <c r="R2291" i="1" s="1"/>
  <c r="O494" i="1"/>
  <c r="I386" i="5"/>
  <c r="L386" i="5" s="1"/>
  <c r="O529" i="1"/>
  <c r="O2157" i="246" l="1"/>
  <c r="M2186" i="1"/>
  <c r="O488" i="1"/>
  <c r="U488" i="1" s="1"/>
  <c r="O499" i="1" s="1"/>
  <c r="X494" i="1"/>
  <c r="O521" i="1"/>
  <c r="U521" i="1" s="1"/>
  <c r="X529" i="1"/>
  <c r="N158" i="5"/>
  <c r="R2186" i="1" l="1"/>
  <c r="Y2186" i="1"/>
  <c r="V2186" i="1"/>
  <c r="Z2186" i="1"/>
  <c r="W2157" i="246"/>
  <c r="C2157" i="246" s="1"/>
  <c r="R2157" i="246"/>
  <c r="O2474" i="1"/>
  <c r="O446" i="1"/>
  <c r="O449" i="1" s="1"/>
  <c r="X449" i="1" s="1"/>
  <c r="O510" i="1"/>
  <c r="I184" i="5"/>
  <c r="Q3" i="5"/>
  <c r="C2186" i="1" l="1"/>
  <c r="U2474" i="1"/>
  <c r="O2477" i="1" s="1"/>
  <c r="X2477" i="1" s="1"/>
  <c r="L184" i="5"/>
  <c r="O504" i="1"/>
  <c r="U504" i="1" s="1"/>
  <c r="O583" i="246" l="1"/>
  <c r="O584" i="1"/>
  <c r="X452" i="1"/>
  <c r="O588" i="1" l="1"/>
  <c r="M583" i="1" l="1"/>
  <c r="X510" i="1"/>
  <c r="N203" i="5" l="1"/>
  <c r="A404" i="5"/>
  <c r="I203" i="5" l="1"/>
  <c r="O1965" i="1"/>
  <c r="O1984" i="1" s="1"/>
  <c r="H8" i="169"/>
  <c r="H26" i="169" s="1"/>
  <c r="H28" i="169" s="1"/>
  <c r="O517" i="1"/>
  <c r="O513" i="1" s="1"/>
  <c r="U513" i="1" s="1"/>
  <c r="O534" i="1" s="1"/>
  <c r="N404" i="5"/>
  <c r="N2" i="5" s="1"/>
  <c r="X499" i="1" l="1"/>
  <c r="I404" i="5"/>
  <c r="X517" i="1"/>
  <c r="X2" i="1" l="1"/>
  <c r="J23" i="5" l="1"/>
  <c r="L23" i="5" l="1"/>
  <c r="J24" i="26" l="1"/>
  <c r="J25" i="26"/>
  <c r="J140" i="5" s="1"/>
  <c r="L140" i="5" s="1"/>
  <c r="O432" i="246" s="1"/>
  <c r="M432" i="1" l="1"/>
  <c r="O2409" i="246"/>
  <c r="M2439" i="1"/>
  <c r="J387" i="5"/>
  <c r="L387" i="5" s="1"/>
  <c r="J314" i="5"/>
  <c r="L314" i="5" s="1"/>
  <c r="J158" i="5"/>
  <c r="L158" i="5" s="1"/>
  <c r="F484" i="26"/>
  <c r="J20" i="26"/>
  <c r="J358" i="5" s="1"/>
  <c r="L358" i="5" s="1"/>
  <c r="C1634" i="246" l="1"/>
  <c r="C1663" i="1"/>
  <c r="O2158" i="246"/>
  <c r="M2187" i="1"/>
  <c r="S432" i="1"/>
  <c r="R432" i="1"/>
  <c r="R433" i="1" s="1"/>
  <c r="R432" i="246"/>
  <c r="R433" i="246" s="1"/>
  <c r="S432" i="246"/>
  <c r="R2439" i="1"/>
  <c r="M2404" i="1"/>
  <c r="R2409" i="246"/>
  <c r="O2374" i="246"/>
  <c r="O491" i="246"/>
  <c r="G19" i="206"/>
  <c r="M1760" i="1"/>
  <c r="O1730" i="246"/>
  <c r="M491" i="1"/>
  <c r="J161" i="5"/>
  <c r="L161" i="5" s="1"/>
  <c r="O2444" i="246" s="1"/>
  <c r="J336" i="5"/>
  <c r="L336" i="5" s="1"/>
  <c r="O494" i="246"/>
  <c r="U494" i="246" s="1"/>
  <c r="O529" i="246"/>
  <c r="M529" i="1"/>
  <c r="V529" i="1" s="1"/>
  <c r="M494" i="1"/>
  <c r="V494" i="1" s="1"/>
  <c r="M483" i="1"/>
  <c r="F239" i="4"/>
  <c r="D483" i="1"/>
  <c r="M1665" i="1"/>
  <c r="D483" i="246"/>
  <c r="O1636" i="246"/>
  <c r="O483" i="246"/>
  <c r="I484" i="26"/>
  <c r="F8" i="26" s="1"/>
  <c r="D8" i="26" s="1"/>
  <c r="J19" i="26"/>
  <c r="F486" i="26"/>
  <c r="F9" i="26" s="1"/>
  <c r="R2187" i="1" l="1"/>
  <c r="M2195" i="1"/>
  <c r="R2158" i="246"/>
  <c r="O2166" i="246"/>
  <c r="O521" i="246"/>
  <c r="S521" i="246" s="1"/>
  <c r="U529" i="246"/>
  <c r="S2374" i="246"/>
  <c r="R2374" i="246"/>
  <c r="S2404" i="1"/>
  <c r="R2404" i="1"/>
  <c r="O488" i="246"/>
  <c r="S488" i="246" s="1"/>
  <c r="R1730" i="246"/>
  <c r="O1733" i="246"/>
  <c r="R1733" i="246" s="1"/>
  <c r="R1725" i="246" s="1"/>
  <c r="M1763" i="1"/>
  <c r="R1763" i="1" s="1"/>
  <c r="R1755" i="1" s="1"/>
  <c r="R1760" i="1"/>
  <c r="R491" i="1"/>
  <c r="R491" i="246"/>
  <c r="J203" i="5"/>
  <c r="L203" i="5" s="1"/>
  <c r="J26" i="5"/>
  <c r="L26" i="5" s="1"/>
  <c r="M510" i="1" s="1"/>
  <c r="Y510" i="1" s="1"/>
  <c r="M2474" i="1"/>
  <c r="M446" i="1"/>
  <c r="O446" i="246"/>
  <c r="S2444" i="246"/>
  <c r="M1723" i="1"/>
  <c r="R1723" i="1" s="1"/>
  <c r="O1693" i="246"/>
  <c r="M521" i="1"/>
  <c r="R521" i="1" s="1"/>
  <c r="R494" i="246"/>
  <c r="M488" i="1"/>
  <c r="S488" i="1" s="1"/>
  <c r="R529" i="1"/>
  <c r="R529" i="246"/>
  <c r="R494" i="1"/>
  <c r="R483" i="246"/>
  <c r="R1665" i="1"/>
  <c r="M1672" i="1"/>
  <c r="R1672" i="1" s="1"/>
  <c r="R1664" i="1" s="1"/>
  <c r="O1643" i="246"/>
  <c r="R1643" i="246" s="1"/>
  <c r="R1635" i="246" s="1"/>
  <c r="R1636" i="246"/>
  <c r="R483" i="1"/>
  <c r="J226" i="5"/>
  <c r="L226" i="5" s="1"/>
  <c r="J341" i="5"/>
  <c r="C1987" i="1" l="1"/>
  <c r="C1957" i="246"/>
  <c r="M2008" i="1"/>
  <c r="O1978" i="246"/>
  <c r="O1981" i="246" s="1"/>
  <c r="M1965" i="1"/>
  <c r="R1965" i="1" s="1"/>
  <c r="C1933" i="246"/>
  <c r="C1963" i="1"/>
  <c r="R1693" i="246"/>
  <c r="R521" i="246"/>
  <c r="R530" i="246" s="1"/>
  <c r="W2166" i="246"/>
  <c r="C2155" i="246" s="1"/>
  <c r="R2166" i="246"/>
  <c r="R2156" i="246" s="1"/>
  <c r="Y2195" i="1"/>
  <c r="R2195" i="1"/>
  <c r="R2185" i="1" s="1"/>
  <c r="Z2195" i="1"/>
  <c r="Y2184" i="1"/>
  <c r="Z2184" i="1"/>
  <c r="O2034" i="246"/>
  <c r="S2034" i="246" s="1"/>
  <c r="O2018" i="246"/>
  <c r="M2047" i="1"/>
  <c r="M2063" i="1"/>
  <c r="S2063" i="1" s="1"/>
  <c r="R488" i="246"/>
  <c r="R489" i="246" s="1"/>
  <c r="R2405" i="1"/>
  <c r="R2406" i="1" s="1"/>
  <c r="R2441" i="1"/>
  <c r="R2411" i="246"/>
  <c r="R2375" i="246"/>
  <c r="R2376" i="246" s="1"/>
  <c r="U491" i="246"/>
  <c r="V491" i="1"/>
  <c r="G8" i="169"/>
  <c r="G26" i="169" s="1"/>
  <c r="G28" i="169" s="1"/>
  <c r="M1984" i="1"/>
  <c r="R1984" i="1" s="1"/>
  <c r="O517" i="246"/>
  <c r="O1935" i="246"/>
  <c r="R1935" i="246" s="1"/>
  <c r="P3" i="5"/>
  <c r="R1749" i="1"/>
  <c r="R1754" i="1"/>
  <c r="R1747" i="1"/>
  <c r="R1764" i="1"/>
  <c r="R1756" i="1"/>
  <c r="R1752" i="1"/>
  <c r="R1753" i="1"/>
  <c r="R1768" i="1"/>
  <c r="R1766" i="1"/>
  <c r="R1751" i="1"/>
  <c r="R1746" i="1"/>
  <c r="R1769" i="1"/>
  <c r="R1761" i="1"/>
  <c r="R1745" i="1"/>
  <c r="R1762" i="1"/>
  <c r="R1765" i="1"/>
  <c r="R1767" i="1"/>
  <c r="R1750" i="1"/>
  <c r="R1748" i="1"/>
  <c r="R1744" i="1"/>
  <c r="R1726" i="246"/>
  <c r="R1719" i="246"/>
  <c r="R1736" i="246"/>
  <c r="R1724" i="246"/>
  <c r="R1716" i="246"/>
  <c r="R1718" i="246"/>
  <c r="R1734" i="246"/>
  <c r="R1737" i="246"/>
  <c r="R1732" i="246"/>
  <c r="R1720" i="246"/>
  <c r="R1717" i="246"/>
  <c r="R1738" i="246"/>
  <c r="R1721" i="246"/>
  <c r="R1723" i="246"/>
  <c r="R1715" i="246"/>
  <c r="R1739" i="246"/>
  <c r="R1714" i="246"/>
  <c r="R1722" i="246"/>
  <c r="R1731" i="246"/>
  <c r="R1735" i="246"/>
  <c r="D517" i="1"/>
  <c r="O510" i="246"/>
  <c r="D510" i="246" s="1"/>
  <c r="M517" i="1"/>
  <c r="R517" i="1" s="1"/>
  <c r="D517" i="246"/>
  <c r="M423" i="1"/>
  <c r="V963" i="1" s="1"/>
  <c r="M2331" i="1"/>
  <c r="O423" i="246"/>
  <c r="U962" i="246" s="1"/>
  <c r="O2301" i="246"/>
  <c r="Z510" i="1"/>
  <c r="D510" i="1" s="1"/>
  <c r="O294" i="1"/>
  <c r="S2474" i="1"/>
  <c r="O295" i="246"/>
  <c r="M504" i="1"/>
  <c r="S521" i="1"/>
  <c r="L341" i="5"/>
  <c r="R488" i="1"/>
  <c r="U483" i="246"/>
  <c r="R1630" i="246"/>
  <c r="R1653" i="246"/>
  <c r="R1642" i="246"/>
  <c r="R1652" i="246"/>
  <c r="R1632" i="246"/>
  <c r="R1631" i="246"/>
  <c r="R1628" i="246"/>
  <c r="R1629" i="246"/>
  <c r="R1641" i="246"/>
  <c r="R1644" i="246"/>
  <c r="R1645" i="246" s="1"/>
  <c r="R1627" i="246"/>
  <c r="R1634" i="246"/>
  <c r="R1646" i="246"/>
  <c r="R1633" i="246"/>
  <c r="R1625" i="246"/>
  <c r="R1654" i="246"/>
  <c r="R1624" i="246"/>
  <c r="R1626" i="246"/>
  <c r="R1675" i="1"/>
  <c r="R1659" i="1"/>
  <c r="R1657" i="1"/>
  <c r="R1656" i="1"/>
  <c r="R1658" i="1"/>
  <c r="R1654" i="1"/>
  <c r="R1683" i="1"/>
  <c r="R1661" i="1"/>
  <c r="R1671" i="1"/>
  <c r="R1653" i="1"/>
  <c r="R1684" i="1"/>
  <c r="R1673" i="1"/>
  <c r="R1674" i="1" s="1"/>
  <c r="R1670" i="1"/>
  <c r="R1655" i="1"/>
  <c r="R1662" i="1"/>
  <c r="R1663" i="1"/>
  <c r="R1660" i="1"/>
  <c r="R1682" i="1"/>
  <c r="R1681" i="1"/>
  <c r="V483" i="1"/>
  <c r="M485" i="1"/>
  <c r="Y2008" i="1"/>
  <c r="R2008" i="1" s="1"/>
  <c r="R2011" i="1" s="1"/>
  <c r="O485" i="246"/>
  <c r="R485" i="246" s="1"/>
  <c r="J404" i="5"/>
  <c r="J2" i="5" s="1"/>
  <c r="O518" i="246"/>
  <c r="M518" i="1"/>
  <c r="W1978" i="246"/>
  <c r="R1978" i="246" s="1"/>
  <c r="R1981" i="246" s="1"/>
  <c r="R522" i="1"/>
  <c r="R530" i="1"/>
  <c r="R523" i="1"/>
  <c r="R531" i="1"/>
  <c r="R531" i="246" l="1"/>
  <c r="R523" i="246"/>
  <c r="R522" i="246"/>
  <c r="C1665" i="246"/>
  <c r="C1695" i="1"/>
  <c r="R1997" i="246"/>
  <c r="R1996" i="246"/>
  <c r="R1992" i="246"/>
  <c r="R1987" i="246"/>
  <c r="R1991" i="246"/>
  <c r="R1986" i="246"/>
  <c r="R1995" i="246"/>
  <c r="R1994" i="246"/>
  <c r="R1989" i="246"/>
  <c r="R1985" i="246"/>
  <c r="R1993" i="246"/>
  <c r="R1988" i="246"/>
  <c r="R1990" i="246"/>
  <c r="R2026" i="1"/>
  <c r="R2025" i="1"/>
  <c r="R2021" i="1"/>
  <c r="R2016" i="1"/>
  <c r="R2020" i="1"/>
  <c r="R2015" i="1"/>
  <c r="R2024" i="1"/>
  <c r="R2023" i="1"/>
  <c r="R2018" i="1"/>
  <c r="R2019" i="1"/>
  <c r="R2022" i="1"/>
  <c r="R2017" i="1"/>
  <c r="R1973" i="246"/>
  <c r="R1999" i="246"/>
  <c r="R2003" i="1"/>
  <c r="R2028" i="1"/>
  <c r="R1987" i="1"/>
  <c r="R1964" i="1"/>
  <c r="M2011" i="1"/>
  <c r="C2184" i="1"/>
  <c r="R517" i="246"/>
  <c r="O513" i="246"/>
  <c r="R513" i="246" s="1"/>
  <c r="R2176" i="1"/>
  <c r="R2182" i="1"/>
  <c r="R2174" i="1"/>
  <c r="R2180" i="1"/>
  <c r="R2196" i="1"/>
  <c r="R2181" i="1"/>
  <c r="R2184" i="1"/>
  <c r="R2193" i="1"/>
  <c r="R2198" i="1"/>
  <c r="R2201" i="1"/>
  <c r="R2194" i="1"/>
  <c r="R2183" i="1"/>
  <c r="R2175" i="1"/>
  <c r="R2178" i="1"/>
  <c r="R2179" i="1"/>
  <c r="R2199" i="1"/>
  <c r="R2197" i="1"/>
  <c r="R2200" i="1"/>
  <c r="R2177" i="1"/>
  <c r="C2195" i="1"/>
  <c r="R2150" i="246"/>
  <c r="R2154" i="246"/>
  <c r="R2145" i="246"/>
  <c r="R2172" i="246"/>
  <c r="R2147" i="246"/>
  <c r="R2168" i="246"/>
  <c r="R2152" i="246"/>
  <c r="R2165" i="246"/>
  <c r="R2169" i="246"/>
  <c r="R2167" i="246"/>
  <c r="R2171" i="246"/>
  <c r="R2149" i="246"/>
  <c r="R2148" i="246"/>
  <c r="R2164" i="246"/>
  <c r="R2146" i="246"/>
  <c r="R2151" i="246"/>
  <c r="R2170" i="246"/>
  <c r="R2155" i="246"/>
  <c r="R2153" i="246"/>
  <c r="C2166" i="246"/>
  <c r="R2047" i="1"/>
  <c r="S2047" i="1"/>
  <c r="R2018" i="246"/>
  <c r="S2018" i="246"/>
  <c r="R2040" i="246"/>
  <c r="R2036" i="246"/>
  <c r="R2030" i="246"/>
  <c r="R2037" i="246"/>
  <c r="R2004" i="246"/>
  <c r="R2003" i="246" s="1"/>
  <c r="R2039" i="246"/>
  <c r="R2035" i="246"/>
  <c r="R2029" i="246"/>
  <c r="R2000" i="246"/>
  <c r="R2031" i="246"/>
  <c r="R2038" i="246"/>
  <c r="R2032" i="246"/>
  <c r="R2028" i="246"/>
  <c r="R2034" i="246"/>
  <c r="R2033" i="246" s="1"/>
  <c r="R2027" i="246"/>
  <c r="R1975" i="246"/>
  <c r="R2069" i="1"/>
  <c r="R2065" i="1"/>
  <c r="R2059" i="1"/>
  <c r="R2063" i="1"/>
  <c r="R2062" i="1" s="1"/>
  <c r="R2068" i="1"/>
  <c r="R2064" i="1"/>
  <c r="R2058" i="1"/>
  <c r="R2067" i="1"/>
  <c r="R2061" i="1"/>
  <c r="R2057" i="1"/>
  <c r="R2005" i="1"/>
  <c r="R2066" i="1"/>
  <c r="R2060" i="1"/>
  <c r="R2056" i="1"/>
  <c r="R2029" i="1"/>
  <c r="R2033" i="1"/>
  <c r="R2032" i="1" s="1"/>
  <c r="R495" i="246"/>
  <c r="R496" i="246"/>
  <c r="R490" i="246"/>
  <c r="O1954" i="246"/>
  <c r="R1954" i="246" s="1"/>
  <c r="R1989" i="1"/>
  <c r="R1955" i="1"/>
  <c r="R1985" i="1"/>
  <c r="R1957" i="1"/>
  <c r="R1953" i="1"/>
  <c r="R1983" i="1"/>
  <c r="R1988" i="1"/>
  <c r="R1991" i="1"/>
  <c r="R1986" i="1"/>
  <c r="R1963" i="1"/>
  <c r="R1954" i="1"/>
  <c r="R1956" i="1"/>
  <c r="R1962" i="1"/>
  <c r="R1960" i="1"/>
  <c r="R1990" i="1"/>
  <c r="R1958" i="1"/>
  <c r="R1961" i="1"/>
  <c r="R1982" i="1"/>
  <c r="R1959" i="1"/>
  <c r="V517" i="1"/>
  <c r="O504" i="246"/>
  <c r="S504" i="246" s="1"/>
  <c r="O2291" i="246"/>
  <c r="R2301" i="246"/>
  <c r="S423" i="246"/>
  <c r="W960" i="246" s="1"/>
  <c r="C960" i="246" s="1"/>
  <c r="R423" i="246"/>
  <c r="R424" i="246" s="1"/>
  <c r="R425" i="246" s="1"/>
  <c r="R426" i="246" s="1"/>
  <c r="R427" i="246" s="1"/>
  <c r="R2331" i="1"/>
  <c r="M2321" i="1"/>
  <c r="R2321" i="1" s="1"/>
  <c r="S423" i="1"/>
  <c r="R423" i="1"/>
  <c r="R424" i="1" s="1"/>
  <c r="R425" i="1" s="1"/>
  <c r="R426" i="1" s="1"/>
  <c r="R427" i="1" s="1"/>
  <c r="S504" i="1"/>
  <c r="M484" i="1"/>
  <c r="M474" i="1" s="1"/>
  <c r="S474" i="1" s="1"/>
  <c r="M499" i="1" s="1"/>
  <c r="O484" i="246"/>
  <c r="O474" i="246" s="1"/>
  <c r="S474" i="246" s="1"/>
  <c r="O499" i="246" s="1"/>
  <c r="M1728" i="1"/>
  <c r="C1716" i="1" s="1"/>
  <c r="O1698" i="246"/>
  <c r="L404" i="5"/>
  <c r="L2" i="5" s="1"/>
  <c r="D484" i="1"/>
  <c r="D484" i="246"/>
  <c r="G18" i="229"/>
  <c r="G32" i="229" s="1"/>
  <c r="G34" i="229" s="1"/>
  <c r="R496" i="1"/>
  <c r="R495" i="1"/>
  <c r="R489" i="1"/>
  <c r="R490" i="1"/>
  <c r="M513" i="1"/>
  <c r="R513" i="1" s="1"/>
  <c r="R485" i="1"/>
  <c r="R518" i="1"/>
  <c r="R518" i="246"/>
  <c r="Y960" i="1" l="1"/>
  <c r="Z960" i="1"/>
  <c r="R1927" i="246"/>
  <c r="R1934" i="246"/>
  <c r="O1686" i="246"/>
  <c r="S1686" i="246" s="1"/>
  <c r="O1707" i="246" s="1"/>
  <c r="C1686" i="246"/>
  <c r="O2014" i="246"/>
  <c r="R2014" i="246" s="1"/>
  <c r="O2029" i="246"/>
  <c r="U518" i="246" s="1"/>
  <c r="M2043" i="1"/>
  <c r="R2043" i="1" s="1"/>
  <c r="M2058" i="1"/>
  <c r="V518" i="1" s="1"/>
  <c r="R2001" i="246"/>
  <c r="R2006" i="246"/>
  <c r="R2002" i="246"/>
  <c r="R2005" i="246"/>
  <c r="S513" i="246"/>
  <c r="O534" i="246" s="1"/>
  <c r="U499" i="246" s="1"/>
  <c r="R2034" i="1"/>
  <c r="R2031" i="1"/>
  <c r="R2030" i="1"/>
  <c r="R2035" i="1"/>
  <c r="R1925" i="246"/>
  <c r="R1959" i="246"/>
  <c r="Z958" i="1"/>
  <c r="R1931" i="246"/>
  <c r="U517" i="246"/>
  <c r="R1930" i="246"/>
  <c r="R1953" i="246"/>
  <c r="R1960" i="246"/>
  <c r="R1957" i="246"/>
  <c r="R1961" i="246"/>
  <c r="R1955" i="246"/>
  <c r="R1928" i="246"/>
  <c r="R1924" i="246"/>
  <c r="R1952" i="246"/>
  <c r="R1933" i="246"/>
  <c r="R1932" i="246"/>
  <c r="R1929" i="246"/>
  <c r="R1926" i="246"/>
  <c r="R1958" i="246"/>
  <c r="R1923" i="246"/>
  <c r="R1956" i="246"/>
  <c r="S2321" i="1"/>
  <c r="M444" i="1"/>
  <c r="Z444" i="1" s="1"/>
  <c r="M436" i="1"/>
  <c r="M426" i="1"/>
  <c r="Y958" i="1"/>
  <c r="S2291" i="246"/>
  <c r="R2291" i="246"/>
  <c r="W958" i="246"/>
  <c r="C958" i="246" s="1"/>
  <c r="O444" i="246"/>
  <c r="O436" i="246"/>
  <c r="O426" i="246"/>
  <c r="W426" i="246" s="1"/>
  <c r="D426" i="246" s="1"/>
  <c r="R484" i="1"/>
  <c r="R1698" i="246"/>
  <c r="R484" i="246"/>
  <c r="R1728" i="1"/>
  <c r="M1716" i="1"/>
  <c r="R1716" i="1" s="1"/>
  <c r="S513" i="1"/>
  <c r="M534" i="1" s="1"/>
  <c r="V499" i="1" s="1"/>
  <c r="R474" i="1"/>
  <c r="R474" i="246"/>
  <c r="R475" i="246" s="1"/>
  <c r="O286" i="246"/>
  <c r="O286" i="1"/>
  <c r="M286" i="1" s="1"/>
  <c r="R515" i="246"/>
  <c r="R519" i="246"/>
  <c r="R514" i="246"/>
  <c r="R520" i="246"/>
  <c r="R519" i="1"/>
  <c r="R514" i="1"/>
  <c r="R520" i="1"/>
  <c r="R515" i="1"/>
  <c r="C960" i="1" l="1"/>
  <c r="C961" i="1"/>
  <c r="R961" i="1" s="1"/>
  <c r="R1686" i="246"/>
  <c r="R1687" i="246" s="1"/>
  <c r="R1688" i="246" s="1"/>
  <c r="C958" i="1"/>
  <c r="V2058" i="1"/>
  <c r="Z2058" i="1"/>
  <c r="V485" i="1"/>
  <c r="V2011" i="1"/>
  <c r="Y2058" i="1"/>
  <c r="R2044" i="1"/>
  <c r="R2048" i="1"/>
  <c r="R2045" i="1"/>
  <c r="R2049" i="1"/>
  <c r="U2029" i="246"/>
  <c r="W2029" i="246"/>
  <c r="C2029" i="246" s="1"/>
  <c r="U485" i="246"/>
  <c r="U1981" i="246"/>
  <c r="R2019" i="246"/>
  <c r="R2015" i="246"/>
  <c r="R2020" i="246"/>
  <c r="R2016" i="246"/>
  <c r="Y426" i="1"/>
  <c r="Z426" i="1"/>
  <c r="Z436" i="1"/>
  <c r="Y436" i="1"/>
  <c r="R436" i="1"/>
  <c r="Y444" i="1"/>
  <c r="D444" i="1" s="1"/>
  <c r="O293" i="1"/>
  <c r="D293" i="1" s="1"/>
  <c r="M449" i="1"/>
  <c r="V449" i="1" s="1"/>
  <c r="R2322" i="1"/>
  <c r="R2323" i="1" s="1"/>
  <c r="R2332" i="1"/>
  <c r="R2333" i="1"/>
  <c r="R2334" i="1" s="1"/>
  <c r="R2335" i="1" s="1"/>
  <c r="R2336" i="1" s="1"/>
  <c r="W444" i="246"/>
  <c r="D444" i="246" s="1"/>
  <c r="O294" i="246"/>
  <c r="O449" i="246"/>
  <c r="U449" i="246" s="1"/>
  <c r="O2429" i="246"/>
  <c r="O2355" i="246"/>
  <c r="W2355" i="246" s="1"/>
  <c r="D2355" i="246" s="1"/>
  <c r="O2319" i="246"/>
  <c r="O2434" i="246"/>
  <c r="W2434" i="246" s="1"/>
  <c r="D2434" i="246" s="1"/>
  <c r="O2371" i="246"/>
  <c r="O2414" i="246"/>
  <c r="W2414" i="246" s="1"/>
  <c r="D2414" i="246" s="1"/>
  <c r="O2442" i="246"/>
  <c r="O2305" i="246"/>
  <c r="W2305" i="246" s="1"/>
  <c r="D2305" i="246" s="1"/>
  <c r="O2447" i="246"/>
  <c r="W436" i="246"/>
  <c r="D436" i="246" s="1"/>
  <c r="R436" i="246"/>
  <c r="R2292" i="246"/>
  <c r="R2293" i="246" s="1"/>
  <c r="R2302" i="246"/>
  <c r="R2303" i="246"/>
  <c r="R2304" i="246" s="1"/>
  <c r="R2305" i="246" s="1"/>
  <c r="R2306" i="246" s="1"/>
  <c r="M2459" i="1"/>
  <c r="M2464" i="1"/>
  <c r="M2401" i="1"/>
  <c r="M2349" i="1"/>
  <c r="M2472" i="1"/>
  <c r="M2444" i="1"/>
  <c r="M2385" i="1"/>
  <c r="M2335" i="1"/>
  <c r="M2477" i="1"/>
  <c r="Z2477" i="1" s="1"/>
  <c r="S1716" i="1"/>
  <c r="M1737" i="1" s="1"/>
  <c r="R1737" i="1" s="1"/>
  <c r="R1696" i="1" s="1"/>
  <c r="R476" i="1"/>
  <c r="R475" i="1"/>
  <c r="R486" i="1"/>
  <c r="R487" i="1"/>
  <c r="R476" i="246"/>
  <c r="R486" i="246"/>
  <c r="R487" i="246"/>
  <c r="R1707" i="246"/>
  <c r="R1666" i="246" s="1"/>
  <c r="U484" i="246"/>
  <c r="R1734" i="1"/>
  <c r="R1717" i="1"/>
  <c r="R1718" i="1" s="1"/>
  <c r="R2009" i="1"/>
  <c r="R1993" i="1"/>
  <c r="R1994" i="1"/>
  <c r="R1995" i="1"/>
  <c r="R2001" i="1"/>
  <c r="R2012" i="1"/>
  <c r="R1998" i="1"/>
  <c r="R2002" i="1"/>
  <c r="R2013" i="1"/>
  <c r="R2010" i="1"/>
  <c r="R2000" i="1"/>
  <c r="R1999" i="1"/>
  <c r="R2014" i="1"/>
  <c r="R1992" i="1"/>
  <c r="R2004" i="1"/>
  <c r="R2027" i="1"/>
  <c r="R1996" i="1"/>
  <c r="R1997" i="1"/>
  <c r="R1980" i="246"/>
  <c r="R1969" i="246"/>
  <c r="R1962" i="246"/>
  <c r="R1966" i="246"/>
  <c r="R1968" i="246"/>
  <c r="R1970" i="246"/>
  <c r="R1964" i="246"/>
  <c r="R1972" i="246"/>
  <c r="R1979" i="246"/>
  <c r="R1967" i="246"/>
  <c r="R1965" i="246"/>
  <c r="R1998" i="246"/>
  <c r="R1963" i="246"/>
  <c r="R1982" i="246"/>
  <c r="R1971" i="246"/>
  <c r="R1984" i="246"/>
  <c r="R1983" i="246"/>
  <c r="R1974" i="246"/>
  <c r="R1704" i="246" l="1"/>
  <c r="D426" i="1"/>
  <c r="D436" i="1"/>
  <c r="C2058" i="1"/>
  <c r="Y2464" i="1"/>
  <c r="Z2464" i="1"/>
  <c r="Y2335" i="1"/>
  <c r="Z2335" i="1"/>
  <c r="Z449" i="1"/>
  <c r="Y2444" i="1"/>
  <c r="Z2444" i="1"/>
  <c r="Y2385" i="1"/>
  <c r="Z2385" i="1"/>
  <c r="O584" i="246"/>
  <c r="U453" i="246"/>
  <c r="W449" i="246"/>
  <c r="D449" i="246" s="1"/>
  <c r="V2477" i="1"/>
  <c r="Y2477" i="1"/>
  <c r="D2477" i="1" s="1"/>
  <c r="R435" i="246"/>
  <c r="R437" i="246"/>
  <c r="R434" i="246"/>
  <c r="D294" i="246"/>
  <c r="O298" i="246"/>
  <c r="R434" i="1"/>
  <c r="R435" i="1"/>
  <c r="R437" i="1"/>
  <c r="Y449" i="1"/>
  <c r="V452" i="1"/>
  <c r="M584" i="1"/>
  <c r="Z2401" i="1"/>
  <c r="Y2401" i="1"/>
  <c r="V2401" i="1"/>
  <c r="U2447" i="246"/>
  <c r="W2447" i="246"/>
  <c r="D2447" i="246" s="1"/>
  <c r="W2371" i="246"/>
  <c r="D2371" i="246" s="1"/>
  <c r="U2371" i="246"/>
  <c r="M293" i="1"/>
  <c r="O297" i="1"/>
  <c r="D297" i="1" s="1"/>
  <c r="V484" i="1"/>
  <c r="R1735" i="1"/>
  <c r="R1739" i="1"/>
  <c r="R1690" i="1"/>
  <c r="R1695" i="1"/>
  <c r="R1685" i="1"/>
  <c r="R1688" i="1"/>
  <c r="R1691" i="1"/>
  <c r="R1736" i="1"/>
  <c r="R1694" i="1"/>
  <c r="R1741" i="1"/>
  <c r="R1742" i="1"/>
  <c r="R1692" i="1"/>
  <c r="R1687" i="1"/>
  <c r="R1686" i="1"/>
  <c r="R1689" i="1"/>
  <c r="R1743" i="1"/>
  <c r="R1693" i="1"/>
  <c r="R1740" i="1"/>
  <c r="R1738" i="1"/>
  <c r="R1658" i="246"/>
  <c r="R1659" i="246"/>
  <c r="R1661" i="246"/>
  <c r="R1660" i="246"/>
  <c r="R1713" i="246"/>
  <c r="R1656" i="246"/>
  <c r="R1664" i="246"/>
  <c r="R1657" i="246"/>
  <c r="R1706" i="246"/>
  <c r="R1709" i="246"/>
  <c r="R1655" i="246"/>
  <c r="R1708" i="246"/>
  <c r="R1710" i="246"/>
  <c r="R1663" i="246"/>
  <c r="R1711" i="246"/>
  <c r="R1662" i="246"/>
  <c r="R1705" i="246"/>
  <c r="R1665" i="246"/>
  <c r="R1712" i="246"/>
  <c r="D2335" i="1" l="1"/>
  <c r="D2401" i="1"/>
  <c r="D449" i="1"/>
  <c r="D2385" i="1"/>
  <c r="D2444" i="1"/>
  <c r="D2464" i="1"/>
  <c r="O302" i="246"/>
  <c r="D302" i="246" s="1"/>
  <c r="U298" i="246"/>
  <c r="D298" i="246"/>
  <c r="Z584" i="1"/>
  <c r="Y584" i="1"/>
  <c r="M588" i="1"/>
  <c r="O588" i="246"/>
  <c r="W584" i="246"/>
  <c r="C584" i="246" s="1"/>
  <c r="V297" i="1"/>
  <c r="O301" i="1"/>
  <c r="D301" i="1" s="1"/>
  <c r="C584" i="1" l="1"/>
  <c r="Z581" i="1"/>
  <c r="V510" i="1"/>
  <c r="Y581" i="1"/>
  <c r="U510" i="246"/>
  <c r="U2" i="246"/>
  <c r="C581" i="1" l="1"/>
  <c r="V2" i="1"/>
  <c r="K428" i="1" l="1"/>
  <c r="K2621" i="1"/>
  <c r="K3281" i="1"/>
  <c r="K3446" i="1"/>
  <c r="K3116" i="1"/>
  <c r="K2951" i="1"/>
  <c r="K2444" i="1"/>
  <c r="K2786" i="1"/>
  <c r="K436" i="1"/>
  <c r="K3118" i="1" l="1"/>
  <c r="K3448" i="1"/>
  <c r="K2623" i="1"/>
  <c r="K2953" i="1"/>
  <c r="C1073" i="1"/>
  <c r="C1075" i="1" s="1"/>
  <c r="K2446" i="1"/>
  <c r="K438" i="1"/>
  <c r="K2788" i="1"/>
  <c r="K3283" i="1"/>
  <c r="C1083" i="1" l="1"/>
  <c r="C1104" i="1" s="1"/>
  <c r="K481" i="1" l="1"/>
  <c r="K2638" i="1"/>
  <c r="K3463" i="1"/>
  <c r="K440" i="1"/>
  <c r="K3298" i="1"/>
  <c r="K2803" i="1"/>
  <c r="K3133" i="1"/>
  <c r="K2968" i="1"/>
  <c r="K2461" i="1"/>
  <c r="K480" i="1" l="1"/>
  <c r="K482" i="1"/>
  <c r="K477" i="1"/>
  <c r="K483" i="1" l="1"/>
  <c r="K484" i="1" l="1"/>
  <c r="K491" i="1" l="1"/>
  <c r="K492" i="1"/>
  <c r="K493" i="1" l="1"/>
  <c r="K507" i="1" l="1"/>
  <c r="K508" i="1" l="1"/>
  <c r="K509" i="1" l="1"/>
  <c r="K517" i="1" l="1"/>
  <c r="K527" i="1"/>
  <c r="K516" i="1"/>
  <c r="K485" i="1" l="1"/>
  <c r="K524" i="1" l="1"/>
  <c r="K518" i="1"/>
  <c r="K525" i="1" l="1"/>
  <c r="K526" i="1" l="1"/>
  <c r="K528" i="1" l="1"/>
  <c r="K428" i="246" l="1"/>
  <c r="K2921" i="246"/>
  <c r="K2756" i="246"/>
  <c r="K2591" i="246"/>
  <c r="K2414" i="246"/>
  <c r="K436" i="246"/>
  <c r="K2593" i="246" l="1"/>
  <c r="K438" i="246"/>
  <c r="C1072" i="246"/>
  <c r="C1074" i="246" s="1"/>
  <c r="K2416" i="246"/>
  <c r="K2923" i="246"/>
  <c r="K2758" i="246"/>
  <c r="C1082" i="246" l="1"/>
  <c r="C1103" i="246" s="1"/>
  <c r="K2431" i="246" l="1"/>
  <c r="K440" i="246"/>
  <c r="K2608" i="246"/>
  <c r="K2773" i="246"/>
  <c r="K2938" i="246"/>
  <c r="K481" i="246" l="1"/>
  <c r="K477" i="246"/>
  <c r="K480" i="246" l="1"/>
  <c r="K482" i="246"/>
  <c r="K483" i="246" l="1"/>
  <c r="K484" i="246" l="1"/>
  <c r="K492" i="246" l="1"/>
  <c r="K491" i="246" l="1"/>
  <c r="K493" i="246"/>
  <c r="K508" i="246" l="1"/>
  <c r="K509" i="246" l="1"/>
  <c r="K507" i="246"/>
  <c r="K517" i="246" l="1"/>
  <c r="K516" i="246" l="1"/>
  <c r="K527" i="246"/>
  <c r="K485" i="246"/>
  <c r="K524" i="246" l="1"/>
  <c r="K518" i="246"/>
  <c r="K525" i="246" l="1"/>
  <c r="K526" i="246" l="1"/>
  <c r="K528" i="246" l="1"/>
  <c r="O73" i="1" l="1"/>
  <c r="Q411" i="1"/>
  <c r="Q464" i="1" l="1"/>
  <c r="O75" i="1"/>
  <c r="O77" i="1" l="1"/>
  <c r="Q539" i="1"/>
  <c r="O79" i="1" l="1"/>
  <c r="Q594" i="1"/>
  <c r="Q642" i="1" l="1"/>
  <c r="Q662" i="1" s="1"/>
  <c r="Q678" i="1" l="1"/>
  <c r="Q699" i="1" s="1"/>
  <c r="Q725" i="1" s="1"/>
  <c r="Q743" i="1" l="1"/>
  <c r="Q762" i="1" l="1"/>
  <c r="Q781" i="1" l="1"/>
  <c r="Q804" i="1" s="1"/>
  <c r="Q820" i="1" s="1"/>
  <c r="Q840" i="1" s="1"/>
  <c r="Q861" i="1" s="1"/>
  <c r="Q876" i="1" s="1"/>
  <c r="Q904" i="1" s="1"/>
  <c r="Q948" i="1" s="1"/>
  <c r="Q975" i="1" s="1"/>
  <c r="Q1003" i="1" l="1"/>
  <c r="Q1036" i="1" l="1"/>
  <c r="Q1062" i="1" s="1"/>
  <c r="Q1122" i="1" s="1"/>
  <c r="Q1187" i="1" s="1"/>
  <c r="Q1242" i="1" s="1"/>
  <c r="Q1300" i="1" s="1"/>
  <c r="Q1368" i="1" s="1"/>
  <c r="Q1398" i="1" s="1"/>
  <c r="Q1453" i="1" s="1"/>
  <c r="Q1511" i="1" s="1"/>
  <c r="Q1552" i="1" s="1"/>
  <c r="Q1596" i="1" s="1"/>
  <c r="Q1621" i="1" s="1"/>
  <c r="Q1653" i="1" s="1"/>
  <c r="Q1685" i="1" s="1"/>
  <c r="Q1744" i="1" s="1"/>
  <c r="Q1770" i="1" s="1"/>
  <c r="Q1802" i="1" s="1"/>
  <c r="Q1830" i="1" s="1"/>
  <c r="Q1853" i="1" s="1"/>
  <c r="Q1877" i="1" s="1"/>
  <c r="Q1913" i="1" s="1"/>
  <c r="Q1953" i="1" s="1"/>
  <c r="Q1992" i="1" s="1"/>
  <c r="Q2017" i="1" s="1"/>
  <c r="Q2070" i="1" s="1"/>
  <c r="Q2097" i="1" s="1"/>
  <c r="Q2124" i="1" s="1"/>
  <c r="Q2148" i="1" s="1"/>
  <c r="Q2174" i="1" s="1"/>
  <c r="Q2202" i="1" s="1"/>
  <c r="Q2228" i="1" s="1"/>
  <c r="Q2265" i="1" s="1"/>
  <c r="D170" i="1" s="1"/>
  <c r="Q411" i="246"/>
  <c r="O73" i="246"/>
  <c r="Q2307" i="1" l="1"/>
  <c r="Q2391" i="1" s="1"/>
  <c r="O83" i="1" s="1"/>
  <c r="O81" i="1"/>
  <c r="Q464" i="246"/>
  <c r="O75" i="246"/>
  <c r="Q539" i="246" l="1"/>
  <c r="O79" i="246" s="1"/>
  <c r="O77" i="246"/>
  <c r="Q594" i="246" l="1"/>
  <c r="Q642" i="246" l="1"/>
  <c r="Q661" i="246" s="1"/>
  <c r="Q677" i="246" s="1"/>
  <c r="Q698" i="246" s="1"/>
  <c r="Q724" i="246" l="1"/>
  <c r="Q742" i="246" l="1"/>
  <c r="Q761" i="246" l="1"/>
  <c r="Q780" i="246" s="1"/>
  <c r="Q803" i="246" s="1"/>
  <c r="Q819" i="246" s="1"/>
  <c r="Q839" i="246" s="1"/>
  <c r="Q860" i="246" s="1"/>
  <c r="Q875" i="246" s="1"/>
  <c r="Q903" i="246" s="1"/>
  <c r="Q948" i="246" s="1"/>
  <c r="Q974" i="246" s="1"/>
  <c r="Q1002" i="246" l="1"/>
  <c r="Q1035" i="246" l="1"/>
  <c r="Q1061" i="246" s="1"/>
  <c r="Q1121" i="246" s="1"/>
  <c r="Q1186" i="246" s="1"/>
  <c r="Q1241" i="246" s="1"/>
  <c r="Q1299" i="246" s="1"/>
  <c r="Q1346" i="246" s="1"/>
  <c r="Q1369" i="246" s="1"/>
  <c r="Q1424" i="246" s="1"/>
  <c r="Q1482" i="246" s="1"/>
  <c r="Q1523" i="246" s="1"/>
  <c r="Q1567" i="246" s="1"/>
  <c r="Q1592" i="246" s="1"/>
  <c r="Q1624" i="246" s="1"/>
  <c r="Q1655" i="246" s="1"/>
  <c r="Q1714" i="246" s="1"/>
  <c r="Q1740" i="246" s="1"/>
  <c r="Q1772" i="246" s="1"/>
  <c r="Q1800" i="246" s="1"/>
  <c r="Q1823" i="246" s="1"/>
  <c r="Q1847" i="246" s="1"/>
  <c r="Q1883" i="246" s="1"/>
  <c r="Q1923" i="246" s="1"/>
  <c r="Q1962" i="246" s="1"/>
  <c r="Q1988" i="246" s="1"/>
  <c r="Q2041" i="246" s="1"/>
  <c r="Q2068" i="246" s="1"/>
  <c r="Q2095" i="246" s="1"/>
  <c r="Q2119" i="246" s="1"/>
  <c r="Q2145" i="246" s="1"/>
  <c r="Q2173" i="246" s="1"/>
  <c r="Q2199" i="246" s="1"/>
  <c r="Q2236" i="246" s="1"/>
  <c r="D170" i="246" s="1"/>
  <c r="Q2277" i="246" l="1"/>
  <c r="Q2361" i="246" s="1"/>
  <c r="O83" i="246" s="1"/>
  <c r="O81" i="246"/>
</calcChain>
</file>

<file path=xl/sharedStrings.xml><?xml version="1.0" encoding="utf-8"?>
<sst xmlns="http://schemas.openxmlformats.org/spreadsheetml/2006/main" count="5183" uniqueCount="1219">
  <si>
    <t>6200/020</t>
  </si>
  <si>
    <t>MOTOR VEHICLES - ACC DEPR</t>
  </si>
  <si>
    <t>6200/021</t>
  </si>
  <si>
    <t>6200/022</t>
  </si>
  <si>
    <t>6200/023</t>
  </si>
  <si>
    <t>6250/000</t>
  </si>
  <si>
    <t>6250/001</t>
  </si>
  <si>
    <t>6250/002</t>
  </si>
  <si>
    <t>6250/003</t>
  </si>
  <si>
    <t>6250/020</t>
  </si>
  <si>
    <t>6250/021</t>
  </si>
  <si>
    <t>6250/022</t>
  </si>
  <si>
    <t>6250/023</t>
  </si>
  <si>
    <t>Reserves</t>
  </si>
  <si>
    <t>6350/000</t>
  </si>
  <si>
    <t>6350/001</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</si>
  <si>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</si>
  <si>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</si>
  <si>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</si>
  <si>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</si>
  <si>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</si>
  <si>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</si>
  <si>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</si>
  <si>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</si>
  <si>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</si>
  <si>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</si>
  <si>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</si>
  <si>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</si>
  <si>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</si>
  <si>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</si>
  <si>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</si>
  <si>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</si>
  <si>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</si>
  <si>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</si>
  <si>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</si>
  <si>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</si>
  <si>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</si>
  <si>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</si>
  <si>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</si>
  <si>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</si>
  <si>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</si>
  <si>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</si>
  <si>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</si>
  <si>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INTANGIBLE ASSETS</t>
  </si>
  <si>
    <t>INVENTORY</t>
  </si>
  <si>
    <t>Depreciation rates</t>
  </si>
  <si>
    <t>2100/033</t>
  </si>
  <si>
    <t>Depr - Motor vehicles</t>
  </si>
  <si>
    <t>Depr - Electronic equipment</t>
  </si>
  <si>
    <t>2100/040</t>
  </si>
  <si>
    <t>Discounts allowed</t>
  </si>
  <si>
    <t>2100/050</t>
  </si>
  <si>
    <t>2100/055</t>
  </si>
  <si>
    <t>Is deferred tax provided?</t>
  </si>
  <si>
    <t>Equipment lease</t>
  </si>
  <si>
    <t>2100/060</t>
  </si>
  <si>
    <t>3000/095</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</si>
  <si>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</si>
  <si>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</si>
  <si>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</si>
  <si>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</si>
  <si>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</si>
  <si>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</si>
  <si>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</si>
  <si>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</si>
  <si>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</si>
  <si>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</si>
  <si>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</si>
  <si>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</si>
  <si>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</si>
  <si>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</si>
  <si>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</si>
  <si>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</si>
  <si>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</si>
  <si>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</si>
  <si>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</si>
  <si>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</si>
  <si>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</si>
  <si>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</si>
  <si>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5130/000</t>
  </si>
  <si>
    <t>Yes</t>
  </si>
  <si>
    <t>No</t>
  </si>
  <si>
    <t>Investments</t>
  </si>
  <si>
    <t>If "Yes":</t>
  </si>
  <si>
    <t>Balance</t>
  </si>
  <si>
    <t>FIRST SET OF ACCOUNTS</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</si>
  <si>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</si>
  <si>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</si>
  <si>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</si>
  <si>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</si>
  <si>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</si>
  <si>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</si>
  <si>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</si>
  <si>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</si>
  <si>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</si>
  <si>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</si>
  <si>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</si>
  <si>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</si>
  <si>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</si>
  <si>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</si>
  <si>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</si>
  <si>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</si>
  <si>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</si>
  <si>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</si>
  <si>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</si>
  <si>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</si>
  <si>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CAPITAL</t>
  </si>
  <si>
    <t>INTEREST</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</si>
  <si>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</si>
  <si>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</si>
  <si>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</si>
  <si>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</si>
  <si>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</si>
  <si>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</si>
  <si>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</si>
  <si>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</si>
  <si>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</si>
  <si>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</si>
  <si>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</si>
  <si>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</si>
  <si>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</si>
  <si>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</si>
  <si>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</si>
  <si>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</si>
  <si>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</si>
  <si>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</si>
  <si>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</si>
  <si>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</si>
  <si>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</si>
  <si>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</si>
  <si>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</si>
  <si>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</si>
  <si>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</si>
  <si>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</si>
  <si>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</si>
  <si>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</si>
  <si>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</si>
  <si>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</si>
  <si>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</si>
  <si>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</si>
  <si>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6350/021</t>
  </si>
  <si>
    <t>6350/022</t>
  </si>
  <si>
    <t>7100/205</t>
  </si>
  <si>
    <t>7450/000</t>
  </si>
  <si>
    <t>7450/001</t>
  </si>
  <si>
    <t>7450/002</t>
  </si>
  <si>
    <t>7450/003</t>
  </si>
  <si>
    <t>YEAR END</t>
  </si>
  <si>
    <t>THIS YEAR</t>
  </si>
  <si>
    <t>Less: Disposals</t>
  </si>
  <si>
    <t>SECRETARIAL INFORMATION</t>
  </si>
  <si>
    <t>JOURNALS</t>
  </si>
  <si>
    <t>NR</t>
  </si>
  <si>
    <t>JOURNALS - YEAR END</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</si>
  <si>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</si>
  <si>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</si>
  <si>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</si>
  <si>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</si>
  <si>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</si>
  <si>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</si>
  <si>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</si>
  <si>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</si>
  <si>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</si>
  <si>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</si>
  <si>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</si>
  <si>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</si>
  <si>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</si>
  <si>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</si>
  <si>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</si>
  <si>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</si>
  <si>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</si>
  <si>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</si>
  <si>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</si>
  <si>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</si>
  <si>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</si>
  <si>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</si>
  <si>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</si>
  <si>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</si>
  <si>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</si>
  <si>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</si>
  <si>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</si>
  <si>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</si>
  <si>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</si>
  <si>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</si>
  <si>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</si>
  <si>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</si>
  <si>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</si>
  <si>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</si>
  <si>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</si>
  <si>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</si>
  <si>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</si>
  <si>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</si>
  <si>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</si>
  <si>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</si>
  <si>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</si>
  <si>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</si>
  <si>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</si>
  <si>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</si>
  <si>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</si>
  <si>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</si>
  <si>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</si>
  <si>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</si>
  <si>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</si>
  <si>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</si>
  <si>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</si>
  <si>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</si>
  <si>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</si>
  <si>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</si>
  <si>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</si>
  <si>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Dividends paid</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</si>
  <si>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</si>
  <si>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</si>
  <si>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</si>
  <si>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</si>
  <si>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</si>
  <si>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</si>
  <si>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</si>
  <si>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</si>
  <si>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</si>
  <si>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</si>
  <si>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</si>
  <si>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</si>
  <si>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</si>
  <si>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</si>
  <si>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</si>
  <si>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</si>
  <si>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</si>
  <si>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</si>
  <si>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</si>
  <si>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</si>
  <si>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</si>
  <si>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</si>
  <si>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</si>
  <si>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</si>
  <si>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</si>
  <si>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 xml:space="preserve">Salaries </t>
  </si>
  <si>
    <t>Training</t>
  </si>
  <si>
    <t>Short term portion of long term loans</t>
  </si>
  <si>
    <t>Carried forward</t>
  </si>
  <si>
    <t>Brought forward</t>
  </si>
  <si>
    <t>Cleaning</t>
  </si>
  <si>
    <t>Donations</t>
  </si>
  <si>
    <t>Refreshments</t>
  </si>
  <si>
    <t>Security</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</si>
  <si>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</si>
  <si>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</si>
  <si>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</si>
  <si>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</si>
  <si>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</si>
  <si>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</si>
  <si>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</si>
  <si>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</si>
  <si>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</si>
  <si>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</si>
  <si>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</si>
  <si>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</si>
  <si>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</si>
  <si>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</si>
  <si>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</si>
  <si>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</si>
  <si>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</si>
  <si>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</si>
  <si>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</si>
  <si>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</si>
  <si>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</si>
  <si>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</si>
  <si>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</si>
  <si>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</si>
  <si>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</si>
  <si>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</si>
  <si>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</si>
  <si>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</si>
  <si>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</si>
  <si>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</si>
  <si>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</si>
  <si>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</si>
  <si>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</si>
  <si>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</si>
  <si>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</si>
  <si>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</si>
  <si>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</si>
  <si>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</si>
  <si>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</si>
  <si>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</si>
  <si>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</si>
  <si>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</si>
  <si>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</si>
  <si>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</si>
  <si>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</si>
  <si>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</si>
  <si>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</si>
  <si>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</si>
  <si>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</si>
  <si>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</si>
  <si>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</si>
  <si>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</si>
  <si>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</si>
  <si>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</si>
  <si>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</si>
  <si>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</si>
  <si>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</si>
  <si>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</si>
  <si>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</si>
  <si>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</si>
  <si>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</si>
  <si>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</si>
  <si>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</si>
  <si>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</si>
  <si>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3000/170</t>
  </si>
  <si>
    <t>Appointed in year</t>
  </si>
  <si>
    <t>Ongoing</t>
  </si>
  <si>
    <t>Resign at annual meeting</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</si>
  <si>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</si>
  <si>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</si>
  <si>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</si>
  <si>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</si>
  <si>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</si>
  <si>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</si>
  <si>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</si>
  <si>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</si>
  <si>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</si>
  <si>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</si>
  <si>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</si>
  <si>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</si>
  <si>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</si>
  <si>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</si>
  <si>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</si>
  <si>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</si>
  <si>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</si>
  <si>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</si>
  <si>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</si>
  <si>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</si>
  <si>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</si>
  <si>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</si>
  <si>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</si>
  <si>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</si>
  <si>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</si>
  <si>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</si>
  <si>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</si>
  <si>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</si>
  <si>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</si>
  <si>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</si>
  <si>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</si>
  <si>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</si>
  <si>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</si>
  <si>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</si>
  <si>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</si>
  <si>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</si>
  <si>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</si>
  <si>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</si>
  <si>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</si>
  <si>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</si>
  <si>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</si>
  <si>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</si>
  <si>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</si>
  <si>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</si>
  <si>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</si>
  <si>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</si>
  <si>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</si>
  <si>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</si>
  <si>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</si>
  <si>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</si>
  <si>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</si>
  <si>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</si>
  <si>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</si>
  <si>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</si>
  <si>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</si>
  <si>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</si>
  <si>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</si>
  <si>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</si>
  <si>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</si>
  <si>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</si>
  <si>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</si>
  <si>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</si>
  <si>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</si>
  <si>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</si>
  <si>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</si>
  <si>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</si>
  <si>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</si>
  <si>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</si>
  <si>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</si>
  <si>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</si>
  <si>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</si>
  <si>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</si>
  <si>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</si>
  <si>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</si>
  <si>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</si>
  <si>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</si>
  <si>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</si>
  <si>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</si>
  <si>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</si>
  <si>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</si>
  <si>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</si>
  <si>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</si>
  <si>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</si>
  <si>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</si>
  <si>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</si>
  <si>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</si>
  <si>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</si>
  <si>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</si>
  <si>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</si>
  <si>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</si>
  <si>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</si>
  <si>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</si>
  <si>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</si>
  <si>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</si>
  <si>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</si>
  <si>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</si>
  <si>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</si>
  <si>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</si>
  <si>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</si>
  <si>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</si>
  <si>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</si>
  <si>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</si>
  <si>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</si>
  <si>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</si>
  <si>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</si>
  <si>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</si>
  <si>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</si>
  <si>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</si>
  <si>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</si>
  <si>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</si>
  <si>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</si>
  <si>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</si>
  <si>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</si>
  <si>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</si>
  <si>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</si>
  <si>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</si>
  <si>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</si>
  <si>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</si>
  <si>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</si>
  <si>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</si>
  <si>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</si>
  <si>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</si>
  <si>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</si>
  <si>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</si>
  <si>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</si>
  <si>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</si>
  <si>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</si>
  <si>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</si>
  <si>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</si>
  <si>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</si>
  <si>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</si>
  <si>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</si>
  <si>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</si>
  <si>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</si>
  <si>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</si>
  <si>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</si>
  <si>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</si>
  <si>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</si>
  <si>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</si>
  <si>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</si>
  <si>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</si>
  <si>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</si>
  <si>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</si>
  <si>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</si>
  <si>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</si>
  <si>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Dividends declared</t>
  </si>
  <si>
    <t>If Yes:</t>
  </si>
  <si>
    <t>Were there a fundamental change in the nature or use of fixed assets?</t>
  </si>
  <si>
    <t>Share Capital</t>
  </si>
  <si>
    <t>SHARE CAPITAL</t>
  </si>
  <si>
    <t>Issued shares at the beginning of the year</t>
  </si>
  <si>
    <t>Shares issued during the year</t>
  </si>
  <si>
    <t>Issued shares at the end of the year</t>
  </si>
  <si>
    <t>SHARE PREMIUM</t>
  </si>
  <si>
    <t>Share premium at the  beginning of the year</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</si>
  <si>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</si>
  <si>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</si>
  <si>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</si>
  <si>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</si>
  <si>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</si>
  <si>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</si>
  <si>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</si>
  <si>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</si>
  <si>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</si>
  <si>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</si>
  <si>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</si>
  <si>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</si>
  <si>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</si>
  <si>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</si>
  <si>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</si>
  <si>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ANNEXURES</t>
  </si>
  <si>
    <t>Portion</t>
  </si>
  <si>
    <t>Reg Date</t>
  </si>
  <si>
    <t>COMMERCIAL</t>
  </si>
  <si>
    <t>RESIDENTIAL AND VACANT STANDS</t>
  </si>
  <si>
    <t>SERVICE DEPOSITS</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</si>
  <si>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</si>
  <si>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</si>
  <si>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</si>
  <si>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</si>
  <si>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</si>
  <si>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</si>
  <si>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</si>
  <si>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</si>
  <si>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</si>
  <si>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</si>
  <si>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</si>
  <si>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</si>
  <si>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</si>
  <si>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</si>
  <si>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</si>
  <si>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</si>
  <si>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</si>
  <si>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</si>
  <si>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</si>
  <si>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</si>
  <si>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COMPANY INFORMATION</t>
  </si>
  <si>
    <t>COMPANY NAME</t>
  </si>
  <si>
    <t>Licenses</t>
  </si>
  <si>
    <t>Levies - Skills development</t>
  </si>
  <si>
    <t>Loss on sale of fixed assets</t>
  </si>
  <si>
    <t>Profit on sale of fixed assets</t>
  </si>
  <si>
    <t>Deferred tax asset</t>
  </si>
  <si>
    <t>Share capital</t>
  </si>
  <si>
    <t>Share premium</t>
  </si>
  <si>
    <t>Deferred tax liability</t>
  </si>
  <si>
    <t>Current tax liability</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</si>
  <si>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</si>
  <si>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</si>
  <si>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</si>
  <si>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</si>
  <si>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</si>
  <si>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</si>
  <si>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</si>
  <si>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</si>
  <si>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</si>
  <si>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</si>
  <si>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</si>
  <si>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</si>
  <si>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</si>
  <si>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</si>
  <si>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</si>
  <si>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</si>
  <si>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</si>
  <si>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</si>
  <si>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</si>
  <si>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</si>
  <si>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</si>
  <si>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</si>
  <si>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</si>
  <si>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</si>
  <si>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</si>
  <si>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TO GO FURTHER, FINISH TRIAL BALANCE FIRST</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</si>
  <si>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</si>
  <si>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</si>
  <si>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</si>
  <si>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</si>
  <si>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</si>
  <si>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</si>
  <si>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</si>
  <si>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</si>
  <si>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</si>
  <si>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</si>
  <si>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</si>
  <si>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</si>
  <si>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</si>
  <si>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</si>
  <si>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</si>
  <si>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Net Value</t>
  </si>
  <si>
    <t>Acc Depr</t>
  </si>
  <si>
    <t>Transfer deed</t>
  </si>
  <si>
    <t>5500/006</t>
  </si>
  <si>
    <t>5500/007</t>
  </si>
  <si>
    <t>5500/008</t>
  </si>
  <si>
    <t>5500/009</t>
  </si>
  <si>
    <t>5500/010</t>
  </si>
  <si>
    <t>5500/011</t>
  </si>
  <si>
    <t>5500/012</t>
  </si>
  <si>
    <t>5500/013</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</si>
  <si>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</si>
  <si>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</si>
  <si>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</si>
  <si>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</si>
  <si>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</si>
  <si>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</si>
  <si>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</si>
  <si>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</si>
  <si>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</si>
  <si>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</si>
  <si>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</si>
  <si>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</si>
  <si>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</si>
  <si>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</si>
  <si>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</si>
  <si>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</si>
  <si>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</si>
  <si>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</si>
  <si>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</si>
  <si>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</si>
  <si>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</si>
  <si>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</si>
  <si>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</si>
  <si>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</si>
  <si>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</si>
  <si>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</si>
  <si>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</si>
  <si>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</si>
  <si>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</si>
  <si>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</si>
  <si>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</si>
  <si>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ANNEXURE B</t>
  </si>
  <si>
    <t>B</t>
  </si>
  <si>
    <t>Annexure A</t>
  </si>
  <si>
    <t>Annexure B</t>
  </si>
  <si>
    <t>Annexure C</t>
  </si>
  <si>
    <t>`</t>
  </si>
  <si>
    <t>C</t>
  </si>
  <si>
    <t>South Africa</t>
  </si>
  <si>
    <t>ANNEXURE C</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</si>
  <si>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</si>
  <si>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</si>
  <si>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</si>
  <si>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</si>
  <si>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</si>
  <si>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</si>
  <si>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</si>
  <si>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</si>
  <si>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</si>
  <si>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</si>
  <si>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</si>
  <si>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</si>
  <si>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</si>
  <si>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</si>
  <si>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</si>
  <si>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</si>
  <si>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</si>
  <si>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</si>
  <si>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</si>
  <si>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</si>
  <si>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</si>
  <si>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</si>
  <si>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</si>
  <si>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</si>
  <si>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</si>
  <si>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</si>
  <si>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</si>
  <si>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</si>
  <si>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NON CURRENT RECEIVABLES</t>
  </si>
  <si>
    <t>FIXED ASSET SUMMARY</t>
  </si>
  <si>
    <t>PLACE OF SIGNING</t>
  </si>
  <si>
    <t>Auditor/Accounting Officer</t>
  </si>
  <si>
    <t>Cash and cash equivalents</t>
  </si>
  <si>
    <t>Interest received</t>
  </si>
  <si>
    <t>3000/055</t>
  </si>
  <si>
    <t>Dividends</t>
  </si>
  <si>
    <t>*</t>
  </si>
  <si>
    <t>ALL ROWS TRUE</t>
  </si>
  <si>
    <t>EXPENSES</t>
  </si>
  <si>
    <t>ADVERTISING</t>
  </si>
  <si>
    <t>INSURANCE</t>
  </si>
  <si>
    <t>6100/030</t>
  </si>
  <si>
    <t>6100/031</t>
  </si>
  <si>
    <t>6100/032</t>
  </si>
  <si>
    <t>6100/033</t>
  </si>
  <si>
    <t>NO</t>
  </si>
  <si>
    <t>Assets less than R7,000</t>
  </si>
  <si>
    <t>Assets less than R7 000</t>
  </si>
  <si>
    <t>Johannesburg</t>
  </si>
  <si>
    <t>A PRODUCT BY</t>
  </si>
  <si>
    <t>www.fseasy.co.za</t>
  </si>
  <si>
    <t>Optional</t>
  </si>
  <si>
    <t>Were there any fundamental facts or contingencies since year end?</t>
  </si>
  <si>
    <t>Div.'s received - SA sources</t>
  </si>
  <si>
    <t>Div.'s received - Foreign div.'s</t>
  </si>
  <si>
    <t>A Director</t>
  </si>
  <si>
    <t>Nationality</t>
  </si>
  <si>
    <t>RSA</t>
  </si>
  <si>
    <t>Were there any changes in the directors during the year?</t>
  </si>
  <si>
    <t>Total assets</t>
  </si>
  <si>
    <t>Bankers</t>
  </si>
  <si>
    <t>Currency</t>
  </si>
  <si>
    <t>South African Rand</t>
  </si>
  <si>
    <t>Reserves additions</t>
  </si>
  <si>
    <t>Reserves transfers</t>
  </si>
  <si>
    <t>OTHER NON - CURRENT RECEIVABLES</t>
  </si>
  <si>
    <t>Trade and other receivables</t>
  </si>
  <si>
    <t>Electricity and water</t>
  </si>
  <si>
    <t>Telephone, postage and courier</t>
  </si>
  <si>
    <t>Consulting and professional fees</t>
  </si>
  <si>
    <t>Printing and stationery</t>
  </si>
  <si>
    <t>Subscriptions and membership fees</t>
  </si>
  <si>
    <t>Plant and equipment</t>
  </si>
  <si>
    <t>Trade and other payables</t>
  </si>
  <si>
    <t>fittings</t>
  </si>
  <si>
    <t>Furniture and fittings</t>
  </si>
  <si>
    <t>CONNECTED ENTITIES LOANS</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</si>
  <si>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</si>
  <si>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</si>
  <si>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</si>
  <si>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</si>
  <si>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</si>
  <si>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</si>
  <si>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</si>
  <si>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</si>
  <si>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</si>
  <si>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</si>
  <si>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</si>
  <si>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</si>
  <si>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</si>
  <si>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</si>
  <si>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</si>
  <si>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Listed investments</t>
  </si>
  <si>
    <t>Calculated loss for tax purposes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</si>
  <si>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</si>
  <si>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</si>
  <si>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</si>
  <si>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</si>
  <si>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</si>
  <si>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</si>
  <si>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</si>
  <si>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</si>
  <si>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</si>
  <si>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</si>
  <si>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</si>
  <si>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</si>
  <si>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</si>
  <si>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</si>
  <si>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</si>
  <si>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</si>
  <si>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</si>
  <si>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</si>
  <si>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</si>
  <si>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</si>
  <si>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</si>
  <si>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</si>
  <si>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</si>
  <si>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</si>
  <si>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</si>
  <si>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</si>
  <si>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</si>
  <si>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</si>
  <si>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</si>
  <si>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</si>
  <si>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</si>
  <si>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</si>
  <si>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</si>
  <si>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</si>
  <si>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</si>
  <si>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</si>
  <si>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</si>
  <si>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</si>
  <si>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</si>
  <si>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</si>
  <si>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</si>
  <si>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</si>
  <si>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</si>
  <si>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</si>
  <si>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</si>
  <si>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</si>
  <si>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</si>
  <si>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</si>
  <si>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</si>
  <si>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</si>
  <si>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</si>
  <si>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</si>
  <si>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</si>
  <si>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</si>
  <si>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</si>
  <si>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</si>
  <si>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(decrease)</t>
  </si>
  <si>
    <t>Taxation</t>
  </si>
  <si>
    <t>Increase/</t>
  </si>
  <si>
    <t>Initial measurement</t>
  </si>
  <si>
    <t>Motor</t>
  </si>
  <si>
    <t>Electronic</t>
  </si>
  <si>
    <t>Business address</t>
  </si>
  <si>
    <t>Business adress</t>
  </si>
  <si>
    <t>Related party balances and transactions</t>
  </si>
  <si>
    <t>Relationship</t>
  </si>
  <si>
    <t>Director</t>
  </si>
  <si>
    <t>Related party</t>
  </si>
  <si>
    <t>owed by / (to)</t>
  </si>
  <si>
    <t>Related party balances and interest (link to Trial Balance)</t>
  </si>
  <si>
    <t>Balance owed by / (to)</t>
  </si>
  <si>
    <t>from / (paid to)</t>
  </si>
  <si>
    <t>Interest (received from) /</t>
  </si>
  <si>
    <t>paid to</t>
  </si>
  <si>
    <t>Persons with significant influence</t>
  </si>
  <si>
    <t>B Director resigned during the financial year and C Director was appointed.</t>
  </si>
  <si>
    <t>Government grants received</t>
  </si>
  <si>
    <t>support@fseasy.co.za</t>
  </si>
  <si>
    <t>AUDIT AND ACCOUNTING FEE ACCRUAL</t>
  </si>
  <si>
    <t>Over-/(Under) provision previous year</t>
  </si>
  <si>
    <t>Tax paid/(refund) for previous year provisions</t>
  </si>
  <si>
    <t>Dividends' tax provision</t>
  </si>
  <si>
    <t>Dividends tax provision</t>
  </si>
  <si>
    <t>Provision for current year</t>
  </si>
  <si>
    <t>Previous periods adjustment</t>
  </si>
  <si>
    <t>Premises</t>
  </si>
  <si>
    <t>The company distributed the share premium to the loan accounts of the shareholders.</t>
  </si>
  <si>
    <t>Figures can be copied from the Holding company's Trial Balance to the Master Consolidated Company</t>
  </si>
  <si>
    <t>Then make use of the Master Consolidated Company to consolidate the group.</t>
  </si>
  <si>
    <t>2000/123456/07</t>
  </si>
  <si>
    <t>7450/007</t>
  </si>
  <si>
    <t>7450/008</t>
  </si>
  <si>
    <t>7450/009</t>
  </si>
  <si>
    <t>7450/010</t>
  </si>
  <si>
    <t>7455/000</t>
  </si>
  <si>
    <t>7455/001</t>
  </si>
  <si>
    <t>7455/002</t>
  </si>
  <si>
    <t>7455/003</t>
  </si>
  <si>
    <t>7455/004</t>
  </si>
  <si>
    <t>7455/005</t>
  </si>
  <si>
    <t>7455/006</t>
  </si>
  <si>
    <t>7455/007</t>
  </si>
  <si>
    <t>7455/008</t>
  </si>
  <si>
    <t>7455/009</t>
  </si>
  <si>
    <t>7455/010</t>
  </si>
  <si>
    <t>CONSOLIDATED FINANCIAL STATEMENTS</t>
  </si>
  <si>
    <t>Investment in financial instruments</t>
  </si>
  <si>
    <t>Investment in immovable properties</t>
  </si>
  <si>
    <t>. . . . . . . . . . . . . . . . . . . . . . .</t>
  </si>
  <si>
    <t>….................................</t>
  </si>
  <si>
    <t>APPROVAL OF ANNUAL CONSOLIDATED FINANCIAL STATEMENTS</t>
  </si>
  <si>
    <r>
      <t xml:space="preserve">If </t>
    </r>
    <r>
      <rPr>
        <b/>
        <sz val="11"/>
        <rFont val="Calibri"/>
        <family val="2"/>
      </rPr>
      <t>dividends</t>
    </r>
    <r>
      <rPr>
        <sz val="11"/>
        <rFont val="Calibri"/>
        <family val="2"/>
      </rPr>
      <t xml:space="preserve"> are declared inter company, remember to contra the dividend received in the holding</t>
    </r>
  </si>
  <si>
    <t>INSTRUCTIONS</t>
  </si>
  <si>
    <t>and then to consolidate the subsidiaries using the other trading activities Trial Balances.</t>
  </si>
  <si>
    <t>company and the dividend declared from the subsidiary with a journal.</t>
  </si>
  <si>
    <t>SUBSIDIARY ONE 111 (PTY) LTD</t>
  </si>
  <si>
    <t>SUBSIDIARY TWO 15 (PTY) LTD</t>
  </si>
  <si>
    <t>Subsidiary One 111 (Pty) Ltd</t>
  </si>
  <si>
    <t>Subsidiary Two 15 (Pty) Ltd</t>
  </si>
  <si>
    <r>
      <t xml:space="preserve">If you make use of the </t>
    </r>
    <r>
      <rPr>
        <b/>
        <sz val="11"/>
        <rFont val="Calibri"/>
        <family val="2"/>
      </rPr>
      <t>Consolidated Financial Statements</t>
    </r>
    <r>
      <rPr>
        <sz val="11"/>
        <rFont val="Calibri"/>
        <family val="2"/>
      </rPr>
      <t>, complete the Master Company file for each</t>
    </r>
  </si>
  <si>
    <t xml:space="preserve">CONSOLIDATED FINANCIAL STATEMENTS FOR THE YEAR ENDED </t>
  </si>
  <si>
    <t xml:space="preserve">A </t>
  </si>
  <si>
    <t xml:space="preserve">B </t>
  </si>
  <si>
    <t xml:space="preserve">C </t>
  </si>
  <si>
    <t>Auditor</t>
  </si>
  <si>
    <t>Subsidiary and for the holding company for bank and tax purposes.</t>
  </si>
  <si>
    <t>The reports and statements set out below comprise the annual Consolidated Financial</t>
  </si>
  <si>
    <t>domicile</t>
  </si>
  <si>
    <t>Country of incorporation and</t>
  </si>
  <si>
    <t>ADMINISTRATIVE EXPENSES</t>
  </si>
  <si>
    <t xml:space="preserve">Revenue </t>
  </si>
  <si>
    <t>Revenue</t>
  </si>
  <si>
    <t>Sale of goods</t>
  </si>
  <si>
    <t>Rendering of services</t>
  </si>
  <si>
    <t>Commissions received</t>
  </si>
  <si>
    <t>1000/004</t>
  </si>
  <si>
    <t>1000/005</t>
  </si>
  <si>
    <t>1000/006</t>
  </si>
  <si>
    <t>1000/007</t>
  </si>
  <si>
    <t>Inventories</t>
  </si>
  <si>
    <t>7100/050</t>
  </si>
  <si>
    <t>INVESTMENTS IN ASSOCIATES</t>
  </si>
  <si>
    <t>7100/051</t>
  </si>
  <si>
    <t>7100/052</t>
  </si>
  <si>
    <t>7100/053</t>
  </si>
  <si>
    <t>REVALUATION RESERVE</t>
  </si>
  <si>
    <t>Revaluation reserve - balance b/fwd</t>
  </si>
  <si>
    <t>Revaluation reserve - additions</t>
  </si>
  <si>
    <t>Revaluation reserve - transfer</t>
  </si>
  <si>
    <t>Current tax assets and liabilities</t>
  </si>
  <si>
    <t>Deferred Tax</t>
  </si>
  <si>
    <t>Tax Expense</t>
  </si>
  <si>
    <t>Property</t>
  </si>
  <si>
    <t>INVESTMENT PROPERTY</t>
  </si>
  <si>
    <t>An intangible asset is an identifiable non-monetary asset without physical substance.</t>
  </si>
  <si>
    <t>Prepaid lease agreements</t>
  </si>
  <si>
    <t>Goodwill</t>
  </si>
  <si>
    <t>Amortisation period (max. 10 years)</t>
  </si>
  <si>
    <t>years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</si>
  <si>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</si>
  <si>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</si>
  <si>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</si>
  <si>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</si>
  <si>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</si>
  <si>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</si>
  <si>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</si>
  <si>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</si>
  <si>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</si>
  <si>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</si>
  <si>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</si>
  <si>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No comparative figures are given as these are the first Financial Statements of the group.</t>
  </si>
  <si>
    <t>PROPERTY</t>
  </si>
  <si>
    <t>PREVIOUS YEAR</t>
  </si>
  <si>
    <t>Previous Year</t>
  </si>
  <si>
    <t>Authorised share capital</t>
  </si>
  <si>
    <t>Authorised</t>
  </si>
  <si>
    <t>Amortisation of prepaid lease agreement</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</si>
  <si>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</si>
  <si>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</si>
  <si>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</si>
  <si>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</si>
  <si>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</si>
  <si>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</si>
  <si>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</si>
  <si>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</si>
  <si>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</si>
  <si>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</si>
  <si>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</si>
  <si>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</si>
  <si>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</si>
  <si>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</si>
  <si>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</si>
  <si>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</si>
  <si>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</si>
  <si>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</si>
  <si>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</si>
  <si>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</si>
  <si>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</si>
  <si>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</si>
  <si>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</si>
  <si>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</si>
  <si>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</si>
  <si>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</si>
  <si>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</si>
  <si>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</si>
  <si>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</si>
  <si>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</si>
  <si>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</si>
  <si>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</si>
  <si>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</si>
  <si>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</si>
  <si>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</si>
  <si>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Carrying value at beginning of year</t>
  </si>
  <si>
    <t>Annual amortisation</t>
  </si>
  <si>
    <t>Impairment loss</t>
  </si>
  <si>
    <t>Carrying value at the end of year</t>
  </si>
  <si>
    <t>Impairment losses</t>
  </si>
  <si>
    <t>Intangible assets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</si>
  <si>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</si>
  <si>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</si>
  <si>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</si>
  <si>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</si>
  <si>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</si>
  <si>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</si>
  <si>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</si>
  <si>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</si>
  <si>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</si>
  <si>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</si>
  <si>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</si>
  <si>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</si>
  <si>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</si>
  <si>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</si>
  <si>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Investment property</t>
  </si>
  <si>
    <t>Less: Transfers to investment property</t>
  </si>
  <si>
    <t>6100/005</t>
  </si>
  <si>
    <t>6100/035</t>
  </si>
  <si>
    <t>Investment property - transfer to property</t>
  </si>
  <si>
    <t>Investment property - valuation reduction on sales</t>
  </si>
  <si>
    <t>6100/044</t>
  </si>
  <si>
    <t>Investment property - valuation reduction on transfers</t>
  </si>
  <si>
    <t>Add: Transfers from property (cost)</t>
  </si>
  <si>
    <t>Add: Fair value changes (revaluation)</t>
  </si>
  <si>
    <t>Less: Transfers to property</t>
  </si>
  <si>
    <t>REVALUATION</t>
  </si>
  <si>
    <t>Cost/Revaluation</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</si>
  <si>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</si>
  <si>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</si>
  <si>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</si>
  <si>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</si>
  <si>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</si>
  <si>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</si>
  <si>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</si>
  <si>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</si>
  <si>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</si>
  <si>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</si>
  <si>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</si>
  <si>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</si>
  <si>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</si>
  <si>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</si>
  <si>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</si>
  <si>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</si>
  <si>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</si>
  <si>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</si>
  <si>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</si>
  <si>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</si>
  <si>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</si>
  <si>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The future minimum lease payments are as follows:</t>
  </si>
  <si>
    <t>Later than one year but within five years</t>
  </si>
  <si>
    <t>leases that fall due as follows:</t>
  </si>
  <si>
    <t>Depr - Property</t>
  </si>
  <si>
    <t>Property - cost b/fwd</t>
  </si>
  <si>
    <t>Property - additions</t>
  </si>
  <si>
    <t>Property - cost of sales</t>
  </si>
  <si>
    <t>Property - transfer to investment property</t>
  </si>
  <si>
    <t>Property - transfer from investment property</t>
  </si>
  <si>
    <t>PROPERTY - COST</t>
  </si>
  <si>
    <t>PROPERTY - ACC DEPR</t>
  </si>
  <si>
    <t>Property - acc depr b/fwd</t>
  </si>
  <si>
    <t>Property - depr this year</t>
  </si>
  <si>
    <t>Property - acc depr on sales</t>
  </si>
  <si>
    <t>Property - recoupment of depr</t>
  </si>
  <si>
    <t>Secured by a finance lease/bond agreement over a motor vehicle/property with a book</t>
  </si>
  <si>
    <t>value of R      and which bears interest at x% p.a.</t>
  </si>
  <si>
    <t>inclusive of capital and interest.</t>
  </si>
  <si>
    <t>and is repayable in equal monthly instalments of R     ,</t>
  </si>
  <si>
    <t>HOLDING COMPANY 268 (PROPRIETARY) LIMITED</t>
  </si>
  <si>
    <t>2800/003</t>
  </si>
  <si>
    <t>Div.'s received - Associates</t>
  </si>
  <si>
    <t>Associates</t>
  </si>
  <si>
    <t>shown separately on the Main Trial Balance.</t>
  </si>
  <si>
    <t>The group's main objective is the investment in financial instruments.</t>
  </si>
  <si>
    <t>CONSOLIDATED STATEMENT OF COMPREHENSIVE INCOME FOR THE</t>
  </si>
  <si>
    <t>At year-end, the Group has outstanding commitments under non-cancellable operating</t>
  </si>
  <si>
    <t>The group entered into transactions with related parties in the ordinary course of business.</t>
  </si>
  <si>
    <t>Did the group have operating activities this year?</t>
  </si>
  <si>
    <t>Did the group have operating activities last year?</t>
  </si>
  <si>
    <t>Did the group sold all it's assets and will be deregistered</t>
  </si>
  <si>
    <t>Shareholders (optional)</t>
  </si>
  <si>
    <t>Interest at SARS official rate</t>
  </si>
  <si>
    <t>The principal accounting policies are as follows:</t>
  </si>
  <si>
    <t>FS EASY</t>
  </si>
  <si>
    <t>(Commitments under non-cancellable contracts)</t>
  </si>
  <si>
    <t>The following are the deferred tax liabilities (assets) recognised by the Group:</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</si>
  <si>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</si>
  <si>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</si>
  <si>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</si>
  <si>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</si>
  <si>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</si>
  <si>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</si>
  <si>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</si>
  <si>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</si>
  <si>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</si>
  <si>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</si>
  <si>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</si>
  <si>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</si>
  <si>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</si>
  <si>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r>
      <t xml:space="preserve">When you insert the previous figures of the subsidiaries on the main Trial Balance (line </t>
    </r>
    <r>
      <rPr>
        <sz val="11"/>
        <color rgb="FFFF0000"/>
        <rFont val="Calibri"/>
        <family val="2"/>
      </rPr>
      <t>A35 to A37</t>
    </r>
    <r>
      <rPr>
        <sz val="11"/>
        <rFont val="Calibri"/>
        <family val="2"/>
      </rPr>
      <t>)</t>
    </r>
  </si>
  <si>
    <t>Share premium at the beginning of the year</t>
  </si>
  <si>
    <t>Nature of operations and</t>
  </si>
  <si>
    <t>principal activities</t>
  </si>
  <si>
    <t>FSEasy</t>
  </si>
  <si>
    <t>Table of contents</t>
  </si>
  <si>
    <t>Page</t>
  </si>
  <si>
    <t>Secretarial information</t>
  </si>
  <si>
    <t>Auditor's compilation report</t>
  </si>
  <si>
    <t>Statement of comprehensive income</t>
  </si>
  <si>
    <t>Statement of financial position</t>
  </si>
  <si>
    <t>Statement of changes in equity</t>
  </si>
  <si>
    <t>Notes to the Financial Statements</t>
  </si>
  <si>
    <t>Detailed income statement</t>
  </si>
  <si>
    <t>Annexures</t>
  </si>
  <si>
    <t>Cost of sales</t>
  </si>
  <si>
    <t>Other operating income</t>
  </si>
  <si>
    <t>Operating expenses</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</si>
  <si>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</si>
  <si>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</si>
  <si>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</si>
  <si>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</si>
  <si>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</si>
  <si>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</si>
  <si>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</si>
  <si>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</si>
  <si>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</si>
  <si>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</si>
  <si>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</si>
  <si>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</si>
  <si>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</si>
  <si>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</si>
  <si>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</si>
  <si>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Statement of cash flows</t>
  </si>
  <si>
    <t>Basis of preparation and accounting policies</t>
  </si>
  <si>
    <t>Basis of consolidation</t>
  </si>
  <si>
    <t>Revenue recognition</t>
  </si>
  <si>
    <t>Property, plant and equipment</t>
  </si>
  <si>
    <t xml:space="preserve">Investment property  </t>
  </si>
  <si>
    <t xml:space="preserve">Leases  </t>
  </si>
  <si>
    <t xml:space="preserve">Inventories  </t>
  </si>
  <si>
    <t xml:space="preserve">Financial instruments  </t>
  </si>
  <si>
    <t>Comparative figures</t>
  </si>
  <si>
    <t>Finance lease assets included in plant and equipment</t>
  </si>
  <si>
    <t>Prepaid lease agreement</t>
  </si>
  <si>
    <t>Revaluation reserve</t>
  </si>
  <si>
    <t>Other reserves</t>
  </si>
  <si>
    <t>Deferred taxation</t>
  </si>
  <si>
    <t>Reconciliation</t>
  </si>
  <si>
    <t>Obligations under finance leases</t>
  </si>
  <si>
    <t>Commitments under operating leases</t>
  </si>
  <si>
    <t>Related parties and transactions</t>
  </si>
  <si>
    <t xml:space="preserve">Finance lease assets included in plant and equipment </t>
  </si>
  <si>
    <t>Less: Cost of sales</t>
  </si>
  <si>
    <t>Less: Operating expenses</t>
  </si>
  <si>
    <t>Less: Administrative expenses</t>
  </si>
  <si>
    <t>Less: Finance costs</t>
  </si>
  <si>
    <t>Net profit/(loss) before taxation - other companies</t>
  </si>
  <si>
    <t>Less: Taxation</t>
  </si>
  <si>
    <t>B Director</t>
  </si>
  <si>
    <t>information used to compile them are your responsibility.</t>
  </si>
  <si>
    <t>These Consolidated Financial Statements and the accuracy and completeness of the</t>
  </si>
  <si>
    <t>Consolidated Financial Statements.</t>
  </si>
  <si>
    <t>The financial results of the group are set out in the attached Consolidated Financial</t>
  </si>
  <si>
    <t>The annual Consolidated Financial Statements have been prepared on the basis of</t>
  </si>
  <si>
    <t>CONSOLIDATED STATEMENT OF FINANCIAL POSITION AS AT</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</si>
  <si>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</si>
  <si>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</si>
  <si>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</si>
  <si>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Income tax expense represents the sum of the tax currently payable and deferred tax</t>
  </si>
  <si>
    <t>term for its own use or for rental purposes and are not held for short term speculative</t>
  </si>
  <si>
    <t>Property, plant and equipment are tangible assets which the Group holds in the long</t>
  </si>
  <si>
    <t>acquisition.</t>
  </si>
  <si>
    <t>Goodwill acquired in a business combination is recognised as an asset and is initially</t>
  </si>
  <si>
    <t>measured at its cost. Subsequent to initial recognition goodwill is carried at cost less</t>
  </si>
  <si>
    <t>accumulated amortisation and net of accumulated impairment losses.</t>
  </si>
  <si>
    <t>These include loans, trade receivables and trade payables. Debt instruments which are</t>
  </si>
  <si>
    <t>Less: Payable within 1 year transferred to current liabilities</t>
  </si>
  <si>
    <t xml:space="preserve">Inventories consist of the following: </t>
  </si>
  <si>
    <t>Details of operating leases</t>
  </si>
  <si>
    <t>average period of five years, with fixed rentals over the same period.</t>
  </si>
  <si>
    <t>rentals over the same period.</t>
  </si>
  <si>
    <t>The Group rents several sales offices under operating leases. The leases are for an</t>
  </si>
  <si>
    <t>The Group also leases office equipment for an average period of 3 years, with fixed</t>
  </si>
  <si>
    <t>Minimum lease payments under operating leases</t>
  </si>
  <si>
    <t>recognised as an expense during the year</t>
  </si>
  <si>
    <t>Assets with a unit cost of less than R7 000 are recognised directly as an expense upon</t>
  </si>
  <si>
    <t>Value</t>
  </si>
  <si>
    <t>Less: Accumulated depreciation</t>
  </si>
  <si>
    <t xml:space="preserve"> Transfers from investment property</t>
  </si>
  <si>
    <t>Less: Acc depr</t>
  </si>
  <si>
    <t xml:space="preserve">Revaluation </t>
  </si>
  <si>
    <t>Less: Accumulated amortisation</t>
  </si>
  <si>
    <t>Less: Accumulated impairment loss</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</si>
  <si>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</si>
  <si>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</si>
  <si>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</si>
  <si>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Consolidated Financial Statements. We have</t>
  </si>
  <si>
    <t>objectivity, professional competence and due care.</t>
  </si>
  <si>
    <t>complied with relevant ethical requirements, including principles of integrity,</t>
  </si>
  <si>
    <t>Since a compilation engagement is not an assurance engagement, we are not required</t>
  </si>
  <si>
    <t>to verify the accuracy or completeness of the information you provided to us to</t>
  </si>
  <si>
    <t>compile these Consolidated Financial Statements. Accordingly, we do not express an</t>
  </si>
  <si>
    <t>audit opinion or a review conclusion on whether these Consolidated Financial</t>
  </si>
  <si>
    <t>accounting policies to the Consolidated Financial Statements.</t>
  </si>
  <si>
    <t>Statements are prepared in accordance with the basis of accounting as set out in the</t>
  </si>
  <si>
    <t>in the Republic of South Africa and the Company's registration number is</t>
  </si>
  <si>
    <t>Statements for the current financial year:</t>
  </si>
  <si>
    <t>necessary.</t>
  </si>
  <si>
    <t>accounting policies applicable to a going concern. This basis presumes that funds will</t>
  </si>
  <si>
    <t>be available to finance future operations and that the realisation of assets and</t>
  </si>
  <si>
    <t>ordinary course of business.</t>
  </si>
  <si>
    <t>settlement of liabilities, contingent obligations and commitments will occur in the</t>
  </si>
  <si>
    <t xml:space="preserve">be available to finance future operations and that the realisation of assets and </t>
  </si>
  <si>
    <t>CONSOLIDATED FINANCIAL STATEMENTS FOR THE YEAR ENDED</t>
  </si>
  <si>
    <t>cost basis, except where stated otherwise.</t>
  </si>
  <si>
    <t>The Consolidated Financial Statements are consistently presented on the historical</t>
  </si>
  <si>
    <t>The Consolidated Financial Statements incorporate the Financial Statements of the</t>
  </si>
  <si>
    <t>income and expenses are eliminated.</t>
  </si>
  <si>
    <t>represents the amounts receivable for goods and services provided in the normal</t>
  </si>
  <si>
    <t>registered for such taxes).</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</si>
  <si>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</si>
  <si>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</si>
  <si>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</si>
  <si>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</si>
  <si>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the economic benefits associated with the transaction will flow to the Group.</t>
  </si>
  <si>
    <t>amount of revenue and its related costs can be measured reliably and it is probable that</t>
  </si>
  <si>
    <t>Current tax for current and prior periods is, to the extent unpaid, recognised as a</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</si>
  <si>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</si>
  <si>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</si>
  <si>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</si>
  <si>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</si>
  <si>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</si>
  <si>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</si>
  <si>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</si>
  <si>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</si>
  <si>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</si>
  <si>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</si>
  <si>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</si>
  <si>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reasons. Property, plant and equipment are initially measured at cost. Cost includes all</t>
  </si>
  <si>
    <t>costs directly attributable to bringing the assets to working condition for their intended</t>
  </si>
  <si>
    <t>use and subsequently to add or replace part of the assets, if it is probable that future</t>
  </si>
  <si>
    <t>plant and equipment are subsequently stated at cost less accumulated depreciation.</t>
  </si>
  <si>
    <t>economic benefits associated with the expenditure will flow to the Group. Property,</t>
  </si>
  <si>
    <t>Depreciation is calculated to write off the cost of property, plant and equipment over</t>
  </si>
  <si>
    <t>for and taken into use, at the following rates per annum:</t>
  </si>
  <si>
    <t>their useful economic life to its estimated residual value, when the asset is available</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</si>
  <si>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</si>
  <si>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</si>
  <si>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</si>
  <si>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</si>
  <si>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</si>
  <si>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</si>
  <si>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</si>
  <si>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</si>
  <si>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</si>
  <si>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</si>
  <si>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</si>
  <si>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</si>
  <si>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 xml:space="preserve">Leases are classified as finance leases when the terms of the lease transfer </t>
  </si>
  <si>
    <t>All other leases are classified as operating leases.</t>
  </si>
  <si>
    <t>substantially all the risks and rewards of ownership of the leased asset to the lessee.</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</si>
  <si>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</si>
  <si>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</si>
  <si>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</si>
  <si>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</si>
  <si>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</si>
  <si>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</si>
  <si>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</si>
  <si>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</si>
  <si>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 xml:space="preserve">that are measured at fair value through profit and loss), unless the arrangement </t>
  </si>
  <si>
    <t>constitutes, in effect, a financing transaction in which case it is measured at the present</t>
  </si>
  <si>
    <t>instrument.</t>
  </si>
  <si>
    <t>value of the future payments discounted at a market rate of interest for a similar debt</t>
  </si>
  <si>
    <t xml:space="preserve">classified as current assets or current liabilities are measured at the undiscounted </t>
  </si>
  <si>
    <t>amount of the cash expected to be received or paid, unless the arrangement effectively</t>
  </si>
  <si>
    <t>constitutes a financing transaction. At each reporting date, the carrying amounts of</t>
  </si>
  <si>
    <t>assets held in this category are reviewed to determine whether there is any objective</t>
  </si>
  <si>
    <t>evidence of impairment. If there is objective evidence, the recoverable amount is</t>
  </si>
  <si>
    <t>estimated and compared with the carrying amount. If the estimated recoverable</t>
  </si>
  <si>
    <t>and an impairment loss is recognised immediately in profit and loss.</t>
  </si>
  <si>
    <t>amount is lower, the carrying amount is reduced to its estimated recoverable amount</t>
  </si>
  <si>
    <t>Notes to the Financial Statements.</t>
  </si>
  <si>
    <t>FINANCIAL INSTRUMENTS</t>
  </si>
  <si>
    <t>Financial instruments</t>
  </si>
  <si>
    <t>Holding Company 268 (Pty) Ltd</t>
  </si>
  <si>
    <t>CONSOLIDATED STATEMENT OF CHANGES IN EQUITY FOR THE</t>
  </si>
  <si>
    <t>30 Shares in ABC Company (Pty) Ltd - 30% interest</t>
  </si>
  <si>
    <t>2100/115</t>
  </si>
  <si>
    <t>Research and development cost</t>
  </si>
  <si>
    <t>3000/058</t>
  </si>
  <si>
    <t>Defined contribution plan expense</t>
  </si>
  <si>
    <r>
      <t xml:space="preserve">it is the profit on TrialBalanceA to C line </t>
    </r>
    <r>
      <rPr>
        <sz val="11"/>
        <color rgb="FFFF0000"/>
        <rFont val="Calibri"/>
        <family val="2"/>
      </rPr>
      <t>K5 to K156.</t>
    </r>
    <r>
      <rPr>
        <sz val="11"/>
        <rFont val="Calibri"/>
        <family val="2"/>
      </rPr>
      <t xml:space="preserve"> The Income tax, deferred tax and dividends are</t>
    </r>
  </si>
  <si>
    <t>Cost of inventories recognised as expense</t>
  </si>
  <si>
    <t>Amortisation of intangible assets</t>
  </si>
  <si>
    <t>28 FEBRUARY 2025</t>
  </si>
  <si>
    <t>Dividends amounting to R1,500,000 were declared on 28 February 2025</t>
  </si>
  <si>
    <t>(2024 - R1,400,000).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</si>
</sst>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s>
  <fonts count="74"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0"/>
      <color theme="3"/>
      <name val="Times New Roman"/>
      <family val="1"/>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sz val="10"/>
      <color theme="0"/>
      <name val="Arial"/>
      <family val="2"/>
    </font>
    <font>
      <sz val="11"/>
      <color theme="1"/>
      <name val="Times New Roman"/>
      <family val="1"/>
    </font>
    <font>
      <sz val="11"/>
      <name val="Times New Roman"/>
      <family val="1"/>
    </font>
    <font>
      <sz val="10"/>
      <color rgb="FFFF0000"/>
      <name val="Times New Roman"/>
      <family val="1"/>
    </font>
    <font>
      <sz val="11"/>
      <name val="Calibri"/>
      <family val="2"/>
    </font>
    <font>
      <b/>
      <sz val="11"/>
      <name val="Calibri"/>
      <family val="2"/>
    </font>
    <font>
      <sz val="12"/>
      <name val="Calibri"/>
      <family val="2"/>
    </font>
    <font>
      <sz val="24"/>
      <name val="Bodoni MT"/>
      <family val="1"/>
    </font>
    <font>
      <u/>
      <sz val="12"/>
      <color indexed="12"/>
      <name val="Calibri"/>
      <family val="2"/>
    </font>
    <font>
      <sz val="21"/>
      <name val="Times New Roman"/>
      <family val="1"/>
    </font>
    <font>
      <b/>
      <sz val="21"/>
      <name val="Times New Roman"/>
      <family val="1"/>
    </font>
    <font>
      <sz val="21"/>
      <name val="Arial"/>
      <family val="2"/>
    </font>
    <font>
      <b/>
      <u/>
      <sz val="11"/>
      <name val="Tempus Sans ITC"/>
      <family val="5"/>
    </font>
    <font>
      <b/>
      <sz val="10"/>
      <color theme="3"/>
      <name val="Times New Roman"/>
      <family val="1"/>
    </font>
    <font>
      <sz val="18"/>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21"/>
      <color theme="3"/>
      <name val="Times New Roman"/>
      <family val="1"/>
    </font>
    <font>
      <sz val="27"/>
      <name val="Times New Roman"/>
      <family val="1"/>
    </font>
    <font>
      <sz val="24"/>
      <name val="Times New Roman"/>
      <family val="1"/>
    </font>
    <font>
      <sz val="20"/>
      <name val="Times New Roman"/>
      <family val="1"/>
    </font>
    <font>
      <b/>
      <sz val="20"/>
      <name val="Times New Roman"/>
      <family val="1"/>
    </font>
    <font>
      <b/>
      <sz val="24"/>
      <name val="Times New Roman"/>
      <family val="1"/>
    </font>
    <font>
      <b/>
      <sz val="16"/>
      <name val="Times New Roman"/>
      <family val="1"/>
    </font>
    <font>
      <sz val="16"/>
      <name val="Times New Roman"/>
      <family val="1"/>
    </font>
    <font>
      <sz val="16"/>
      <name val="Arial"/>
      <family val="2"/>
    </font>
    <font>
      <b/>
      <sz val="16"/>
      <color theme="3"/>
      <name val="Times New Roman"/>
      <family val="1"/>
    </font>
    <font>
      <sz val="16"/>
      <color indexed="10"/>
      <name val="Times New Roman"/>
      <family val="1"/>
    </font>
    <font>
      <sz val="11"/>
      <color rgb="FFFF0000"/>
      <name val="Calibri"/>
      <family val="2"/>
    </font>
    <font>
      <b/>
      <sz val="27"/>
      <name val="Times New Roman"/>
      <family val="1"/>
    </font>
    <font>
      <sz val="22"/>
      <name val="Times New Roman"/>
      <family val="1"/>
    </font>
    <font>
      <b/>
      <sz val="29"/>
      <name val="Times New Roman"/>
      <family val="1"/>
    </font>
    <font>
      <sz val="29"/>
      <name val="Times New Roman"/>
      <family val="1"/>
    </font>
    <font>
      <sz val="29"/>
      <name val="Arial"/>
      <family val="2"/>
    </font>
    <font>
      <u/>
      <sz val="29"/>
      <name val="Times New Roman"/>
      <family val="1"/>
    </font>
  </fonts>
  <fills count="1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gradientFill degree="270">
        <stop position="0">
          <color theme="0"/>
        </stop>
        <stop position="1">
          <color theme="4"/>
        </stop>
      </gradientFill>
    </fill>
    <fill>
      <patternFill patternType="solid">
        <fgColor theme="4" tint="0.79998168889431442"/>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28">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19" fillId="0" borderId="0" applyFont="0" applyFill="0" applyBorder="0" applyAlignment="0" applyProtection="0"/>
    <xf numFmtId="172" fontId="17" fillId="0" borderId="0" applyFill="0" applyBorder="0" applyAlignment="0" applyProtection="0"/>
    <xf numFmtId="164" fontId="20" fillId="0" borderId="0" applyFont="0" applyFill="0" applyBorder="0" applyAlignment="0" applyProtection="0"/>
    <xf numFmtId="171" fontId="17" fillId="0" borderId="0" applyFill="0" applyBorder="0" applyAlignment="0" applyProtection="0"/>
    <xf numFmtId="164" fontId="21"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27" fillId="0" borderId="0" applyFont="0" applyFill="0" applyBorder="0" applyAlignment="0" applyProtection="0"/>
    <xf numFmtId="0" fontId="26" fillId="0" borderId="0"/>
    <xf numFmtId="0" fontId="11" fillId="0" borderId="0" applyNumberFormat="0" applyFill="0" applyBorder="0" applyAlignment="0" applyProtection="0">
      <alignment vertical="top"/>
      <protection locked="0"/>
    </xf>
    <xf numFmtId="0" fontId="17" fillId="0" borderId="0"/>
    <xf numFmtId="0" fontId="28"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0" fillId="0" borderId="0" applyFont="0" applyFill="0" applyBorder="0" applyAlignment="0" applyProtection="0"/>
    <xf numFmtId="9" fontId="17" fillId="0" borderId="0" applyFill="0" applyBorder="0" applyAlignment="0" applyProtection="0"/>
    <xf numFmtId="9" fontId="27" fillId="0" borderId="0" applyFont="0" applyFill="0" applyBorder="0" applyAlignment="0" applyProtection="0"/>
    <xf numFmtId="0" fontId="2" fillId="0" borderId="0"/>
    <xf numFmtId="164" fontId="2" fillId="0" borderId="0" applyFont="0" applyFill="0" applyBorder="0" applyAlignment="0" applyProtection="0"/>
    <xf numFmtId="0" fontId="35" fillId="0" borderId="0"/>
    <xf numFmtId="0" fontId="1" fillId="0" borderId="0"/>
    <xf numFmtId="0" fontId="2" fillId="0" borderId="0"/>
    <xf numFmtId="9" fontId="2" fillId="0" borderId="0" applyFont="0" applyFill="0" applyBorder="0" applyAlignment="0" applyProtection="0"/>
  </cellStyleXfs>
  <cellXfs count="49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6" applyFont="1"/>
    <xf numFmtId="9" fontId="0" fillId="0" borderId="0" xfId="16" applyFont="1"/>
    <xf numFmtId="164" fontId="5" fillId="0" borderId="0" xfId="6" applyFont="1"/>
    <xf numFmtId="164" fontId="3" fillId="0" borderId="0" xfId="6" applyFont="1"/>
    <xf numFmtId="164" fontId="5" fillId="2" borderId="0" xfId="6" applyFont="1" applyFill="1"/>
    <xf numFmtId="169" fontId="5" fillId="2" borderId="0" xfId="19"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164" fontId="3" fillId="0" borderId="0" xfId="8" applyFont="1"/>
    <xf numFmtId="0" fontId="22" fillId="0" borderId="0" xfId="0" quotePrefix="1" applyFont="1"/>
    <xf numFmtId="164" fontId="4" fillId="0" borderId="1" xfId="2" applyFont="1" applyBorder="1"/>
    <xf numFmtId="168" fontId="4" fillId="0" borderId="1" xfId="2" applyNumberFormat="1" applyFont="1" applyBorder="1"/>
    <xf numFmtId="0" fontId="6" fillId="0" borderId="0" xfId="0" quotePrefix="1" applyFont="1"/>
    <xf numFmtId="0" fontId="2" fillId="0" borderId="0" xfId="0" quotePrefix="1" applyFont="1"/>
    <xf numFmtId="164" fontId="29" fillId="3" borderId="0" xfId="1" applyFont="1" applyFill="1"/>
    <xf numFmtId="168" fontId="5" fillId="0" borderId="0" xfId="0" applyNumberFormat="1" applyFont="1"/>
    <xf numFmtId="164" fontId="30" fillId="0" borderId="0" xfId="1" applyFont="1"/>
    <xf numFmtId="0" fontId="5" fillId="0" borderId="0" xfId="22" applyFont="1"/>
    <xf numFmtId="164" fontId="5" fillId="0" borderId="0" xfId="23" applyFont="1"/>
    <xf numFmtId="165" fontId="5" fillId="0" borderId="0" xfId="22" applyNumberFormat="1" applyFont="1"/>
    <xf numFmtId="15" fontId="5" fillId="0" borderId="0" xfId="22" applyNumberFormat="1" applyFont="1"/>
    <xf numFmtId="164" fontId="5" fillId="0" borderId="8" xfId="23"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31" fillId="0" borderId="0" xfId="0" applyFont="1"/>
    <xf numFmtId="0" fontId="3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7" applyFont="1"/>
    <xf numFmtId="9" fontId="5" fillId="0" borderId="0" xfId="16" applyFont="1"/>
    <xf numFmtId="9" fontId="5" fillId="12" borderId="0" xfId="0" applyNumberFormat="1" applyFont="1" applyFill="1"/>
    <xf numFmtId="0" fontId="5" fillId="13" borderId="0" xfId="0" applyFont="1" applyFill="1"/>
    <xf numFmtId="15" fontId="5" fillId="0" borderId="0" xfId="0" applyNumberFormat="1" applyFont="1" applyAlignment="1">
      <alignment horizontal="center"/>
    </xf>
    <xf numFmtId="0" fontId="33" fillId="0" borderId="0" xfId="0" applyFont="1"/>
    <xf numFmtId="0" fontId="34"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64" fontId="3" fillId="0" borderId="0" xfId="23" applyFont="1"/>
    <xf numFmtId="168" fontId="3" fillId="0" borderId="0" xfId="23" applyNumberFormat="1" applyFont="1"/>
    <xf numFmtId="164" fontId="24" fillId="0" borderId="0" xfId="23" applyFont="1"/>
    <xf numFmtId="170" fontId="3" fillId="0" borderId="0" xfId="14" applyNumberFormat="1" applyFont="1"/>
    <xf numFmtId="168" fontId="3" fillId="0" borderId="0" xfId="23" applyNumberFormat="1" applyFont="1" applyAlignment="1">
      <alignment horizontal="center"/>
    </xf>
    <xf numFmtId="170" fontId="3" fillId="0" borderId="0" xfId="23"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37" fillId="0" borderId="0" xfId="0" applyFont="1"/>
    <xf numFmtId="165" fontId="3" fillId="0" borderId="0" xfId="8" applyNumberFormat="1" applyFont="1"/>
    <xf numFmtId="0" fontId="38" fillId="0" borderId="0" xfId="15" quotePrefix="1" applyFont="1"/>
    <xf numFmtId="0" fontId="39"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32" fillId="0" borderId="0" xfId="1" applyNumberFormat="1" applyFont="1"/>
    <xf numFmtId="170" fontId="3" fillId="0" borderId="0" xfId="8" applyNumberFormat="1" applyFont="1"/>
    <xf numFmtId="170" fontId="3" fillId="0" borderId="0" xfId="8" quotePrefix="1" applyNumberFormat="1" applyFont="1"/>
    <xf numFmtId="170" fontId="38"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0" fontId="5" fillId="11" borderId="0" xfId="0" applyFont="1" applyFill="1"/>
    <xf numFmtId="164" fontId="4" fillId="0" borderId="0" xfId="1" applyFont="1" applyBorder="1"/>
    <xf numFmtId="164" fontId="4" fillId="0" borderId="0" xfId="23" applyFont="1" applyBorder="1"/>
    <xf numFmtId="168" fontId="3" fillId="0" borderId="0" xfId="23" applyNumberFormat="1" applyFont="1" applyBorder="1" applyAlignment="1">
      <alignment horizontal="center"/>
    </xf>
    <xf numFmtId="173" fontId="3" fillId="0" borderId="0" xfId="0" applyNumberFormat="1" applyFont="1"/>
    <xf numFmtId="164" fontId="3" fillId="0" borderId="0" xfId="23" applyFont="1" applyBorder="1"/>
    <xf numFmtId="164" fontId="3" fillId="0" borderId="0" xfId="1" applyFont="1" applyBorder="1"/>
    <xf numFmtId="173" fontId="3" fillId="0" borderId="0" xfId="14" applyNumberFormat="1" applyFont="1"/>
    <xf numFmtId="164" fontId="36" fillId="0" borderId="0" xfId="23" applyFont="1" applyBorder="1"/>
    <xf numFmtId="173" fontId="3" fillId="0" borderId="0" xfId="23" applyNumberFormat="1" applyFont="1" applyBorder="1" applyAlignment="1">
      <alignment horizontal="center"/>
    </xf>
    <xf numFmtId="164" fontId="3" fillId="0" borderId="0" xfId="23" quotePrefix="1" applyFont="1" applyBorder="1"/>
    <xf numFmtId="168" fontId="3" fillId="0" borderId="0" xfId="23" applyNumberFormat="1" applyFont="1" applyBorder="1"/>
    <xf numFmtId="170" fontId="3" fillId="0" borderId="0" xfId="23" applyNumberFormat="1" applyFont="1" applyBorder="1"/>
    <xf numFmtId="15" fontId="3" fillId="0" borderId="0" xfId="0" applyNumberFormat="1" applyFont="1"/>
    <xf numFmtId="164" fontId="40" fillId="0" borderId="0" xfId="1" applyFont="1" applyBorder="1"/>
    <xf numFmtId="164" fontId="3" fillId="0" borderId="0" xfId="2" applyFont="1" applyBorder="1"/>
    <xf numFmtId="168" fontId="0" fillId="0" borderId="0" xfId="0" applyNumberFormat="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10" fillId="0" borderId="0" xfId="1" applyFont="1" applyBorder="1" applyAlignment="1">
      <alignment horizontal="center"/>
    </xf>
    <xf numFmtId="164" fontId="0" fillId="0" borderId="0" xfId="1" applyFont="1" applyBorder="1"/>
    <xf numFmtId="0" fontId="5" fillId="8" borderId="0" xfId="0" applyFont="1" applyFill="1"/>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0" fontId="41" fillId="0" borderId="0" xfId="26" applyFont="1"/>
    <xf numFmtId="0" fontId="42" fillId="0" borderId="0" xfId="26" applyFont="1" applyAlignment="1">
      <alignment horizontal="center" vertical="center"/>
    </xf>
    <xf numFmtId="0" fontId="43" fillId="18" borderId="0" xfId="26" applyFont="1" applyFill="1" applyAlignment="1">
      <alignment horizontal="center" vertical="center"/>
    </xf>
    <xf numFmtId="0" fontId="41" fillId="18" borderId="0" xfId="26" applyFont="1" applyFill="1"/>
    <xf numFmtId="0" fontId="44" fillId="18" borderId="0" xfId="26" applyFont="1" applyFill="1" applyAlignment="1">
      <alignment horizontal="center"/>
    </xf>
    <xf numFmtId="0" fontId="45" fillId="18" borderId="0" xfId="13" applyFont="1" applyFill="1" applyBorder="1" applyAlignment="1" applyProtection="1">
      <alignment horizontal="center"/>
    </xf>
    <xf numFmtId="10" fontId="3" fillId="2" borderId="0" xfId="16" applyNumberFormat="1" applyFont="1" applyFill="1"/>
    <xf numFmtId="0" fontId="46" fillId="0" borderId="0" xfId="0" applyFont="1" applyAlignment="1">
      <alignment horizontal="center"/>
    </xf>
    <xf numFmtId="0" fontId="49" fillId="0" borderId="0" xfId="26" applyFont="1"/>
    <xf numFmtId="164" fontId="18" fillId="6" borderId="0" xfId="1" applyFont="1" applyFill="1" applyProtection="1"/>
    <xf numFmtId="164" fontId="50" fillId="0" borderId="0" xfId="23" applyFont="1"/>
    <xf numFmtId="164" fontId="50" fillId="0" borderId="0" xfId="23" applyFont="1" applyBorder="1"/>
    <xf numFmtId="170" fontId="3" fillId="0" borderId="0" xfId="26" applyNumberFormat="1" applyFont="1"/>
    <xf numFmtId="164" fontId="50" fillId="0" borderId="0" xfId="1" applyFont="1"/>
    <xf numFmtId="0" fontId="3" fillId="0" borderId="0" xfId="1" applyNumberFormat="1" applyFont="1"/>
    <xf numFmtId="168" fontId="3" fillId="0" borderId="0" xfId="1" applyNumberFormat="1" applyFont="1"/>
    <xf numFmtId="0" fontId="3" fillId="0" borderId="0" xfId="26" applyFont="1"/>
    <xf numFmtId="168" fontId="3" fillId="0" borderId="0" xfId="0" applyNumberFormat="1" applyFont="1"/>
    <xf numFmtId="168" fontId="4" fillId="0" borderId="0" xfId="0" applyNumberFormat="1" applyFont="1"/>
    <xf numFmtId="168" fontId="38" fillId="0" borderId="0" xfId="15" quotePrefix="1" applyNumberFormat="1" applyFont="1"/>
    <xf numFmtId="0" fontId="38" fillId="0" borderId="0" xfId="15" quotePrefix="1" applyFont="1" applyAlignment="1">
      <alignment horizontal="center"/>
    </xf>
    <xf numFmtId="0" fontId="51" fillId="0" borderId="0" xfId="0" applyFont="1"/>
    <xf numFmtId="0" fontId="52"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0" borderId="0" xfId="0" applyFont="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6"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4" fontId="17" fillId="14"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2"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9"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3"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2" fillId="0" borderId="0" xfId="1" quotePrefix="1" applyFont="1" applyProtection="1">
      <protection locked="0"/>
    </xf>
    <xf numFmtId="164" fontId="25" fillId="0" borderId="0" xfId="1" applyFont="1" applyProtection="1">
      <protection locked="0"/>
    </xf>
    <xf numFmtId="164" fontId="18" fillId="0" borderId="0" xfId="1" applyFont="1" applyProtection="1">
      <protection locked="0"/>
    </xf>
    <xf numFmtId="164" fontId="23"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53" fillId="0" borderId="0" xfId="0" applyFont="1" applyAlignment="1">
      <alignment horizontal="center"/>
    </xf>
    <xf numFmtId="164" fontId="54" fillId="0" borderId="0" xfId="1" applyFont="1" applyAlignment="1">
      <alignment horizontal="center"/>
    </xf>
    <xf numFmtId="0" fontId="53" fillId="0" borderId="0" xfId="1" applyNumberFormat="1" applyFont="1" applyAlignment="1">
      <alignment horizontal="center"/>
    </xf>
    <xf numFmtId="164" fontId="53" fillId="0" borderId="0" xfId="1" applyFont="1" applyAlignment="1">
      <alignment horizontal="center"/>
    </xf>
    <xf numFmtId="168" fontId="53" fillId="0" borderId="0" xfId="1" applyNumberFormat="1" applyFont="1" applyAlignment="1">
      <alignment horizontal="center"/>
    </xf>
    <xf numFmtId="168" fontId="53" fillId="0" borderId="7" xfId="1" applyNumberFormat="1" applyFont="1" applyBorder="1" applyAlignment="1">
      <alignment horizontal="center"/>
    </xf>
    <xf numFmtId="168" fontId="53" fillId="0" borderId="1" xfId="1" applyNumberFormat="1" applyFont="1" applyBorder="1" applyAlignment="1">
      <alignment horizontal="center"/>
    </xf>
    <xf numFmtId="168" fontId="53" fillId="0" borderId="8" xfId="1" applyNumberFormat="1" applyFont="1" applyBorder="1" applyAlignment="1">
      <alignment horizontal="center"/>
    </xf>
    <xf numFmtId="168" fontId="53" fillId="0" borderId="0" xfId="13" applyNumberFormat="1" applyFont="1" applyAlignment="1" applyProtection="1">
      <alignment horizontal="center"/>
    </xf>
    <xf numFmtId="0" fontId="53" fillId="0" borderId="7" xfId="1" applyNumberFormat="1" applyFont="1" applyBorder="1" applyAlignment="1">
      <alignment horizontal="center"/>
    </xf>
    <xf numFmtId="168" fontId="53" fillId="0" borderId="0" xfId="13" applyNumberFormat="1" applyFont="1" applyAlignment="1" applyProtection="1"/>
    <xf numFmtId="9" fontId="53" fillId="0" borderId="0" xfId="16" applyFont="1" applyAlignment="1">
      <alignment horizontal="center"/>
    </xf>
    <xf numFmtId="0" fontId="53" fillId="0" borderId="1" xfId="0" applyFont="1" applyBorder="1" applyAlignment="1">
      <alignment horizontal="center"/>
    </xf>
    <xf numFmtId="164" fontId="53" fillId="0" borderId="0" xfId="2" applyFont="1" applyAlignment="1">
      <alignment horizontal="center"/>
    </xf>
    <xf numFmtId="168" fontId="53" fillId="0" borderId="0" xfId="2" applyNumberFormat="1" applyFont="1" applyAlignment="1">
      <alignment horizontal="center"/>
    </xf>
    <xf numFmtId="168" fontId="53" fillId="0" borderId="1" xfId="2" applyNumberFormat="1" applyFont="1" applyBorder="1" applyAlignment="1">
      <alignment horizontal="center"/>
    </xf>
    <xf numFmtId="168" fontId="53" fillId="0" borderId="8" xfId="2" applyNumberFormat="1" applyFont="1" applyBorder="1" applyAlignment="1">
      <alignment horizontal="center"/>
    </xf>
    <xf numFmtId="168" fontId="53" fillId="0" borderId="0" xfId="2" applyNumberFormat="1" applyFont="1" applyBorder="1" applyAlignment="1">
      <alignment horizontal="center"/>
    </xf>
    <xf numFmtId="168" fontId="53" fillId="0" borderId="0" xfId="1" applyNumberFormat="1" applyFont="1" applyBorder="1" applyAlignment="1">
      <alignment horizontal="center"/>
    </xf>
    <xf numFmtId="9" fontId="53" fillId="0" borderId="0" xfId="0" applyNumberFormat="1" applyFont="1" applyAlignment="1">
      <alignment horizontal="center"/>
    </xf>
    <xf numFmtId="15" fontId="53" fillId="0" borderId="0" xfId="1" applyNumberFormat="1" applyFont="1" applyAlignment="1">
      <alignment horizontal="center"/>
    </xf>
    <xf numFmtId="164" fontId="53" fillId="0" borderId="7" xfId="1" applyFont="1" applyBorder="1" applyAlignment="1">
      <alignment horizontal="center"/>
    </xf>
    <xf numFmtId="168" fontId="53" fillId="0" borderId="15" xfId="1" applyNumberFormat="1" applyFont="1" applyBorder="1" applyAlignment="1">
      <alignment horizontal="center"/>
    </xf>
    <xf numFmtId="0" fontId="56" fillId="0" borderId="0" xfId="0" applyFont="1" applyAlignment="1">
      <alignment horizontal="center"/>
    </xf>
    <xf numFmtId="0" fontId="58" fillId="0" borderId="0" xfId="0" applyFont="1" applyAlignment="1">
      <alignment horizontal="center"/>
    </xf>
    <xf numFmtId="0" fontId="59" fillId="0" borderId="0" xfId="0" applyFont="1" applyAlignment="1">
      <alignment horizontal="center"/>
    </xf>
    <xf numFmtId="0" fontId="59" fillId="0" borderId="7" xfId="0" applyFont="1" applyBorder="1" applyAlignment="1">
      <alignment horizontal="center"/>
    </xf>
    <xf numFmtId="168" fontId="58" fillId="0" borderId="0" xfId="1" applyNumberFormat="1" applyFont="1" applyAlignment="1">
      <alignment horizontal="center"/>
    </xf>
    <xf numFmtId="168" fontId="58" fillId="0" borderId="1" xfId="1" applyNumberFormat="1" applyFont="1" applyBorder="1" applyAlignment="1">
      <alignment horizontal="center"/>
    </xf>
    <xf numFmtId="168" fontId="58" fillId="0" borderId="8" xfId="1" applyNumberFormat="1" applyFont="1" applyBorder="1" applyAlignment="1">
      <alignment horizontal="center"/>
    </xf>
    <xf numFmtId="168" fontId="58" fillId="0" borderId="2" xfId="1" applyNumberFormat="1" applyFont="1" applyBorder="1" applyAlignment="1">
      <alignment horizontal="center"/>
    </xf>
    <xf numFmtId="168" fontId="58" fillId="0" borderId="13" xfId="1" applyNumberFormat="1" applyFont="1" applyBorder="1" applyAlignment="1">
      <alignment horizontal="center"/>
    </xf>
    <xf numFmtId="168" fontId="58" fillId="0" borderId="5" xfId="1" applyNumberFormat="1" applyFont="1" applyBorder="1" applyAlignment="1">
      <alignment horizontal="center"/>
    </xf>
    <xf numFmtId="168" fontId="58" fillId="0" borderId="7" xfId="1" applyNumberFormat="1" applyFont="1" applyBorder="1" applyAlignment="1">
      <alignment horizontal="center"/>
    </xf>
    <xf numFmtId="168" fontId="58" fillId="0" borderId="0" xfId="1" applyNumberFormat="1" applyFont="1" applyBorder="1" applyAlignment="1">
      <alignment horizontal="center"/>
    </xf>
    <xf numFmtId="168" fontId="58" fillId="0" borderId="3" xfId="1" applyNumberFormat="1" applyFont="1" applyBorder="1" applyAlignment="1">
      <alignment horizontal="center"/>
    </xf>
    <xf numFmtId="168" fontId="58" fillId="0" borderId="4" xfId="1" applyNumberFormat="1" applyFont="1" applyBorder="1" applyAlignment="1">
      <alignment horizontal="center"/>
    </xf>
    <xf numFmtId="168" fontId="58" fillId="0" borderId="6" xfId="1" applyNumberFormat="1" applyFont="1" applyBorder="1" applyAlignment="1">
      <alignment horizontal="center"/>
    </xf>
    <xf numFmtId="164" fontId="53" fillId="0" borderId="0" xfId="1" applyFont="1" applyBorder="1" applyAlignment="1">
      <alignment horizontal="center"/>
    </xf>
    <xf numFmtId="0" fontId="63" fillId="0" borderId="0" xfId="0" applyFont="1" applyAlignment="1">
      <alignment horizontal="center"/>
    </xf>
    <xf numFmtId="0" fontId="65" fillId="0" borderId="0" xfId="0" applyFont="1" applyAlignment="1">
      <alignment horizontal="center"/>
    </xf>
    <xf numFmtId="168" fontId="63" fillId="0" borderId="0" xfId="0" applyNumberFormat="1" applyFont="1" applyAlignment="1">
      <alignment horizontal="center"/>
    </xf>
    <xf numFmtId="0" fontId="64" fillId="0" borderId="0" xfId="0" applyFont="1" applyAlignment="1">
      <alignment horizontal="center"/>
    </xf>
    <xf numFmtId="0" fontId="62" fillId="0" borderId="0" xfId="0" applyFont="1" applyAlignment="1">
      <alignment horizontal="center"/>
    </xf>
    <xf numFmtId="164" fontId="63" fillId="0" borderId="0" xfId="0" applyNumberFormat="1" applyFont="1" applyAlignment="1">
      <alignment horizontal="center"/>
    </xf>
    <xf numFmtId="0" fontId="66" fillId="0" borderId="0" xfId="0" applyFont="1" applyAlignment="1">
      <alignment horizontal="center"/>
    </xf>
    <xf numFmtId="0" fontId="63" fillId="0" borderId="0" xfId="13" applyFont="1" applyAlignment="1" applyProtection="1">
      <alignment horizontal="center"/>
    </xf>
    <xf numFmtId="164" fontId="54" fillId="0" borderId="0" xfId="1" applyFont="1" applyBorder="1" applyAlignment="1">
      <alignment horizontal="center"/>
    </xf>
    <xf numFmtId="15" fontId="53" fillId="0" borderId="0" xfId="1" applyNumberFormat="1" applyFont="1" applyBorder="1" applyAlignment="1">
      <alignment horizontal="center"/>
    </xf>
    <xf numFmtId="164" fontId="2" fillId="14" borderId="0" xfId="23" applyFill="1" applyProtection="1">
      <protection locked="0"/>
    </xf>
    <xf numFmtId="164" fontId="2" fillId="14" borderId="0" xfId="23" applyFont="1" applyFill="1" applyProtection="1">
      <protection locked="0"/>
    </xf>
    <xf numFmtId="10" fontId="3" fillId="0" borderId="0" xfId="16" applyNumberFormat="1" applyFont="1" applyFill="1"/>
    <xf numFmtId="164" fontId="30" fillId="0" borderId="0" xfId="23" applyFont="1"/>
    <xf numFmtId="0" fontId="53" fillId="0" borderId="0" xfId="0" applyFont="1"/>
    <xf numFmtId="164" fontId="58" fillId="0" borderId="0" xfId="1" applyFont="1" applyAlignment="1"/>
    <xf numFmtId="164" fontId="53" fillId="0" borderId="0" xfId="1" applyFont="1" applyAlignment="1"/>
    <xf numFmtId="0" fontId="62" fillId="0" borderId="0" xfId="0" applyFont="1"/>
    <xf numFmtId="0" fontId="64" fillId="0" borderId="0" xfId="0" applyFont="1"/>
    <xf numFmtId="0" fontId="55" fillId="0" borderId="0" xfId="0" applyFont="1"/>
    <xf numFmtId="168" fontId="53" fillId="0" borderId="0" xfId="1" applyNumberFormat="1" applyFont="1" applyAlignment="1"/>
    <xf numFmtId="0" fontId="54" fillId="0" borderId="0" xfId="0" applyFont="1"/>
    <xf numFmtId="0" fontId="57" fillId="0" borderId="0" xfId="0" applyFont="1"/>
    <xf numFmtId="0" fontId="58" fillId="0" borderId="0" xfId="0" applyFont="1"/>
    <xf numFmtId="164" fontId="58" fillId="0" borderId="0" xfId="1" applyFont="1" applyBorder="1" applyAlignment="1"/>
    <xf numFmtId="164" fontId="53" fillId="0" borderId="0" xfId="1" applyFont="1" applyBorder="1" applyAlignment="1"/>
    <xf numFmtId="168" fontId="58" fillId="0" borderId="0" xfId="1" applyNumberFormat="1" applyFont="1" applyAlignment="1"/>
    <xf numFmtId="164" fontId="53" fillId="0" borderId="0" xfId="2" applyFont="1" applyAlignment="1"/>
    <xf numFmtId="0" fontId="53" fillId="0" borderId="1" xfId="0" applyFont="1" applyBorder="1"/>
    <xf numFmtId="164" fontId="53" fillId="0" borderId="1" xfId="2" applyFont="1" applyBorder="1" applyAlignment="1"/>
    <xf numFmtId="164" fontId="53" fillId="0" borderId="1" xfId="1" applyFont="1" applyBorder="1" applyAlignment="1"/>
    <xf numFmtId="168" fontId="58" fillId="0" borderId="0" xfId="0" applyNumberFormat="1" applyFont="1"/>
    <xf numFmtId="168" fontId="58" fillId="0" borderId="0" xfId="1" applyNumberFormat="1" applyFont="1" applyBorder="1" applyAlignment="1"/>
    <xf numFmtId="0" fontId="53" fillId="0" borderId="7" xfId="0" applyFont="1" applyBorder="1"/>
    <xf numFmtId="0" fontId="63" fillId="0" borderId="0" xfId="0" applyFont="1"/>
    <xf numFmtId="164" fontId="58" fillId="0" borderId="7" xfId="1" applyFont="1" applyBorder="1" applyAlignment="1"/>
    <xf numFmtId="164" fontId="53" fillId="0" borderId="7" xfId="1" applyFont="1" applyBorder="1" applyAlignment="1"/>
    <xf numFmtId="0" fontId="58" fillId="0" borderId="7" xfId="0" applyFont="1" applyBorder="1"/>
    <xf numFmtId="0" fontId="61" fillId="0" borderId="0" xfId="0" applyFont="1"/>
    <xf numFmtId="0" fontId="54" fillId="0" borderId="7" xfId="0" applyFont="1" applyBorder="1"/>
    <xf numFmtId="168" fontId="53" fillId="0" borderId="0" xfId="1" applyNumberFormat="1" applyFont="1" applyBorder="1" applyAlignment="1"/>
    <xf numFmtId="168" fontId="53" fillId="0" borderId="1" xfId="1" applyNumberFormat="1" applyFont="1" applyBorder="1" applyAlignment="1"/>
    <xf numFmtId="168" fontId="53" fillId="0" borderId="8" xfId="1" applyNumberFormat="1" applyFont="1" applyBorder="1" applyAlignment="1"/>
    <xf numFmtId="0" fontId="60" fillId="0" borderId="0" xfId="0" applyFont="1"/>
    <xf numFmtId="0" fontId="59" fillId="0" borderId="0" xfId="0" applyFont="1"/>
    <xf numFmtId="0" fontId="60" fillId="0" borderId="7" xfId="0" applyFont="1" applyBorder="1"/>
    <xf numFmtId="168" fontId="58" fillId="0" borderId="7" xfId="1" applyNumberFormat="1" applyFont="1" applyBorder="1" applyAlignment="1"/>
    <xf numFmtId="168" fontId="53" fillId="0" borderId="7" xfId="1" applyNumberFormat="1" applyFont="1" applyBorder="1" applyAlignment="1"/>
    <xf numFmtId="15" fontId="53" fillId="0" borderId="0" xfId="0" applyNumberFormat="1" applyFont="1"/>
    <xf numFmtId="168" fontId="53" fillId="0" borderId="0" xfId="0" applyNumberFormat="1" applyFont="1"/>
    <xf numFmtId="0" fontId="46" fillId="0" borderId="0" xfId="0" applyFont="1"/>
    <xf numFmtId="15" fontId="53" fillId="0" borderId="0" xfId="1" applyNumberFormat="1" applyFont="1" applyAlignment="1"/>
    <xf numFmtId="168" fontId="55" fillId="0" borderId="0" xfId="0" applyNumberFormat="1" applyFont="1"/>
    <xf numFmtId="168" fontId="53" fillId="0" borderId="7" xfId="0" applyNumberFormat="1" applyFont="1" applyBorder="1"/>
    <xf numFmtId="164" fontId="53" fillId="0" borderId="0" xfId="2" applyFont="1" applyBorder="1" applyAlignment="1"/>
    <xf numFmtId="0" fontId="48" fillId="0" borderId="0" xfId="0" applyFont="1"/>
    <xf numFmtId="15" fontId="53" fillId="0" borderId="0" xfId="1" applyNumberFormat="1" applyFont="1" applyBorder="1" applyAlignment="1"/>
    <xf numFmtId="168" fontId="59" fillId="0" borderId="0" xfId="1" applyNumberFormat="1" applyFont="1" applyBorder="1" applyAlignment="1"/>
    <xf numFmtId="164" fontId="59" fillId="0" borderId="0" xfId="1" applyFont="1" applyBorder="1" applyAlignment="1"/>
    <xf numFmtId="168" fontId="53" fillId="0" borderId="7" xfId="13" applyNumberFormat="1" applyFont="1" applyBorder="1" applyAlignment="1" applyProtection="1">
      <alignment horizontal="center"/>
    </xf>
    <xf numFmtId="168" fontId="53" fillId="0" borderId="0" xfId="13" applyNumberFormat="1" applyFont="1" applyBorder="1" applyAlignment="1" applyProtection="1">
      <alignment horizontal="center"/>
    </xf>
    <xf numFmtId="168" fontId="53" fillId="0" borderId="1" xfId="13" applyNumberFormat="1" applyFont="1" applyBorder="1" applyAlignment="1" applyProtection="1">
      <alignment horizontal="center"/>
    </xf>
    <xf numFmtId="168" fontId="5" fillId="0" borderId="10" xfId="0" applyNumberFormat="1" applyFont="1" applyBorder="1"/>
    <xf numFmtId="164" fontId="53" fillId="0" borderId="8" xfId="1" applyFont="1" applyBorder="1" applyAlignment="1"/>
    <xf numFmtId="0" fontId="53" fillId="0" borderId="0" xfId="1" applyNumberFormat="1" applyFont="1" applyBorder="1" applyAlignment="1">
      <alignment horizontal="center"/>
    </xf>
    <xf numFmtId="0" fontId="55" fillId="0" borderId="7" xfId="0" applyFont="1" applyBorder="1"/>
    <xf numFmtId="0" fontId="68" fillId="0" borderId="0" xfId="0" applyFont="1"/>
    <xf numFmtId="168" fontId="53" fillId="0" borderId="2" xfId="1" applyNumberFormat="1" applyFont="1" applyBorder="1" applyAlignment="1">
      <alignment horizontal="center"/>
    </xf>
    <xf numFmtId="168" fontId="53" fillId="0" borderId="3" xfId="1" applyNumberFormat="1" applyFont="1" applyBorder="1" applyAlignment="1">
      <alignment horizontal="center"/>
    </xf>
    <xf numFmtId="168" fontId="53" fillId="0" borderId="13" xfId="1" applyNumberFormat="1" applyFont="1" applyBorder="1" applyAlignment="1">
      <alignment horizontal="center"/>
    </xf>
    <xf numFmtId="168" fontId="53" fillId="0" borderId="4" xfId="1" applyNumberFormat="1" applyFont="1" applyBorder="1" applyAlignment="1">
      <alignment horizontal="center"/>
    </xf>
    <xf numFmtId="168" fontId="53" fillId="0" borderId="5" xfId="1" applyNumberFormat="1" applyFont="1" applyBorder="1" applyAlignment="1">
      <alignment horizontal="center"/>
    </xf>
    <xf numFmtId="168" fontId="53" fillId="0" borderId="6" xfId="1" applyNumberFormat="1" applyFont="1" applyBorder="1" applyAlignment="1">
      <alignment horizontal="center"/>
    </xf>
    <xf numFmtId="168" fontId="53" fillId="0" borderId="13" xfId="13" applyNumberFormat="1" applyFont="1" applyBorder="1" applyAlignment="1" applyProtection="1">
      <alignment horizontal="center"/>
    </xf>
    <xf numFmtId="168" fontId="53" fillId="0" borderId="4" xfId="13" applyNumberFormat="1" applyFont="1" applyBorder="1" applyAlignment="1" applyProtection="1">
      <alignment horizontal="center"/>
    </xf>
    <xf numFmtId="168" fontId="53" fillId="0" borderId="1" xfId="13" applyNumberFormat="1" applyFont="1" applyBorder="1" applyAlignment="1" applyProtection="1"/>
    <xf numFmtId="168" fontId="53" fillId="0" borderId="9" xfId="1" applyNumberFormat="1" applyFont="1" applyBorder="1" applyAlignment="1">
      <alignment horizontal="center"/>
    </xf>
    <xf numFmtId="168" fontId="53" fillId="0" borderId="11" xfId="1" applyNumberFormat="1" applyFont="1" applyBorder="1" applyAlignment="1">
      <alignment horizontal="center"/>
    </xf>
    <xf numFmtId="168" fontId="53" fillId="0" borderId="12" xfId="1" applyNumberFormat="1" applyFont="1" applyBorder="1" applyAlignment="1">
      <alignment horizontal="center"/>
    </xf>
    <xf numFmtId="168" fontId="53" fillId="0" borderId="11" xfId="13" applyNumberFormat="1" applyFont="1" applyBorder="1" applyAlignment="1" applyProtection="1">
      <alignment horizontal="center"/>
    </xf>
    <xf numFmtId="0" fontId="57" fillId="0" borderId="7" xfId="0" applyFont="1" applyBorder="1"/>
    <xf numFmtId="0" fontId="69" fillId="0" borderId="0" xfId="0" applyFont="1"/>
    <xf numFmtId="168" fontId="53" fillId="0" borderId="2" xfId="13" applyNumberFormat="1" applyFont="1" applyBorder="1" applyAlignment="1" applyProtection="1">
      <alignment horizontal="center"/>
    </xf>
    <xf numFmtId="168" fontId="53" fillId="0" borderId="3" xfId="13" applyNumberFormat="1" applyFont="1" applyBorder="1" applyAlignment="1" applyProtection="1">
      <alignment horizontal="center"/>
    </xf>
    <xf numFmtId="168" fontId="53" fillId="0" borderId="5" xfId="13" applyNumberFormat="1" applyFont="1" applyBorder="1" applyAlignment="1" applyProtection="1">
      <alignment horizontal="center"/>
    </xf>
    <xf numFmtId="168" fontId="53" fillId="0" borderId="6" xfId="13" applyNumberFormat="1" applyFont="1" applyBorder="1" applyAlignment="1" applyProtection="1">
      <alignment horizontal="center"/>
    </xf>
    <xf numFmtId="168" fontId="53" fillId="0" borderId="13" xfId="13" applyNumberFormat="1" applyFont="1" applyBorder="1" applyAlignment="1" applyProtection="1"/>
    <xf numFmtId="168" fontId="53" fillId="0" borderId="4" xfId="13" applyNumberFormat="1" applyFont="1" applyBorder="1" applyAlignment="1" applyProtection="1"/>
    <xf numFmtId="168" fontId="53" fillId="0" borderId="11" xfId="13" applyNumberFormat="1" applyFont="1" applyBorder="1" applyAlignment="1" applyProtection="1"/>
    <xf numFmtId="168" fontId="53" fillId="0" borderId="9" xfId="1" applyNumberFormat="1" applyFont="1" applyBorder="1" applyAlignment="1"/>
    <xf numFmtId="168" fontId="53" fillId="0" borderId="11" xfId="1" applyNumberFormat="1" applyFont="1" applyBorder="1" applyAlignment="1"/>
    <xf numFmtId="168" fontId="53" fillId="0" borderId="12" xfId="1" applyNumberFormat="1" applyFont="1" applyBorder="1" applyAlignment="1"/>
    <xf numFmtId="168" fontId="53" fillId="0" borderId="9" xfId="13" applyNumberFormat="1" applyFont="1" applyBorder="1" applyAlignment="1" applyProtection="1">
      <alignment horizontal="center"/>
    </xf>
    <xf numFmtId="168" fontId="53" fillId="0" borderId="12" xfId="13" applyNumberFormat="1" applyFont="1" applyBorder="1" applyAlignment="1" applyProtection="1">
      <alignment horizontal="center"/>
    </xf>
    <xf numFmtId="164" fontId="57" fillId="0" borderId="0" xfId="1" applyFont="1" applyBorder="1" applyAlignment="1"/>
    <xf numFmtId="164" fontId="57" fillId="0" borderId="0" xfId="1" applyFont="1" applyAlignment="1">
      <alignment horizontal="center"/>
    </xf>
    <xf numFmtId="0" fontId="5" fillId="13" borderId="0" xfId="0" quotePrefix="1" applyFont="1" applyFill="1" applyProtection="1">
      <protection locked="0"/>
    </xf>
    <xf numFmtId="9" fontId="57" fillId="0" borderId="0" xfId="16" applyFont="1" applyAlignment="1"/>
    <xf numFmtId="37" fontId="57" fillId="0" borderId="0" xfId="0" applyNumberFormat="1" applyFont="1"/>
    <xf numFmtId="164" fontId="57" fillId="0" borderId="0" xfId="1" applyFont="1" applyBorder="1" applyAlignment="1">
      <alignment horizontal="center"/>
    </xf>
    <xf numFmtId="164" fontId="57" fillId="0" borderId="0" xfId="0" applyNumberFormat="1" applyFont="1" applyAlignment="1">
      <alignment horizontal="center"/>
    </xf>
    <xf numFmtId="0" fontId="53" fillId="0" borderId="7" xfId="0" applyFont="1" applyBorder="1" applyAlignment="1">
      <alignment horizontal="center"/>
    </xf>
    <xf numFmtId="0" fontId="70" fillId="0" borderId="0" xfId="0" applyFont="1" applyAlignment="1">
      <alignment vertical="center"/>
    </xf>
    <xf numFmtId="0" fontId="71" fillId="0" borderId="0" xfId="0" applyFont="1" applyAlignment="1">
      <alignment vertical="center"/>
    </xf>
    <xf numFmtId="164" fontId="71" fillId="0" borderId="0" xfId="1" applyFont="1" applyAlignment="1">
      <alignment vertical="center"/>
    </xf>
    <xf numFmtId="164" fontId="70" fillId="0" borderId="0" xfId="1" applyFont="1" applyAlignment="1">
      <alignment horizontal="center" vertical="center"/>
    </xf>
    <xf numFmtId="0" fontId="71" fillId="0" borderId="0" xfId="1" applyNumberFormat="1" applyFont="1" applyAlignment="1">
      <alignment horizontal="center" vertical="center"/>
    </xf>
    <xf numFmtId="0" fontId="72" fillId="0" borderId="0" xfId="0" applyFont="1" applyAlignment="1">
      <alignment vertical="center"/>
    </xf>
    <xf numFmtId="0" fontId="71" fillId="0" borderId="0" xfId="0" applyFont="1" applyAlignment="1">
      <alignment horizontal="left" vertical="center"/>
    </xf>
    <xf numFmtId="0" fontId="71" fillId="0" borderId="0" xfId="0" quotePrefix="1" applyFont="1" applyAlignment="1">
      <alignment horizontal="left" vertical="center"/>
    </xf>
    <xf numFmtId="164" fontId="71" fillId="0" borderId="0" xfId="1" quotePrefix="1" applyFont="1" applyAlignment="1">
      <alignment vertical="center"/>
    </xf>
    <xf numFmtId="164" fontId="71" fillId="0" borderId="0" xfId="1" applyFont="1" applyBorder="1" applyAlignment="1">
      <alignment vertical="center"/>
    </xf>
    <xf numFmtId="0" fontId="71" fillId="0" borderId="0" xfId="13" applyFont="1" applyAlignment="1" applyProtection="1">
      <alignment vertical="center"/>
    </xf>
    <xf numFmtId="0" fontId="71" fillId="0" borderId="7" xfId="0" applyFont="1" applyBorder="1" applyAlignment="1">
      <alignment vertical="center"/>
    </xf>
    <xf numFmtId="164" fontId="62" fillId="0" borderId="0" xfId="0" applyNumberFormat="1" applyFont="1"/>
    <xf numFmtId="0" fontId="70" fillId="0" borderId="0" xfId="13" applyFont="1" applyAlignment="1" applyProtection="1">
      <alignment vertical="center"/>
    </xf>
    <xf numFmtId="0" fontId="58" fillId="0" borderId="7" xfId="0" applyFont="1" applyBorder="1" applyAlignment="1">
      <alignment horizontal="center"/>
    </xf>
    <xf numFmtId="0" fontId="68" fillId="0" borderId="0" xfId="13" applyFont="1" applyBorder="1" applyAlignment="1" applyProtection="1"/>
    <xf numFmtId="0" fontId="71" fillId="0" borderId="0" xfId="0" applyFont="1" applyAlignment="1">
      <alignment horizontal="center" vertical="center"/>
    </xf>
    <xf numFmtId="0" fontId="71" fillId="0" borderId="0" xfId="0" applyFont="1"/>
    <xf numFmtId="164" fontId="71" fillId="0" borderId="0" xfId="1" applyFont="1" applyAlignment="1"/>
    <xf numFmtId="164" fontId="71" fillId="0" borderId="0" xfId="1" applyFont="1" applyBorder="1" applyAlignment="1"/>
    <xf numFmtId="0" fontId="71" fillId="0" borderId="7" xfId="0" applyFont="1" applyBorder="1" applyAlignment="1">
      <alignment horizontal="center" vertical="center"/>
    </xf>
    <xf numFmtId="9" fontId="71" fillId="0" borderId="0" xfId="16" applyFont="1" applyAlignment="1">
      <alignment vertical="center"/>
    </xf>
    <xf numFmtId="0" fontId="70" fillId="0" borderId="0" xfId="0" applyFont="1" applyAlignment="1">
      <alignment horizontal="center" vertical="center"/>
    </xf>
    <xf numFmtId="0" fontId="70" fillId="0" borderId="0" xfId="0" applyFont="1"/>
    <xf numFmtId="0" fontId="71" fillId="0" borderId="1" xfId="0" applyFont="1" applyBorder="1"/>
    <xf numFmtId="0" fontId="71" fillId="0" borderId="0" xfId="13" applyFont="1" applyAlignment="1" applyProtection="1"/>
    <xf numFmtId="0" fontId="72" fillId="0" borderId="0" xfId="0" applyFont="1"/>
    <xf numFmtId="0" fontId="71" fillId="0" borderId="7" xfId="0" applyFont="1" applyBorder="1"/>
    <xf numFmtId="0" fontId="70" fillId="0" borderId="0" xfId="13" applyFont="1" applyAlignment="1" applyProtection="1"/>
    <xf numFmtId="0" fontId="73" fillId="0" borderId="0" xfId="0" applyFont="1"/>
    <xf numFmtId="10" fontId="71" fillId="0" borderId="0" xfId="0" applyNumberFormat="1" applyFont="1" applyAlignment="1">
      <alignment horizontal="center"/>
    </xf>
    <xf numFmtId="9" fontId="71" fillId="0" borderId="0" xfId="0" applyNumberFormat="1" applyFont="1" applyAlignment="1">
      <alignment horizontal="center"/>
    </xf>
    <xf numFmtId="0" fontId="70" fillId="0" borderId="7" xfId="0" applyFont="1" applyBorder="1"/>
    <xf numFmtId="164" fontId="71" fillId="0" borderId="0" xfId="0" applyNumberFormat="1" applyFont="1"/>
    <xf numFmtId="168" fontId="71" fillId="0" borderId="0" xfId="0" applyNumberFormat="1" applyFont="1"/>
    <xf numFmtId="168" fontId="71" fillId="0" borderId="0" xfId="1" applyNumberFormat="1" applyFont="1" applyAlignment="1"/>
    <xf numFmtId="168" fontId="71" fillId="0" borderId="0" xfId="1" applyNumberFormat="1" applyFont="1" applyBorder="1" applyAlignment="1"/>
    <xf numFmtId="168" fontId="71" fillId="0" borderId="7" xfId="1" applyNumberFormat="1" applyFont="1" applyBorder="1" applyAlignment="1"/>
    <xf numFmtId="168" fontId="71" fillId="0" borderId="7" xfId="0" applyNumberFormat="1" applyFont="1" applyBorder="1"/>
    <xf numFmtId="0" fontId="72" fillId="0" borderId="7" xfId="0" applyFont="1" applyBorder="1"/>
    <xf numFmtId="0" fontId="71" fillId="0" borderId="0" xfId="13" applyFont="1" applyBorder="1" applyAlignment="1" applyProtection="1"/>
    <xf numFmtId="168" fontId="57" fillId="0" borderId="1" xfId="1" applyNumberFormat="1" applyFont="1" applyBorder="1" applyAlignment="1">
      <alignment horizontal="center"/>
    </xf>
    <xf numFmtId="168" fontId="57" fillId="0" borderId="0" xfId="1" applyNumberFormat="1" applyFont="1" applyBorder="1" applyAlignment="1">
      <alignment horizontal="center"/>
    </xf>
    <xf numFmtId="15" fontId="53" fillId="0" borderId="0" xfId="1" applyNumberFormat="1" applyFont="1" applyAlignment="1">
      <alignment horizontal="center"/>
    </xf>
    <xf numFmtId="0" fontId="47" fillId="0" borderId="0" xfId="0" applyFont="1" applyAlignment="1">
      <alignment horizontal="center"/>
    </xf>
    <xf numFmtId="0" fontId="71"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left" vertical="top" wrapText="1"/>
    </xf>
    <xf numFmtId="0" fontId="9" fillId="0" borderId="0" xfId="0" applyFont="1" applyAlignment="1">
      <alignment horizontal="center"/>
    </xf>
    <xf numFmtId="164" fontId="57" fillId="0" borderId="0" xfId="1" applyFont="1" applyBorder="1" applyAlignment="1">
      <alignment horizontal="center"/>
    </xf>
    <xf numFmtId="164" fontId="57" fillId="0" borderId="1" xfId="1" applyFont="1" applyBorder="1" applyAlignment="1">
      <alignment horizontal="center"/>
    </xf>
    <xf numFmtId="15" fontId="53" fillId="0" borderId="0" xfId="1" applyNumberFormat="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7"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0" xfId="1" applyFont="1" applyAlignment="1">
      <alignment horizontal="center"/>
    </xf>
    <xf numFmtId="164" fontId="0" fillId="0" borderId="0" xfId="1" applyFont="1" applyAlignment="1" applyProtection="1">
      <alignment horizontal="center"/>
      <protection locked="0"/>
    </xf>
  </cellXfs>
  <cellStyles count="28">
    <cellStyle name="Comma" xfId="1" builtinId="3"/>
    <cellStyle name="Comma 2" xfId="2" xr:uid="{00000000-0005-0000-0000-000001000000}"/>
    <cellStyle name="Comma 2 2" xfId="3" xr:uid="{00000000-0005-0000-0000-000002000000}"/>
    <cellStyle name="Comma 2 3" xfId="23"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6" xr:uid="{CB3EB91A-3A64-4AFF-8188-AFBAFF9485A8}"/>
    <cellStyle name="Normal 3" xfId="15" xr:uid="{00000000-0005-0000-0000-000011000000}"/>
    <cellStyle name="Normal 4" xfId="22" xr:uid="{ACF0510B-F609-44CF-B7C9-9DF42D839272}"/>
    <cellStyle name="Normal 5" xfId="24" xr:uid="{A7247675-8E61-4763-AD07-039BEAA7DE58}"/>
    <cellStyle name="Normal 6" xfId="25" xr:uid="{00000000-0005-0000-0000-000047000000}"/>
    <cellStyle name="Percent" xfId="16" builtinId="5"/>
    <cellStyle name="Percent 2" xfId="17" xr:uid="{00000000-0005-0000-0000-000018000000}"/>
    <cellStyle name="Percent 2 2" xfId="18" xr:uid="{00000000-0005-0000-0000-000019000000}"/>
    <cellStyle name="Percent 2 3" xfId="27" xr:uid="{35482C83-D02B-4C4B-9006-C0FEE8602378}"/>
    <cellStyle name="Percent 3" xfId="19" xr:uid="{00000000-0005-0000-0000-00001A000000}"/>
    <cellStyle name="Percent 3 2" xfId="20" xr:uid="{00000000-0005-0000-0000-00001B000000}"/>
    <cellStyle name="Percent 4" xfId="21"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3</xdr:col>
      <xdr:colOff>9525</xdr:colOff>
      <xdr:row>27</xdr:row>
      <xdr:rowOff>53975</xdr:rowOff>
    </xdr:to>
    <xdr:pic>
      <xdr:nvPicPr>
        <xdr:cNvPr id="3" name="Picture 2">
          <a:extLst>
            <a:ext uri="{FF2B5EF4-FFF2-40B4-BE49-F238E27FC236}">
              <a16:creationId xmlns:a16="http://schemas.microsoft.com/office/drawing/2014/main" id="{59FFA00B-CEF1-41E6-8586-2BAA3EB16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404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253</xdr:row>
      <xdr:rowOff>0</xdr:rowOff>
    </xdr:from>
    <xdr:to>
      <xdr:col>3</xdr:col>
      <xdr:colOff>104775</xdr:colOff>
      <xdr:row>253</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253</xdr:row>
      <xdr:rowOff>0</xdr:rowOff>
    </xdr:from>
    <xdr:to>
      <xdr:col>10</xdr:col>
      <xdr:colOff>876300</xdr:colOff>
      <xdr:row>253</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252</xdr:row>
      <xdr:rowOff>0</xdr:rowOff>
    </xdr:from>
    <xdr:to>
      <xdr:col>3</xdr:col>
      <xdr:colOff>104775</xdr:colOff>
      <xdr:row>252</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252</xdr:row>
      <xdr:rowOff>0</xdr:rowOff>
    </xdr:from>
    <xdr:to>
      <xdr:col>10</xdr:col>
      <xdr:colOff>876300</xdr:colOff>
      <xdr:row>252</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Criteria!E33*Criteria!E34=Criteria!E36*Criteria!E37,%22%20%22,Criteria!E33*Criteria!E34)" TargetMode="External"/><Relationship Id="rId21" Type="http://schemas.openxmlformats.org/officeDocument/2006/relationships/hyperlink" Target="mailto:-@sum(TrialBalance!A119:A125"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sum(TrialBalance!A67:A70" TargetMode="External"/><Relationship Id="rId84" Type="http://schemas.openxmlformats.org/officeDocument/2006/relationships/printerSettings" Target="../printerSettings/printerSettings2.bin"/><Relationship Id="rId16" Type="http://schemas.openxmlformats.org/officeDocument/2006/relationships/hyperlink" Target="mailto:-TrialBalance!A146-@sum(TrialBalance!A5:A127)"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77:A111"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IF(U501+V501=1,%22GROSS%20PROFIT/(LOSS)%22,IF((U501+V501=2),%22GROSS%20PROFIT%22,%22GROSS%20LOSS%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77:A111"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sum(TrialBalance!A8:A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sum(TrialBalance!A67:A70"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sum(TrialBalance!A67:A70"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IF(U501+V501=1,%22GROSS%20PROFIT/(LOSS)%22,IF((U501+V501=2),%22GROSS%20PROFIT%22,%22GROSS%20LOSS%22))" TargetMode="External"/><Relationship Id="rId85" Type="http://schemas.openxmlformats.org/officeDocument/2006/relationships/drawing" Target="../drawings/drawing2.xm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8:A22" TargetMode="External"/><Relationship Id="rId25" Type="http://schemas.openxmlformats.org/officeDocument/2006/relationships/hyperlink" Target="mailto:=@if(Criteria!E33*Criteria!E34=Criteria!E36*Criteria!E37,%22%20%22,Criteria!E33*Criteria!E34)" TargetMode="External"/><Relationship Id="rId33" Type="http://schemas.openxmlformats.org/officeDocument/2006/relationships/hyperlink" Target="mailto:-@sum(TrialBalance!A112:A118"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sum(TrialBalance!A112:A118"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sum(TrialBalance!A67:A70"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IF(U501+V501=1,%22GROSS%20PROFIT/(LOSS)%22,IF((U501+V501=2),%22GROSS%20PROFIT%22,%22GROSS%20LOSS%22))" TargetMode="External"/><Relationship Id="rId83" Type="http://schemas.openxmlformats.org/officeDocument/2006/relationships/hyperlink" Target="mailto:=@if(Criteria!F343=%22No%22,Criteria!G346,%22%20%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67:A70"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sum(TrialBalance!A67:A70" TargetMode="External"/><Relationship Id="rId49" Type="http://schemas.openxmlformats.org/officeDocument/2006/relationships/hyperlink" Target="mailto:-@sum(TrialBalance!A67:A70"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sum(TrialBalance!A23:A63"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sum(TrialBalance!A67:A70"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Criteria!F343=%22No%22,Criteria!G346,%22%20%22)" TargetMode="External"/><Relationship Id="rId86" Type="http://schemas.openxmlformats.org/officeDocument/2006/relationships/image" Target="../media/image2.jpeg"/><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23:A63"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sum(TrialBalance!A67:A70" TargetMode="External"/><Relationship Id="rId76" Type="http://schemas.openxmlformats.org/officeDocument/2006/relationships/hyperlink" Target="mailto:-@sum(TrialBalance!A119:A125"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TrialBalance!A146-@sum(TrialBalance!A5:A127)" TargetMode="External"/><Relationship Id="rId29"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Criteria!F343=%22No%22,Criteria!G346,%22%20%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mailto:-@sum(TrialBalance!A8:A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sum(TrialBalance!A67:A70"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Criteria!E33*Criteria!E34=Criteria!E36*Criteria!E37,%22%20%22,Criteria!E33*Criteria!E34)"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printerSettings" Target="../printerSettings/printerSettings3.bin"/><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112:A118"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sum(TrialBalance!A67:A70"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67:A70"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Criteria!F343=%22No%22,Criteria!G346,%22%20%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23:A63"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drawing" Target="../drawings/drawing3.xm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TrialBalance!A146-@sum(TrialBalance!A5:A127)" TargetMode="External"/><Relationship Id="rId17" Type="http://schemas.openxmlformats.org/officeDocument/2006/relationships/hyperlink" Target="mailto:-@sum(TrialBalance!A119:A125"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Criteria!F343=%22No%22,Criteria!G346,%22%20%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77:A111"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image" Target="../media/image5.png"/><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Criteria!F343=%22No%22,Criteria!G346,%22%20%22)"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43"/>
  <sheetViews>
    <sheetView tabSelected="1" workbookViewId="0">
      <selection activeCell="C1" sqref="C1"/>
    </sheetView>
  </sheetViews>
  <sheetFormatPr defaultRowHeight="15" x14ac:dyDescent="0.25"/>
  <cols>
    <col min="1" max="1" width="9.140625" style="189"/>
    <col min="2" max="2" width="5" style="189" customWidth="1"/>
    <col min="3" max="3" width="91" style="189" bestFit="1" customWidth="1"/>
    <col min="4" max="16384" width="9.140625" style="189"/>
  </cols>
  <sheetData>
    <row r="1" spans="3:3" ht="29.25" customHeight="1" x14ac:dyDescent="0.25">
      <c r="C1" s="191" t="s">
        <v>660</v>
      </c>
    </row>
    <row r="2" spans="3:3" x14ac:dyDescent="0.25">
      <c r="C2" s="192"/>
    </row>
    <row r="3" spans="3:3" ht="31.5" x14ac:dyDescent="0.5">
      <c r="C3" s="193" t="s">
        <v>1025</v>
      </c>
    </row>
    <row r="4" spans="3:3" x14ac:dyDescent="0.25">
      <c r="C4" s="192"/>
    </row>
    <row r="5" spans="3:3" ht="15.75" x14ac:dyDescent="0.25">
      <c r="C5" s="194" t="s">
        <v>661</v>
      </c>
    </row>
    <row r="6" spans="3:3" ht="15.75" x14ac:dyDescent="0.25">
      <c r="C6" s="194" t="s">
        <v>782</v>
      </c>
    </row>
    <row r="29" spans="2:3" ht="15.75" x14ac:dyDescent="0.3">
      <c r="B29" s="197" t="s">
        <v>817</v>
      </c>
    </row>
    <row r="32" spans="2:3" x14ac:dyDescent="0.25">
      <c r="B32" s="190" t="s">
        <v>647</v>
      </c>
      <c r="C32" s="189" t="s">
        <v>824</v>
      </c>
    </row>
    <row r="33" spans="2:3" x14ac:dyDescent="0.25">
      <c r="C33" s="189" t="s">
        <v>830</v>
      </c>
    </row>
    <row r="34" spans="2:3" x14ac:dyDescent="0.25">
      <c r="C34" s="189" t="s">
        <v>793</v>
      </c>
    </row>
    <row r="35" spans="2:3" x14ac:dyDescent="0.25">
      <c r="C35" s="189" t="s">
        <v>792</v>
      </c>
    </row>
    <row r="36" spans="2:3" x14ac:dyDescent="0.25">
      <c r="C36" s="189" t="s">
        <v>818</v>
      </c>
    </row>
    <row r="38" spans="2:3" x14ac:dyDescent="0.25">
      <c r="C38" s="189" t="s">
        <v>816</v>
      </c>
    </row>
    <row r="39" spans="2:3" x14ac:dyDescent="0.25">
      <c r="C39" s="189" t="s">
        <v>819</v>
      </c>
    </row>
    <row r="41" spans="2:3" x14ac:dyDescent="0.25">
      <c r="B41" s="190" t="s">
        <v>647</v>
      </c>
      <c r="C41" s="189" t="s">
        <v>1021</v>
      </c>
    </row>
    <row r="42" spans="2:3" x14ac:dyDescent="0.25">
      <c r="C42" s="189" t="s">
        <v>1213</v>
      </c>
    </row>
    <row r="43" spans="2:3" x14ac:dyDescent="0.25">
      <c r="C43" s="189" t="s">
        <v>994</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37" t="s">
        <v>639</v>
      </c>
      <c r="G4" s="105" t="s">
        <v>77</v>
      </c>
      <c r="H4" s="105"/>
    </row>
    <row r="5" spans="3:8" ht="15.75" customHeight="1" x14ac:dyDescent="0.25">
      <c r="G5" s="25"/>
      <c r="H5" s="25"/>
    </row>
    <row r="6" spans="3:8" x14ac:dyDescent="0.25">
      <c r="G6" s="5">
        <f>Criteria!E22</f>
        <v>2025</v>
      </c>
      <c r="H6" s="5">
        <f>Criteria!E27</f>
        <v>2024</v>
      </c>
    </row>
    <row r="7" spans="3:8" x14ac:dyDescent="0.25">
      <c r="G7" s="101"/>
      <c r="H7" s="101"/>
    </row>
    <row r="8" spans="3:8" x14ac:dyDescent="0.25">
      <c r="C8" s="2" t="str">
        <f>TrialBalance!C319</f>
        <v>CONNECTED ENTITIES LOANS</v>
      </c>
      <c r="G8" s="101"/>
      <c r="H8" s="101"/>
    </row>
    <row r="9" spans="3:8" x14ac:dyDescent="0.25">
      <c r="C9" s="2" t="str">
        <f>TrialBalance!C320</f>
        <v>Interest bearing</v>
      </c>
      <c r="G9" s="101"/>
      <c r="H9" s="101"/>
    </row>
    <row r="10" spans="3:8" x14ac:dyDescent="0.25">
      <c r="C10" s="2">
        <f>TrialBalance!C321</f>
        <v>0</v>
      </c>
      <c r="G10" s="101">
        <f>TrialBalance!L321</f>
        <v>0</v>
      </c>
      <c r="H10" s="101">
        <f>TrialBalance!N321</f>
        <v>0</v>
      </c>
    </row>
    <row r="11" spans="3:8" x14ac:dyDescent="0.25">
      <c r="C11" s="2">
        <f>TrialBalance!C322</f>
        <v>0</v>
      </c>
      <c r="G11" s="101">
        <f>TrialBalance!L322</f>
        <v>0</v>
      </c>
      <c r="H11" s="101">
        <f>TrialBalance!N322</f>
        <v>0</v>
      </c>
    </row>
    <row r="12" spans="3:8" x14ac:dyDescent="0.25">
      <c r="C12" s="2">
        <f>TrialBalance!C323</f>
        <v>0</v>
      </c>
      <c r="G12" s="101">
        <f>TrialBalance!L323</f>
        <v>0</v>
      </c>
      <c r="H12" s="101">
        <f>TrialBalance!N323</f>
        <v>0</v>
      </c>
    </row>
    <row r="13" spans="3:8" x14ac:dyDescent="0.25">
      <c r="C13" s="2">
        <f>TrialBalance!C330</f>
        <v>0</v>
      </c>
      <c r="G13" s="101">
        <f>TrialBalance!L330</f>
        <v>0</v>
      </c>
      <c r="H13" s="101">
        <f>TrialBalance!N330</f>
        <v>0</v>
      </c>
    </row>
    <row r="14" spans="3:8" x14ac:dyDescent="0.25">
      <c r="C14" s="2" t="str">
        <f>TrialBalance!C331</f>
        <v>Interest free</v>
      </c>
      <c r="G14" s="101"/>
      <c r="H14" s="101"/>
    </row>
    <row r="15" spans="3:8" x14ac:dyDescent="0.25">
      <c r="C15" s="2">
        <f>TrialBalance!C332</f>
        <v>0</v>
      </c>
      <c r="G15" s="101">
        <f>TrialBalance!L332</f>
        <v>0</v>
      </c>
      <c r="H15" s="101">
        <f>TrialBalance!N332</f>
        <v>0</v>
      </c>
    </row>
    <row r="16" spans="3:8" x14ac:dyDescent="0.25">
      <c r="C16" s="2">
        <f>TrialBalance!C333</f>
        <v>0</v>
      </c>
      <c r="G16" s="101">
        <f>TrialBalance!L333</f>
        <v>0</v>
      </c>
      <c r="H16" s="101">
        <f>TrialBalance!N333</f>
        <v>0</v>
      </c>
    </row>
    <row r="17" spans="3:8" x14ac:dyDescent="0.25">
      <c r="C17" s="2">
        <f>TrialBalance!C334</f>
        <v>0</v>
      </c>
      <c r="G17" s="101">
        <f>TrialBalance!L334</f>
        <v>0</v>
      </c>
      <c r="H17" s="101">
        <f>TrialBalance!N334</f>
        <v>0</v>
      </c>
    </row>
    <row r="18" spans="3:8" x14ac:dyDescent="0.25">
      <c r="C18" s="2">
        <f>TrialBalance!C341</f>
        <v>0</v>
      </c>
      <c r="G18" s="101">
        <f>TrialBalance!L341</f>
        <v>0</v>
      </c>
      <c r="H18" s="101">
        <f>TrialBalance!N341</f>
        <v>0</v>
      </c>
    </row>
    <row r="19" spans="3:8" x14ac:dyDescent="0.25">
      <c r="C19" s="2" t="str">
        <f>TrialBalance!C342</f>
        <v>OTHER NON - CURRENT RECEIVABLES</v>
      </c>
      <c r="G19" s="101"/>
      <c r="H19" s="101"/>
    </row>
    <row r="20" spans="3:8" x14ac:dyDescent="0.25">
      <c r="C20" s="2" t="str">
        <f>TrialBalance!C343</f>
        <v>Interest bearing</v>
      </c>
      <c r="G20" s="101"/>
      <c r="H20" s="101"/>
    </row>
    <row r="21" spans="3:8" x14ac:dyDescent="0.25">
      <c r="C21" s="2">
        <f>TrialBalance!C344</f>
        <v>0</v>
      </c>
      <c r="G21" s="101">
        <f>TrialBalance!L344</f>
        <v>0</v>
      </c>
      <c r="H21" s="101">
        <f>TrialBalance!N344</f>
        <v>0</v>
      </c>
    </row>
    <row r="22" spans="3:8" x14ac:dyDescent="0.25">
      <c r="C22" s="2">
        <f>TrialBalance!C345</f>
        <v>0</v>
      </c>
      <c r="G22" s="101">
        <f>TrialBalance!L345</f>
        <v>0</v>
      </c>
      <c r="H22" s="101">
        <f>TrialBalance!N345</f>
        <v>0</v>
      </c>
    </row>
    <row r="23" spans="3:8" x14ac:dyDescent="0.25">
      <c r="C23" s="2">
        <f>TrialBalance!C346</f>
        <v>0</v>
      </c>
      <c r="G23" s="101">
        <f>TrialBalance!L346</f>
        <v>0</v>
      </c>
      <c r="H23" s="101">
        <f>TrialBalance!N346</f>
        <v>0</v>
      </c>
    </row>
    <row r="24" spans="3:8" x14ac:dyDescent="0.25">
      <c r="C24" s="2">
        <f>TrialBalance!C347</f>
        <v>0</v>
      </c>
      <c r="G24" s="101">
        <f>TrialBalance!L347</f>
        <v>0</v>
      </c>
      <c r="H24" s="101">
        <f>TrialBalance!N347</f>
        <v>0</v>
      </c>
    </row>
    <row r="25" spans="3:8" x14ac:dyDescent="0.25">
      <c r="C25" s="2" t="str">
        <f>TrialBalance!C348</f>
        <v>Interest free</v>
      </c>
      <c r="G25" s="101"/>
      <c r="H25" s="101"/>
    </row>
    <row r="26" spans="3:8" x14ac:dyDescent="0.25">
      <c r="C26" s="2">
        <f>TrialBalance!C349</f>
        <v>0</v>
      </c>
      <c r="G26" s="101">
        <f>TrialBalance!L349</f>
        <v>0</v>
      </c>
      <c r="H26" s="101">
        <f>TrialBalance!N349</f>
        <v>0</v>
      </c>
    </row>
    <row r="27" spans="3:8" x14ac:dyDescent="0.25">
      <c r="C27" s="2">
        <f>TrialBalance!C350</f>
        <v>0</v>
      </c>
      <c r="G27" s="101">
        <f>TrialBalance!L350</f>
        <v>0</v>
      </c>
      <c r="H27" s="101">
        <f>TrialBalance!N350</f>
        <v>0</v>
      </c>
    </row>
    <row r="28" spans="3:8" x14ac:dyDescent="0.25">
      <c r="C28" s="2">
        <f>TrialBalance!C351</f>
        <v>0</v>
      </c>
      <c r="G28" s="101">
        <f>TrialBalance!L351</f>
        <v>0</v>
      </c>
      <c r="H28" s="101">
        <f>TrialBalance!N351</f>
        <v>0</v>
      </c>
    </row>
    <row r="29" spans="3:8" x14ac:dyDescent="0.25">
      <c r="C29" s="2">
        <f>TrialBalance!C352</f>
        <v>0</v>
      </c>
      <c r="G29" s="101">
        <f>TrialBalance!L352</f>
        <v>0</v>
      </c>
      <c r="H29" s="101">
        <f>TrialBalance!N352</f>
        <v>0</v>
      </c>
    </row>
    <row r="30" spans="3:8" x14ac:dyDescent="0.25">
      <c r="C30" s="2">
        <f>TrialBalance!C353</f>
        <v>0</v>
      </c>
      <c r="G30" s="101">
        <f>TrialBalance!L353</f>
        <v>0</v>
      </c>
      <c r="H30" s="101">
        <f>TrialBalance!N353</f>
        <v>0</v>
      </c>
    </row>
    <row r="31" spans="3:8" s="2" customFormat="1" x14ac:dyDescent="0.25">
      <c r="G31" s="101"/>
      <c r="H31" s="101"/>
    </row>
    <row r="32" spans="3:8" s="2" customFormat="1" ht="16.5" thickBot="1" x14ac:dyDescent="0.3">
      <c r="G32" s="103">
        <f>SUM(G7:G31)</f>
        <v>0</v>
      </c>
      <c r="H32" s="103">
        <f>SUM(H7:H31)</f>
        <v>0</v>
      </c>
    </row>
    <row r="33" spans="3:8" s="2" customFormat="1" ht="16.5" thickTop="1" x14ac:dyDescent="0.25">
      <c r="G33" s="101"/>
      <c r="H33" s="101"/>
    </row>
    <row r="34" spans="3:8" x14ac:dyDescent="0.25">
      <c r="C34" s="1" t="s">
        <v>553</v>
      </c>
      <c r="G34" s="101">
        <f>G32-SUM(TrialBalance!L321:L353)</f>
        <v>0</v>
      </c>
      <c r="H34" s="101">
        <f>H32-SUM(TrialBalance!N321:N353)</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37" t="s">
        <v>44</v>
      </c>
      <c r="G4" s="105" t="s">
        <v>77</v>
      </c>
      <c r="H4" s="105"/>
    </row>
    <row r="5" spans="3:8" ht="15.75" customHeight="1" x14ac:dyDescent="0.25">
      <c r="G5" s="25"/>
      <c r="H5" s="25"/>
    </row>
    <row r="6" spans="3:8" x14ac:dyDescent="0.25">
      <c r="G6" s="5">
        <f>Criteria!E22</f>
        <v>2025</v>
      </c>
      <c r="H6" s="5">
        <f>Criteria!E27</f>
        <v>2024</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36">
        <f>G17-SUM(TrialBalance!L355:L358)</f>
        <v>0</v>
      </c>
      <c r="H19" s="136">
        <f>H17-SUM(TrialBalance!N355:N358)</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2025</v>
      </c>
    </row>
    <row r="4" spans="2:8" ht="52.5" customHeight="1" x14ac:dyDescent="0.25">
      <c r="C4" s="137" t="s">
        <v>29</v>
      </c>
      <c r="G4" s="105" t="s">
        <v>77</v>
      </c>
      <c r="H4" s="105"/>
    </row>
    <row r="5" spans="2:8" ht="15.75" customHeight="1" x14ac:dyDescent="0.25">
      <c r="G5" s="25"/>
      <c r="H5" s="25"/>
    </row>
    <row r="6" spans="2:8" ht="15.75" customHeight="1" x14ac:dyDescent="0.25">
      <c r="G6" s="25"/>
      <c r="H6" s="25"/>
    </row>
    <row r="7" spans="2:8" x14ac:dyDescent="0.25">
      <c r="B7" s="89" t="s">
        <v>551</v>
      </c>
      <c r="C7" s="3" t="s">
        <v>549</v>
      </c>
      <c r="G7" s="25"/>
      <c r="H7" s="25"/>
    </row>
    <row r="8" spans="2:8" x14ac:dyDescent="0.25">
      <c r="C8" s="6"/>
      <c r="D8" s="6"/>
      <c r="E8" s="6"/>
      <c r="F8" s="6"/>
      <c r="G8" s="100"/>
      <c r="H8" s="100"/>
    </row>
    <row r="10" spans="2:8" x14ac:dyDescent="0.25">
      <c r="G10" s="5">
        <f>Criteria!E22</f>
        <v>2025</v>
      </c>
      <c r="H10" s="5">
        <f>Criteria!E27</f>
        <v>2024</v>
      </c>
    </row>
    <row r="11" spans="2:8" x14ac:dyDescent="0.25">
      <c r="G11" s="101"/>
      <c r="H11" s="101"/>
    </row>
    <row r="12" spans="2:8" x14ac:dyDescent="0.25">
      <c r="C12" s="28"/>
      <c r="G12" s="101"/>
      <c r="H12" s="101"/>
    </row>
    <row r="13" spans="2:8" x14ac:dyDescent="0.25">
      <c r="G13" s="101"/>
      <c r="H13" s="101"/>
    </row>
    <row r="14" spans="2:8" x14ac:dyDescent="0.25">
      <c r="G14" s="101"/>
      <c r="H14" s="101"/>
    </row>
    <row r="15" spans="2:8" x14ac:dyDescent="0.25">
      <c r="G15" s="101"/>
      <c r="H15" s="101"/>
    </row>
    <row r="16" spans="2:8" x14ac:dyDescent="0.25">
      <c r="G16" s="101"/>
      <c r="H16" s="101"/>
    </row>
    <row r="17" spans="2:8" x14ac:dyDescent="0.25">
      <c r="G17" s="101"/>
      <c r="H17" s="101"/>
    </row>
    <row r="18" spans="2:8" s="2" customFormat="1" x14ac:dyDescent="0.25">
      <c r="G18" s="101"/>
      <c r="H18" s="101"/>
    </row>
    <row r="19" spans="2:8" s="2" customFormat="1" x14ac:dyDescent="0.25">
      <c r="G19" s="101"/>
      <c r="H19" s="101"/>
    </row>
    <row r="20" spans="2:8" s="2" customFormat="1" x14ac:dyDescent="0.25">
      <c r="G20" s="101"/>
      <c r="H20" s="101"/>
    </row>
    <row r="21" spans="2:8" s="2" customFormat="1" x14ac:dyDescent="0.25">
      <c r="G21" s="102"/>
      <c r="H21" s="102"/>
    </row>
    <row r="22" spans="2:8" s="2" customFormat="1" x14ac:dyDescent="0.25">
      <c r="G22" s="101">
        <f>SUM(G11:G21)</f>
        <v>0</v>
      </c>
      <c r="H22" s="101">
        <f>SUM(H11:H21)</f>
        <v>0</v>
      </c>
    </row>
    <row r="23" spans="2:8" s="2" customFormat="1" x14ac:dyDescent="0.25">
      <c r="G23" s="101"/>
      <c r="H23" s="101"/>
    </row>
    <row r="24" spans="2:8" s="2" customFormat="1" x14ac:dyDescent="0.25">
      <c r="C24" s="2" t="s">
        <v>548</v>
      </c>
      <c r="G24" s="101">
        <f>TrialBalance!L361</f>
        <v>0</v>
      </c>
      <c r="H24" s="101">
        <f>TrialBalance!N361</f>
        <v>0</v>
      </c>
    </row>
    <row r="25" spans="2:8" s="2" customFormat="1" x14ac:dyDescent="0.25">
      <c r="G25" s="101"/>
      <c r="H25" s="101"/>
    </row>
    <row r="26" spans="2:8" s="2" customFormat="1" ht="16.5" thickBot="1" x14ac:dyDescent="0.3">
      <c r="G26" s="103">
        <f>SUM(G22:G25)</f>
        <v>0</v>
      </c>
      <c r="H26" s="103">
        <f>SUM(H22:H25)</f>
        <v>0</v>
      </c>
    </row>
    <row r="27" spans="2:8" s="2" customFormat="1" ht="16.5" thickTop="1" x14ac:dyDescent="0.25">
      <c r="G27" s="101"/>
      <c r="H27" s="101"/>
    </row>
    <row r="28" spans="2:8" s="2" customFormat="1" x14ac:dyDescent="0.25">
      <c r="C28" s="1" t="s">
        <v>553</v>
      </c>
      <c r="D28" s="1"/>
      <c r="E28" s="1"/>
      <c r="F28" s="1"/>
      <c r="G28" s="7">
        <f>SUM(TrialBalance!L360:L361)-G26</f>
        <v>0</v>
      </c>
      <c r="H28" s="7">
        <f>SUM(TrialBalance!N360:N361)-H26</f>
        <v>0</v>
      </c>
    </row>
    <row r="29" spans="2:8" s="2" customFormat="1" x14ac:dyDescent="0.25">
      <c r="G29" s="101"/>
      <c r="H29" s="101"/>
    </row>
    <row r="30" spans="2:8" s="2" customFormat="1" x14ac:dyDescent="0.25">
      <c r="G30" s="101"/>
      <c r="H30" s="101"/>
    </row>
    <row r="31" spans="2:8" s="2" customFormat="1" x14ac:dyDescent="0.25">
      <c r="G31" s="101"/>
      <c r="H31" s="101"/>
    </row>
    <row r="32" spans="2:8" s="2" customFormat="1" x14ac:dyDescent="0.25">
      <c r="B32" s="89" t="s">
        <v>552</v>
      </c>
      <c r="C32" s="3" t="s">
        <v>487</v>
      </c>
      <c r="G32" s="25"/>
      <c r="H32" s="25"/>
    </row>
    <row r="33" spans="3:8" s="2" customFormat="1" x14ac:dyDescent="0.25">
      <c r="C33" s="6"/>
      <c r="D33" s="6"/>
      <c r="E33" s="6"/>
      <c r="F33" s="6"/>
      <c r="G33" s="100"/>
      <c r="H33" s="100"/>
    </row>
    <row r="34" spans="3:8" s="2" customFormat="1" x14ac:dyDescent="0.25">
      <c r="G34" s="5"/>
      <c r="H34" s="5"/>
    </row>
    <row r="35" spans="3:8" s="2" customFormat="1" x14ac:dyDescent="0.25">
      <c r="G35" s="5">
        <f>Criteria!E22</f>
        <v>2025</v>
      </c>
      <c r="H35" s="5">
        <f>Criteria!E27</f>
        <v>2024</v>
      </c>
    </row>
    <row r="36" spans="3:8" s="2" customFormat="1" x14ac:dyDescent="0.25">
      <c r="G36" s="101"/>
      <c r="H36" s="101"/>
    </row>
    <row r="37" spans="3:8" s="2" customFormat="1" x14ac:dyDescent="0.25">
      <c r="G37" s="4"/>
      <c r="H37" s="4"/>
    </row>
    <row r="38" spans="3:8" s="2" customFormat="1" x14ac:dyDescent="0.25">
      <c r="G38" s="101"/>
      <c r="H38" s="101"/>
    </row>
    <row r="39" spans="3:8" s="2" customFormat="1" x14ac:dyDescent="0.25">
      <c r="G39" s="4"/>
      <c r="H39" s="4"/>
    </row>
    <row r="40" spans="3:8" s="2" customFormat="1" x14ac:dyDescent="0.25">
      <c r="G40" s="4"/>
      <c r="H40" s="4"/>
    </row>
    <row r="41" spans="3:8" s="2" customFormat="1" x14ac:dyDescent="0.25">
      <c r="G41" s="101"/>
      <c r="H41" s="101"/>
    </row>
    <row r="42" spans="3:8" s="2" customFormat="1" x14ac:dyDescent="0.25">
      <c r="G42" s="101"/>
      <c r="H42" s="101"/>
    </row>
    <row r="43" spans="3:8" s="2" customFormat="1" ht="16.5" thickBot="1" x14ac:dyDescent="0.3">
      <c r="G43" s="103">
        <f>SUM(G36:G42)</f>
        <v>0</v>
      </c>
      <c r="H43" s="103">
        <f>SUM(H36:H42)</f>
        <v>0</v>
      </c>
    </row>
    <row r="44" spans="3:8" s="2" customFormat="1" ht="16.5" thickTop="1" x14ac:dyDescent="0.25">
      <c r="G44" s="101"/>
      <c r="H44" s="101"/>
    </row>
    <row r="45" spans="3:8" s="2" customFormat="1" x14ac:dyDescent="0.25">
      <c r="C45" s="1" t="s">
        <v>553</v>
      </c>
      <c r="D45" s="1"/>
      <c r="E45" s="1"/>
      <c r="F45" s="1"/>
      <c r="G45" s="7">
        <f>TrialBalance!D362+TrialBalance!L362-Debtors!G43</f>
        <v>0</v>
      </c>
      <c r="H45" s="7">
        <f>TrialBalance!E362+TrialBalance!N362-Debtors!H43</f>
        <v>0</v>
      </c>
    </row>
    <row r="46" spans="3:8" s="2" customFormat="1" x14ac:dyDescent="0.25">
      <c r="G46" s="101"/>
      <c r="H46" s="101"/>
    </row>
    <row r="47" spans="3:8" s="2" customFormat="1" x14ac:dyDescent="0.25">
      <c r="G47" s="101"/>
      <c r="H47" s="101"/>
    </row>
    <row r="48" spans="3:8" s="2" customFormat="1" x14ac:dyDescent="0.25">
      <c r="G48" s="101"/>
      <c r="H48" s="101"/>
    </row>
    <row r="49" spans="2:8" s="2" customFormat="1" x14ac:dyDescent="0.25">
      <c r="B49" s="89" t="s">
        <v>554</v>
      </c>
      <c r="C49" s="3" t="s">
        <v>555</v>
      </c>
      <c r="G49" s="25"/>
      <c r="H49" s="25"/>
    </row>
    <row r="50" spans="2:8" s="2" customFormat="1" x14ac:dyDescent="0.25">
      <c r="C50" s="6"/>
      <c r="D50" s="6"/>
      <c r="E50" s="6"/>
      <c r="F50" s="6"/>
      <c r="G50" s="100"/>
      <c r="H50" s="100"/>
    </row>
    <row r="51" spans="2:8" s="2" customFormat="1" x14ac:dyDescent="0.25">
      <c r="G51" s="5"/>
      <c r="H51" s="5"/>
    </row>
    <row r="52" spans="2:8" s="2" customFormat="1" x14ac:dyDescent="0.25">
      <c r="G52" s="5">
        <f>Criteria!E22</f>
        <v>2025</v>
      </c>
      <c r="H52" s="5">
        <f>Criteria!E27</f>
        <v>2024</v>
      </c>
    </row>
    <row r="53" spans="2:8" s="2" customFormat="1" x14ac:dyDescent="0.25">
      <c r="G53" s="101"/>
      <c r="H53" s="101"/>
    </row>
    <row r="54" spans="2:8" s="2" customFormat="1" x14ac:dyDescent="0.25">
      <c r="G54" s="4"/>
      <c r="H54" s="4"/>
    </row>
    <row r="55" spans="2:8" x14ac:dyDescent="0.25">
      <c r="G55" s="101"/>
      <c r="H55" s="101"/>
    </row>
    <row r="56" spans="2:8" x14ac:dyDescent="0.25">
      <c r="G56" s="4"/>
      <c r="H56" s="4"/>
    </row>
    <row r="57" spans="2:8" x14ac:dyDescent="0.25">
      <c r="G57" s="4"/>
      <c r="H57" s="4"/>
    </row>
    <row r="58" spans="2:8" x14ac:dyDescent="0.25">
      <c r="G58" s="101"/>
      <c r="H58" s="101"/>
    </row>
    <row r="59" spans="2:8" x14ac:dyDescent="0.25">
      <c r="G59" s="101"/>
      <c r="H59" s="101"/>
    </row>
    <row r="60" spans="2:8" ht="16.5" thickBot="1" x14ac:dyDescent="0.3">
      <c r="G60" s="103">
        <f>SUM(G53:G59)</f>
        <v>0</v>
      </c>
      <c r="H60" s="103">
        <f>SUM(H53:H59)</f>
        <v>0</v>
      </c>
    </row>
    <row r="61" spans="2:8" ht="16.5" thickTop="1" x14ac:dyDescent="0.25">
      <c r="G61" s="101"/>
      <c r="H61" s="101"/>
    </row>
    <row r="62" spans="2:8" x14ac:dyDescent="0.25">
      <c r="C62" s="1" t="s">
        <v>553</v>
      </c>
      <c r="D62" s="1"/>
      <c r="E62" s="1"/>
      <c r="F62" s="1"/>
      <c r="G62" s="7">
        <f>TrialBalance!L363-Debtors!G60</f>
        <v>0</v>
      </c>
      <c r="H62" s="7">
        <f>TrialBalance!N363-Debtors!H60</f>
        <v>0</v>
      </c>
    </row>
    <row r="66" spans="2:8" x14ac:dyDescent="0.25">
      <c r="B66" s="89" t="s">
        <v>556</v>
      </c>
      <c r="C66" s="3" t="s">
        <v>489</v>
      </c>
      <c r="G66" s="25"/>
      <c r="H66" s="25"/>
    </row>
    <row r="67" spans="2:8" x14ac:dyDescent="0.25">
      <c r="C67" s="6"/>
      <c r="D67" s="6"/>
      <c r="E67" s="6"/>
      <c r="F67" s="6"/>
      <c r="G67" s="100"/>
      <c r="H67" s="100"/>
    </row>
    <row r="69" spans="2:8" x14ac:dyDescent="0.25">
      <c r="G69" s="5">
        <f>Criteria!E22</f>
        <v>2025</v>
      </c>
      <c r="H69" s="5">
        <f>Criteria!E27</f>
        <v>2024</v>
      </c>
    </row>
    <row r="70" spans="2:8" x14ac:dyDescent="0.25">
      <c r="G70" s="101"/>
      <c r="H70" s="101"/>
    </row>
    <row r="71" spans="2:8" x14ac:dyDescent="0.25">
      <c r="C71" s="28"/>
      <c r="G71" s="4"/>
      <c r="H71" s="4"/>
    </row>
    <row r="72" spans="2:8" x14ac:dyDescent="0.25">
      <c r="G72" s="4"/>
      <c r="H72" s="4"/>
    </row>
    <row r="73" spans="2:8" x14ac:dyDescent="0.25">
      <c r="G73" s="101"/>
      <c r="H73" s="101"/>
    </row>
    <row r="74" spans="2:8" ht="16.5" thickBot="1" x14ac:dyDescent="0.3">
      <c r="G74" s="103">
        <f>SUM(G70:G73)</f>
        <v>0</v>
      </c>
      <c r="H74" s="103">
        <f>SUM(H70:H73)</f>
        <v>0</v>
      </c>
    </row>
    <row r="75" spans="2:8" ht="16.5" thickTop="1" x14ac:dyDescent="0.25">
      <c r="G75" s="101"/>
      <c r="H75" s="101"/>
    </row>
    <row r="76" spans="2:8" x14ac:dyDescent="0.25">
      <c r="C76" s="1" t="s">
        <v>553</v>
      </c>
      <c r="D76" s="1"/>
      <c r="E76" s="1"/>
      <c r="F76" s="1"/>
      <c r="G76" s="7">
        <f>TrialBalance!L364-Debtors!G74</f>
        <v>0</v>
      </c>
      <c r="H76" s="7">
        <f>TrialBalance!N364-Debtors!H74</f>
        <v>0</v>
      </c>
    </row>
    <row r="80" spans="2:8" x14ac:dyDescent="0.25">
      <c r="B80" s="89" t="s">
        <v>557</v>
      </c>
      <c r="C80" s="3" t="s">
        <v>500</v>
      </c>
      <c r="G80" s="25"/>
      <c r="H80" s="25"/>
    </row>
    <row r="81" spans="3:8" x14ac:dyDescent="0.25">
      <c r="C81" s="6"/>
      <c r="D81" s="6"/>
      <c r="E81" s="6"/>
      <c r="F81" s="6"/>
      <c r="G81" s="100"/>
      <c r="H81" s="100"/>
    </row>
    <row r="83" spans="3:8" x14ac:dyDescent="0.25">
      <c r="G83" s="5">
        <f>Criteria!E22</f>
        <v>2025</v>
      </c>
      <c r="H83" s="5">
        <f>Criteria!E27</f>
        <v>2024</v>
      </c>
    </row>
    <row r="84" spans="3:8" x14ac:dyDescent="0.25">
      <c r="G84" s="101"/>
      <c r="H84" s="101"/>
    </row>
    <row r="85" spans="3:8" x14ac:dyDescent="0.25">
      <c r="C85" s="28"/>
      <c r="G85" s="4"/>
      <c r="H85" s="4"/>
    </row>
    <row r="86" spans="3:8" x14ac:dyDescent="0.25">
      <c r="G86" s="4"/>
      <c r="H86" s="4"/>
    </row>
    <row r="87" spans="3:8" x14ac:dyDescent="0.25">
      <c r="C87" s="28"/>
      <c r="G87" s="4"/>
      <c r="H87" s="4"/>
    </row>
    <row r="88" spans="3:8" x14ac:dyDescent="0.25">
      <c r="C88" s="108"/>
      <c r="G88" s="4"/>
      <c r="H88" s="4"/>
    </row>
    <row r="89" spans="3:8" x14ac:dyDescent="0.25">
      <c r="G89" s="4"/>
      <c r="H89" s="4"/>
    </row>
    <row r="90" spans="3:8" x14ac:dyDescent="0.25">
      <c r="G90" s="101"/>
      <c r="H90" s="101"/>
    </row>
    <row r="91" spans="3:8" ht="16.5" thickBot="1" x14ac:dyDescent="0.3">
      <c r="G91" s="103">
        <f>SUM(G84:G90)</f>
        <v>0</v>
      </c>
      <c r="H91" s="103">
        <f>SUM(H84:H90)</f>
        <v>0</v>
      </c>
    </row>
    <row r="92" spans="3:8" ht="16.5" thickTop="1" x14ac:dyDescent="0.25">
      <c r="G92" s="101"/>
      <c r="H92" s="101"/>
    </row>
    <row r="93" spans="3:8" x14ac:dyDescent="0.25">
      <c r="C93" s="1" t="s">
        <v>553</v>
      </c>
      <c r="D93" s="1"/>
      <c r="E93" s="1"/>
      <c r="F93" s="1"/>
      <c r="G93" s="7">
        <f>G91-TrialBalance!L365</f>
        <v>0</v>
      </c>
      <c r="H93" s="7">
        <f>H91-TrialBalance!N365</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9" sqref="C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2025</v>
      </c>
    </row>
    <row r="4" spans="2:8" ht="52.5" customHeight="1" x14ac:dyDescent="0.25">
      <c r="C4" s="139" t="s">
        <v>558</v>
      </c>
      <c r="G4" s="105" t="s">
        <v>77</v>
      </c>
      <c r="H4" s="105"/>
    </row>
    <row r="5" spans="2:8" ht="15.75" customHeight="1" x14ac:dyDescent="0.25">
      <c r="G5" s="25"/>
      <c r="H5" s="25"/>
    </row>
    <row r="6" spans="2:8" ht="15.75" customHeight="1" x14ac:dyDescent="0.25">
      <c r="G6" s="25"/>
      <c r="H6" s="25"/>
    </row>
    <row r="7" spans="2:8" x14ac:dyDescent="0.25">
      <c r="B7" s="89" t="s">
        <v>551</v>
      </c>
      <c r="C7" s="3" t="s">
        <v>501</v>
      </c>
      <c r="G7" s="25"/>
      <c r="H7" s="25"/>
    </row>
    <row r="8" spans="2:8" x14ac:dyDescent="0.25">
      <c r="C8" s="6"/>
      <c r="D8" s="6"/>
      <c r="E8" s="6"/>
      <c r="F8" s="6"/>
      <c r="G8" s="100"/>
      <c r="H8" s="100"/>
    </row>
    <row r="10" spans="2:8" x14ac:dyDescent="0.25">
      <c r="G10" s="5">
        <f>Criteria!E22</f>
        <v>2025</v>
      </c>
      <c r="H10" s="5">
        <f>Criteria!E27</f>
        <v>2024</v>
      </c>
    </row>
    <row r="11" spans="2:8" x14ac:dyDescent="0.25">
      <c r="G11" s="101"/>
      <c r="H11" s="101"/>
    </row>
    <row r="12" spans="2:8" x14ac:dyDescent="0.25">
      <c r="C12" s="28">
        <f>TrialBalance!C367</f>
        <v>0</v>
      </c>
      <c r="G12" s="101">
        <f>TrialBalance!L367</f>
        <v>0</v>
      </c>
      <c r="H12" s="101">
        <f>TrialBalance!N367</f>
        <v>0</v>
      </c>
    </row>
    <row r="13" spans="2:8" x14ac:dyDescent="0.25">
      <c r="C13" s="28">
        <f>TrialBalance!C368</f>
        <v>0</v>
      </c>
      <c r="G13" s="101">
        <f>TrialBalance!L368</f>
        <v>0</v>
      </c>
      <c r="H13" s="101">
        <f>TrialBalance!N368</f>
        <v>0</v>
      </c>
    </row>
    <row r="14" spans="2:8" x14ac:dyDescent="0.25">
      <c r="C14" s="28">
        <f>TrialBalance!C369</f>
        <v>0</v>
      </c>
      <c r="G14" s="101">
        <f>TrialBalance!L369</f>
        <v>0</v>
      </c>
      <c r="H14" s="101">
        <f>TrialBalance!N369</f>
        <v>0</v>
      </c>
    </row>
    <row r="15" spans="2:8" x14ac:dyDescent="0.25">
      <c r="C15" s="28">
        <f>TrialBalance!C370</f>
        <v>0</v>
      </c>
      <c r="G15" s="101">
        <f>TrialBalance!L370</f>
        <v>0</v>
      </c>
      <c r="H15" s="101">
        <f>TrialBalance!N370</f>
        <v>0</v>
      </c>
    </row>
    <row r="16" spans="2:8" x14ac:dyDescent="0.25">
      <c r="C16" s="28">
        <f>TrialBalance!C371</f>
        <v>0</v>
      </c>
      <c r="G16" s="101">
        <f>TrialBalance!L371</f>
        <v>0</v>
      </c>
      <c r="H16" s="101">
        <f>TrialBalance!N371</f>
        <v>0</v>
      </c>
    </row>
    <row r="17" spans="2:8" x14ac:dyDescent="0.25">
      <c r="C17" s="28">
        <f>TrialBalance!C372</f>
        <v>0</v>
      </c>
      <c r="G17" s="101">
        <f>TrialBalance!L372</f>
        <v>0</v>
      </c>
      <c r="H17" s="101">
        <f>TrialBalance!N372</f>
        <v>0</v>
      </c>
    </row>
    <row r="18" spans="2:8" s="2" customFormat="1" x14ac:dyDescent="0.25">
      <c r="G18" s="101"/>
      <c r="H18" s="101"/>
    </row>
    <row r="19" spans="2:8" s="2" customFormat="1" ht="16.5" thickBot="1" x14ac:dyDescent="0.3">
      <c r="G19" s="103">
        <f>SUM(G11:G18)</f>
        <v>0</v>
      </c>
      <c r="H19" s="103">
        <f>SUM(H11:H18)</f>
        <v>0</v>
      </c>
    </row>
    <row r="20" spans="2:8" s="2" customFormat="1" ht="16.5" thickTop="1" x14ac:dyDescent="0.25">
      <c r="G20" s="101"/>
      <c r="H20" s="101"/>
    </row>
    <row r="21" spans="2:8" s="2" customFormat="1" x14ac:dyDescent="0.25">
      <c r="C21" s="1" t="s">
        <v>553</v>
      </c>
      <c r="D21" s="1"/>
      <c r="E21" s="1"/>
      <c r="F21" s="1"/>
      <c r="G21" s="7">
        <f>SUM(TrialBalance!L367:L372)-G19</f>
        <v>0</v>
      </c>
      <c r="H21" s="7">
        <f>SUM(TrialBalance!N367:N372)-H19</f>
        <v>0</v>
      </c>
    </row>
    <row r="22" spans="2:8" s="2" customFormat="1" x14ac:dyDescent="0.25">
      <c r="G22" s="101"/>
      <c r="H22" s="101"/>
    </row>
    <row r="23" spans="2:8" s="2" customFormat="1" x14ac:dyDescent="0.25">
      <c r="G23" s="101"/>
      <c r="H23" s="101"/>
    </row>
    <row r="24" spans="2:8" s="2" customFormat="1" x14ac:dyDescent="0.25">
      <c r="G24" s="101"/>
      <c r="H24" s="101"/>
    </row>
    <row r="25" spans="2:8" s="2" customFormat="1" x14ac:dyDescent="0.25">
      <c r="B25" s="89" t="s">
        <v>552</v>
      </c>
      <c r="C25" s="3" t="s">
        <v>507</v>
      </c>
      <c r="G25" s="25"/>
      <c r="H25" s="25"/>
    </row>
    <row r="26" spans="2:8" s="2" customFormat="1" x14ac:dyDescent="0.25">
      <c r="C26" s="6"/>
      <c r="D26" s="6"/>
      <c r="E26" s="6"/>
      <c r="F26" s="6"/>
      <c r="G26" s="100"/>
      <c r="H26" s="100"/>
    </row>
    <row r="27" spans="2:8" s="2" customFormat="1" x14ac:dyDescent="0.25">
      <c r="G27" s="5"/>
      <c r="H27" s="5"/>
    </row>
    <row r="28" spans="2:8" s="2" customFormat="1" x14ac:dyDescent="0.25">
      <c r="G28" s="5">
        <f>Criteria!E22</f>
        <v>2025</v>
      </c>
      <c r="H28" s="5">
        <f>Criteria!E27</f>
        <v>2024</v>
      </c>
    </row>
    <row r="29" spans="2:8" s="2" customFormat="1" x14ac:dyDescent="0.25">
      <c r="G29" s="101"/>
      <c r="H29" s="101"/>
    </row>
    <row r="30" spans="2:8" s="2" customFormat="1" x14ac:dyDescent="0.25">
      <c r="C30" s="28"/>
      <c r="G30" s="4"/>
      <c r="H30" s="4"/>
    </row>
    <row r="31" spans="2:8" s="2" customFormat="1" x14ac:dyDescent="0.25">
      <c r="C31" s="28"/>
      <c r="G31" s="101"/>
      <c r="H31" s="101"/>
    </row>
    <row r="32" spans="2:8" s="2" customFormat="1" x14ac:dyDescent="0.25">
      <c r="C32" s="28"/>
      <c r="G32" s="101"/>
      <c r="H32" s="101"/>
    </row>
    <row r="33" spans="3:8" s="2" customFormat="1" x14ac:dyDescent="0.25">
      <c r="C33" s="28"/>
      <c r="G33" s="101"/>
      <c r="H33" s="101"/>
    </row>
    <row r="34" spans="3:8" s="2" customFormat="1" x14ac:dyDescent="0.25">
      <c r="C34" s="28"/>
      <c r="G34" s="101"/>
      <c r="H34" s="101"/>
    </row>
    <row r="35" spans="3:8" s="2" customFormat="1" x14ac:dyDescent="0.25">
      <c r="C35" s="28"/>
      <c r="G35" s="101"/>
      <c r="H35" s="101"/>
    </row>
    <row r="36" spans="3:8" s="2" customFormat="1" x14ac:dyDescent="0.25">
      <c r="G36" s="101"/>
      <c r="H36" s="101"/>
    </row>
    <row r="37" spans="3:8" s="2" customFormat="1" ht="16.5" thickBot="1" x14ac:dyDescent="0.3">
      <c r="G37" s="103">
        <f>SUM(G29:G36)</f>
        <v>0</v>
      </c>
      <c r="H37" s="103">
        <f>SUM(H29:H36)</f>
        <v>0</v>
      </c>
    </row>
    <row r="38" spans="3:8" s="2" customFormat="1" ht="16.5" thickTop="1" x14ac:dyDescent="0.25">
      <c r="G38" s="101"/>
      <c r="H38" s="101"/>
    </row>
    <row r="39" spans="3:8" s="2" customFormat="1" x14ac:dyDescent="0.25">
      <c r="C39" s="1" t="s">
        <v>553</v>
      </c>
      <c r="D39" s="1"/>
      <c r="E39" s="1"/>
      <c r="F39" s="1"/>
      <c r="G39" s="7">
        <f>G37-TrialBalance!L373</f>
        <v>0</v>
      </c>
      <c r="H39" s="7">
        <f>H37-TrialBalance!N373</f>
        <v>0</v>
      </c>
    </row>
    <row r="40" spans="3:8" s="2" customFormat="1" x14ac:dyDescent="0.25">
      <c r="G40" s="5"/>
      <c r="H40" s="5"/>
    </row>
    <row r="41" spans="3:8" s="2" customFormat="1" x14ac:dyDescent="0.25">
      <c r="G41" s="101"/>
      <c r="H41" s="101"/>
    </row>
    <row r="42" spans="3:8" s="2" customFormat="1" x14ac:dyDescent="0.25">
      <c r="G42" s="101"/>
      <c r="H42" s="101"/>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07"/>
  </cols>
  <sheetData>
    <row r="2" spans="2:8" ht="52.5" customHeight="1" x14ac:dyDescent="0.25">
      <c r="C2" s="106" t="str">
        <f>Criteria!E9</f>
        <v>HOLDING COMPANY 268 (PROPRIETARY) LIMITED</v>
      </c>
      <c r="D2" s="156"/>
      <c r="E2" s="156"/>
      <c r="G2" s="105" t="s">
        <v>76</v>
      </c>
      <c r="H2" s="105"/>
    </row>
    <row r="3" spans="2:8" x14ac:dyDescent="0.25">
      <c r="C3" s="3" t="s">
        <v>75</v>
      </c>
      <c r="D3" s="3"/>
      <c r="E3" s="3" t="str">
        <f>Criteria!E20</f>
        <v>28 FEBRUARY 2025</v>
      </c>
    </row>
    <row r="4" spans="2:8" ht="52.5" customHeight="1" x14ac:dyDescent="0.25">
      <c r="C4" s="137" t="s">
        <v>406</v>
      </c>
      <c r="G4" s="105" t="s">
        <v>77</v>
      </c>
      <c r="H4" s="105"/>
    </row>
    <row r="5" spans="2:8" ht="15.75" customHeight="1" x14ac:dyDescent="0.25">
      <c r="G5" s="25"/>
      <c r="H5" s="25"/>
    </row>
    <row r="6" spans="2:8" ht="15.75" customHeight="1" x14ac:dyDescent="0.25">
      <c r="G6" s="25"/>
      <c r="H6" s="25"/>
    </row>
    <row r="7" spans="2:8" x14ac:dyDescent="0.25">
      <c r="B7" s="89" t="s">
        <v>551</v>
      </c>
      <c r="C7" s="3" t="s">
        <v>559</v>
      </c>
      <c r="G7" s="25"/>
      <c r="H7" s="25"/>
    </row>
    <row r="8" spans="2:8" x14ac:dyDescent="0.25">
      <c r="C8" s="6"/>
      <c r="D8" s="6"/>
      <c r="E8" s="6"/>
      <c r="F8" s="6"/>
      <c r="G8" s="100"/>
      <c r="H8" s="100"/>
    </row>
    <row r="10" spans="2:8" x14ac:dyDescent="0.25">
      <c r="G10" s="5">
        <f>Criteria!E22</f>
        <v>2025</v>
      </c>
      <c r="H10" s="5">
        <f>Criteria!E27</f>
        <v>2024</v>
      </c>
    </row>
    <row r="11" spans="2:8" x14ac:dyDescent="0.25">
      <c r="G11" s="101"/>
      <c r="H11" s="101"/>
    </row>
    <row r="12" spans="2:8" x14ac:dyDescent="0.25">
      <c r="C12" s="28"/>
      <c r="G12" s="101"/>
      <c r="H12" s="101"/>
    </row>
    <row r="13" spans="2:8" s="2" customFormat="1" x14ac:dyDescent="0.25">
      <c r="G13" s="101"/>
      <c r="H13" s="101"/>
    </row>
    <row r="14" spans="2:8" s="2" customFormat="1" x14ac:dyDescent="0.25">
      <c r="G14" s="101"/>
      <c r="H14" s="101"/>
    </row>
    <row r="15" spans="2:8" s="2" customFormat="1" x14ac:dyDescent="0.25">
      <c r="G15" s="101"/>
      <c r="H15" s="101"/>
    </row>
    <row r="16" spans="2:8" s="2" customFormat="1" x14ac:dyDescent="0.25">
      <c r="G16" s="101"/>
      <c r="H16" s="101"/>
    </row>
    <row r="17" spans="2:8" s="2" customFormat="1" x14ac:dyDescent="0.25">
      <c r="G17" s="101"/>
      <c r="H17" s="101"/>
    </row>
    <row r="18" spans="2:8" s="2" customFormat="1" ht="16.5" thickBot="1" x14ac:dyDescent="0.3">
      <c r="G18" s="103">
        <f>SUM(G11:G17)</f>
        <v>0</v>
      </c>
      <c r="H18" s="103">
        <f>SUM(H11:H17)</f>
        <v>0</v>
      </c>
    </row>
    <row r="19" spans="2:8" s="2" customFormat="1" ht="16.5" thickTop="1" x14ac:dyDescent="0.25">
      <c r="G19" s="101"/>
      <c r="H19" s="101"/>
    </row>
    <row r="20" spans="2:8" s="2" customFormat="1" x14ac:dyDescent="0.25">
      <c r="C20" s="1" t="s">
        <v>553</v>
      </c>
      <c r="D20" s="1"/>
      <c r="E20" s="1"/>
      <c r="F20" s="1"/>
      <c r="G20" s="7">
        <f>G18+TrialBalance!L380</f>
        <v>0</v>
      </c>
      <c r="H20" s="7">
        <f>H18+TrialBalance!N380</f>
        <v>0</v>
      </c>
    </row>
    <row r="21" spans="2:8" s="2" customFormat="1" x14ac:dyDescent="0.25">
      <c r="G21" s="101"/>
      <c r="H21" s="101"/>
    </row>
    <row r="22" spans="2:8" s="2" customFormat="1" x14ac:dyDescent="0.25">
      <c r="G22" s="101"/>
      <c r="H22" s="101"/>
    </row>
    <row r="23" spans="2:8" s="2" customFormat="1" x14ac:dyDescent="0.25">
      <c r="G23" s="101"/>
      <c r="H23" s="101"/>
    </row>
    <row r="24" spans="2:8" s="2" customFormat="1" x14ac:dyDescent="0.25">
      <c r="B24" s="89" t="s">
        <v>552</v>
      </c>
      <c r="C24" s="3" t="s">
        <v>540</v>
      </c>
      <c r="G24" s="25"/>
      <c r="H24" s="25"/>
    </row>
    <row r="25" spans="2:8" s="2" customFormat="1" x14ac:dyDescent="0.25">
      <c r="C25" s="6"/>
      <c r="D25" s="6"/>
      <c r="E25" s="6"/>
      <c r="F25" s="6"/>
      <c r="G25" s="100"/>
      <c r="H25" s="100"/>
    </row>
    <row r="26" spans="2:8" s="2" customFormat="1" x14ac:dyDescent="0.25">
      <c r="G26" s="5"/>
      <c r="H26" s="5"/>
    </row>
    <row r="27" spans="2:8" s="2" customFormat="1" x14ac:dyDescent="0.25">
      <c r="G27" s="5">
        <f>Criteria!E22</f>
        <v>2025</v>
      </c>
      <c r="H27" s="5">
        <f>Criteria!E27</f>
        <v>2024</v>
      </c>
    </row>
    <row r="28" spans="2:8" s="2" customFormat="1" x14ac:dyDescent="0.25">
      <c r="G28" s="101"/>
      <c r="H28" s="101"/>
    </row>
    <row r="29" spans="2:8" s="2" customFormat="1" x14ac:dyDescent="0.25">
      <c r="G29" s="4"/>
      <c r="H29" s="4"/>
    </row>
    <row r="30" spans="2:8" s="2" customFormat="1" x14ac:dyDescent="0.25">
      <c r="G30" s="4"/>
      <c r="H30" s="101"/>
    </row>
    <row r="31" spans="2:8" s="2" customFormat="1" x14ac:dyDescent="0.25">
      <c r="G31" s="4"/>
      <c r="H31" s="4"/>
    </row>
    <row r="32" spans="2:8" s="2" customFormat="1" x14ac:dyDescent="0.25">
      <c r="G32" s="4"/>
      <c r="H32" s="4"/>
    </row>
    <row r="33" spans="2:8" s="2" customFormat="1" x14ac:dyDescent="0.25">
      <c r="G33" s="101"/>
      <c r="H33" s="101"/>
    </row>
    <row r="34" spans="2:8" s="2" customFormat="1" x14ac:dyDescent="0.25">
      <c r="G34" s="101"/>
      <c r="H34" s="101"/>
    </row>
    <row r="35" spans="2:8" s="2" customFormat="1" ht="16.5" thickBot="1" x14ac:dyDescent="0.3">
      <c r="G35" s="103">
        <f>SUM(G28:G34)</f>
        <v>0</v>
      </c>
      <c r="H35" s="103">
        <f>SUM(H28:H34)</f>
        <v>0</v>
      </c>
    </row>
    <row r="36" spans="2:8" s="2" customFormat="1" ht="16.5" thickTop="1" x14ac:dyDescent="0.25">
      <c r="G36" s="101"/>
      <c r="H36" s="101"/>
    </row>
    <row r="37" spans="2:8" s="2" customFormat="1" x14ac:dyDescent="0.25">
      <c r="C37" s="1" t="s">
        <v>553</v>
      </c>
      <c r="D37" s="1"/>
      <c r="E37" s="1"/>
      <c r="F37" s="1"/>
      <c r="G37" s="7">
        <f>G35+TrialBalance!L381</f>
        <v>0</v>
      </c>
      <c r="H37" s="7">
        <f>H35+TrialBalance!N381</f>
        <v>0</v>
      </c>
    </row>
    <row r="38" spans="2:8" s="2" customFormat="1" x14ac:dyDescent="0.25">
      <c r="G38" s="101"/>
      <c r="H38" s="101"/>
    </row>
    <row r="39" spans="2:8" s="2" customFormat="1" x14ac:dyDescent="0.25">
      <c r="G39" s="101"/>
      <c r="H39" s="101"/>
    </row>
    <row r="40" spans="2:8" s="2" customFormat="1" x14ac:dyDescent="0.25">
      <c r="G40" s="101"/>
      <c r="H40" s="101"/>
    </row>
    <row r="41" spans="2:8" s="2" customFormat="1" x14ac:dyDescent="0.25">
      <c r="B41" s="89" t="s">
        <v>554</v>
      </c>
      <c r="C41" s="3" t="s">
        <v>783</v>
      </c>
      <c r="G41" s="25"/>
      <c r="H41" s="25"/>
    </row>
    <row r="42" spans="2:8" s="2" customFormat="1" x14ac:dyDescent="0.25">
      <c r="C42" s="6"/>
      <c r="D42" s="6"/>
      <c r="E42" s="6"/>
      <c r="F42" s="6"/>
      <c r="G42" s="100"/>
      <c r="H42" s="100"/>
    </row>
    <row r="43" spans="2:8" s="2" customFormat="1" x14ac:dyDescent="0.25">
      <c r="G43" s="5"/>
      <c r="H43" s="5"/>
    </row>
    <row r="44" spans="2:8" s="2" customFormat="1" x14ac:dyDescent="0.25">
      <c r="G44" s="5">
        <f>Criteria!E22</f>
        <v>2025</v>
      </c>
      <c r="H44" s="5">
        <f>Criteria!E27</f>
        <v>2024</v>
      </c>
    </row>
    <row r="45" spans="2:8" s="2" customFormat="1" x14ac:dyDescent="0.25">
      <c r="G45" s="101"/>
      <c r="H45" s="101"/>
    </row>
    <row r="46" spans="2:8" s="2" customFormat="1" x14ac:dyDescent="0.25">
      <c r="G46" s="4"/>
      <c r="H46" s="4"/>
    </row>
    <row r="47" spans="2:8" x14ac:dyDescent="0.25">
      <c r="G47" s="101"/>
      <c r="H47" s="101"/>
    </row>
    <row r="48" spans="2:8" x14ac:dyDescent="0.25">
      <c r="G48" s="4"/>
      <c r="H48" s="4"/>
    </row>
    <row r="49" spans="2:10" x14ac:dyDescent="0.25">
      <c r="G49" s="4"/>
      <c r="H49" s="4"/>
    </row>
    <row r="50" spans="2:10" x14ac:dyDescent="0.25">
      <c r="G50" s="101"/>
      <c r="H50" s="101"/>
    </row>
    <row r="51" spans="2:10" x14ac:dyDescent="0.25">
      <c r="G51" s="101"/>
      <c r="H51" s="101"/>
    </row>
    <row r="52" spans="2:10" ht="16.5" thickBot="1" x14ac:dyDescent="0.3">
      <c r="G52" s="103">
        <f>SUM(G45:G51)</f>
        <v>0</v>
      </c>
      <c r="H52" s="103">
        <f>SUM(H45:H51)</f>
        <v>0</v>
      </c>
    </row>
    <row r="53" spans="2:10" ht="16.5" thickTop="1" x14ac:dyDescent="0.25">
      <c r="G53" s="101"/>
      <c r="H53" s="101"/>
    </row>
    <row r="54" spans="2:10" x14ac:dyDescent="0.25">
      <c r="C54" s="1" t="s">
        <v>553</v>
      </c>
      <c r="D54" s="1"/>
      <c r="E54" s="1"/>
      <c r="F54" s="1"/>
      <c r="G54" s="7">
        <f>G52+TrialBalance!L382</f>
        <v>0</v>
      </c>
      <c r="H54" s="7">
        <f>H52+TrialBalance!N382</f>
        <v>0</v>
      </c>
    </row>
    <row r="58" spans="2:10" x14ac:dyDescent="0.25">
      <c r="B58" s="89" t="s">
        <v>556</v>
      </c>
      <c r="C58" s="3" t="s">
        <v>541</v>
      </c>
      <c r="G58" s="25"/>
      <c r="H58" s="25"/>
    </row>
    <row r="59" spans="2:10" x14ac:dyDescent="0.25">
      <c r="C59" s="6"/>
      <c r="D59" s="6"/>
      <c r="E59" s="6"/>
      <c r="F59" s="6"/>
      <c r="G59" s="100"/>
      <c r="H59" s="100"/>
    </row>
    <row r="61" spans="2:10" x14ac:dyDescent="0.25">
      <c r="G61" s="5">
        <f>Criteria!E22</f>
        <v>2025</v>
      </c>
      <c r="H61" s="5">
        <f>Criteria!E27</f>
        <v>2024</v>
      </c>
    </row>
    <row r="63" spans="2:10" x14ac:dyDescent="0.25">
      <c r="G63" s="4"/>
      <c r="H63" s="4"/>
      <c r="I63" s="4"/>
    </row>
    <row r="64" spans="2:10" x14ac:dyDescent="0.25">
      <c r="G64" s="4"/>
      <c r="H64" s="4"/>
      <c r="I64" s="4"/>
      <c r="J64" s="14"/>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03">
        <f>SUM(G62:G71)</f>
        <v>0</v>
      </c>
      <c r="H72" s="103">
        <f>SUM(H62:H71)</f>
        <v>0</v>
      </c>
    </row>
    <row r="73" spans="2:9" ht="16.5" thickTop="1" x14ac:dyDescent="0.25">
      <c r="G73" s="101"/>
      <c r="H73" s="101"/>
    </row>
    <row r="74" spans="2:9" x14ac:dyDescent="0.25">
      <c r="C74" s="1" t="s">
        <v>553</v>
      </c>
      <c r="D74" s="1"/>
      <c r="E74" s="1"/>
      <c r="F74" s="1"/>
      <c r="G74" s="7">
        <f>G72+TrialBalance!L383</f>
        <v>0</v>
      </c>
      <c r="H74" s="7">
        <f>H72+TrialBalance!N383</f>
        <v>0</v>
      </c>
    </row>
    <row r="78" spans="2:9" x14ac:dyDescent="0.25">
      <c r="B78" s="89" t="s">
        <v>557</v>
      </c>
      <c r="C78" s="3" t="s">
        <v>542</v>
      </c>
      <c r="G78" s="25"/>
      <c r="H78" s="25"/>
    </row>
    <row r="79" spans="2:9" x14ac:dyDescent="0.25">
      <c r="C79" s="6"/>
      <c r="D79" s="6"/>
      <c r="E79" s="6"/>
      <c r="F79" s="6"/>
      <c r="G79" s="100"/>
      <c r="H79" s="100"/>
    </row>
    <row r="81" spans="3:8" x14ac:dyDescent="0.25">
      <c r="G81" s="5">
        <f>Criteria!E22</f>
        <v>2025</v>
      </c>
      <c r="H81" s="5">
        <f>Criteria!E27</f>
        <v>2024</v>
      </c>
    </row>
    <row r="82" spans="3:8" x14ac:dyDescent="0.25">
      <c r="G82" s="101"/>
      <c r="H82" s="101"/>
    </row>
    <row r="83" spans="3:8" x14ac:dyDescent="0.25">
      <c r="C83" s="28"/>
      <c r="G83" s="4"/>
      <c r="H83" s="4"/>
    </row>
    <row r="84" spans="3:8" x14ac:dyDescent="0.25">
      <c r="G84" s="4"/>
      <c r="H84" s="4"/>
    </row>
    <row r="85" spans="3:8" x14ac:dyDescent="0.25">
      <c r="C85" s="28"/>
      <c r="G85" s="4"/>
      <c r="H85" s="4"/>
    </row>
    <row r="86" spans="3:8" x14ac:dyDescent="0.25">
      <c r="C86" s="108"/>
      <c r="G86" s="4"/>
      <c r="H86" s="4"/>
    </row>
    <row r="87" spans="3:8" x14ac:dyDescent="0.25">
      <c r="G87" s="4"/>
      <c r="H87" s="4"/>
    </row>
    <row r="88" spans="3:8" x14ac:dyDescent="0.25">
      <c r="G88" s="101"/>
      <c r="H88" s="101"/>
    </row>
    <row r="89" spans="3:8" ht="16.5" thickBot="1" x14ac:dyDescent="0.3">
      <c r="G89" s="103">
        <f>SUM(G82:G88)</f>
        <v>0</v>
      </c>
      <c r="H89" s="103">
        <f>SUM(H82:H88)</f>
        <v>0</v>
      </c>
    </row>
    <row r="90" spans="3:8" ht="16.5" thickTop="1" x14ac:dyDescent="0.25">
      <c r="G90" s="101"/>
      <c r="H90" s="101"/>
    </row>
    <row r="91" spans="3:8" x14ac:dyDescent="0.25">
      <c r="C91" s="1" t="s">
        <v>553</v>
      </c>
      <c r="D91" s="1"/>
      <c r="E91" s="1"/>
      <c r="F91" s="1"/>
      <c r="G91" s="7">
        <f>G89+TrialBalance!L384</f>
        <v>0</v>
      </c>
      <c r="H91" s="7">
        <f>H89+TrialBalance!N384</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37" t="s">
        <v>649</v>
      </c>
      <c r="G4" s="105" t="s">
        <v>77</v>
      </c>
      <c r="H4" s="105"/>
    </row>
    <row r="5" spans="3:8" ht="15.75" customHeight="1" x14ac:dyDescent="0.25">
      <c r="G5" s="25"/>
      <c r="H5" s="25"/>
    </row>
    <row r="6" spans="3:8" x14ac:dyDescent="0.25">
      <c r="G6" s="5">
        <f>Criteria!E22</f>
        <v>2025</v>
      </c>
      <c r="H6" s="5">
        <f>Criteria!E27</f>
        <v>2024</v>
      </c>
    </row>
    <row r="7" spans="3:8" x14ac:dyDescent="0.25">
      <c r="G7" s="101"/>
      <c r="H7" s="101"/>
    </row>
    <row r="8" spans="3:8" x14ac:dyDescent="0.25">
      <c r="C8" s="17" t="s">
        <v>650</v>
      </c>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01">
        <f>(TrialBalance!L40+TrialBalanceA!I40+TrialBalanceB!I40+TrialBalanceC!I40)-G17</f>
        <v>0</v>
      </c>
      <c r="H19" s="101">
        <f>(TrialBalance!N40+TrialBalanceA!K40+TrialBalanceB!K40+TrialBalanceC!K40)-H17</f>
        <v>0</v>
      </c>
    </row>
    <row r="22" spans="3:8" x14ac:dyDescent="0.25">
      <c r="C22" s="17" t="s">
        <v>651</v>
      </c>
      <c r="G22" s="101"/>
      <c r="H22" s="101"/>
    </row>
    <row r="23" spans="3:8" x14ac:dyDescent="0.25">
      <c r="G23" s="101"/>
      <c r="H23" s="101"/>
    </row>
    <row r="24" spans="3:8" x14ac:dyDescent="0.25">
      <c r="G24" s="101"/>
      <c r="H24" s="101"/>
    </row>
    <row r="25" spans="3:8" x14ac:dyDescent="0.25">
      <c r="G25" s="101"/>
      <c r="H25" s="101"/>
    </row>
    <row r="26" spans="3:8" x14ac:dyDescent="0.25">
      <c r="G26" s="101"/>
      <c r="H26" s="101"/>
    </row>
    <row r="27" spans="3:8" x14ac:dyDescent="0.25">
      <c r="G27" s="101"/>
      <c r="H27" s="101"/>
    </row>
    <row r="28" spans="3:8" x14ac:dyDescent="0.25">
      <c r="G28" s="101"/>
      <c r="H28" s="101"/>
    </row>
    <row r="29" spans="3:8" x14ac:dyDescent="0.25">
      <c r="G29" s="101"/>
      <c r="H29" s="101"/>
    </row>
    <row r="30" spans="3:8" x14ac:dyDescent="0.25">
      <c r="G30" s="101"/>
      <c r="H30" s="101"/>
    </row>
    <row r="31" spans="3:8" ht="16.5" thickBot="1" x14ac:dyDescent="0.3">
      <c r="G31" s="103">
        <f>SUM(G23:G30)</f>
        <v>0</v>
      </c>
      <c r="H31" s="103">
        <f>SUM(H23:H30)</f>
        <v>0</v>
      </c>
    </row>
    <row r="32" spans="3:8" ht="16.5" thickTop="1" x14ac:dyDescent="0.25">
      <c r="G32" s="101"/>
      <c r="H32" s="101"/>
    </row>
    <row r="33" spans="3:8" x14ac:dyDescent="0.25">
      <c r="C33" s="1" t="s">
        <v>553</v>
      </c>
      <c r="G33" s="101">
        <f>(TrialBalance!L50+TrialBalanceA!I50+TrialBalanceB!I50+TrialBalanceC!I50)-G31</f>
        <v>0</v>
      </c>
      <c r="H33" s="101">
        <f>(TrialBalance!N50+TrialBalanceA!K50+TrialBalanceB!K50+TrialBalanceC!K50)-H31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04"/>
      <c r="G4" s="105" t="s">
        <v>77</v>
      </c>
      <c r="H4" s="105"/>
    </row>
    <row r="5" spans="3:8" ht="15.75" customHeight="1" x14ac:dyDescent="0.25">
      <c r="G5" s="25"/>
      <c r="H5" s="25"/>
    </row>
    <row r="6" spans="3:8" x14ac:dyDescent="0.25">
      <c r="G6" s="5">
        <f>Criteria!E22</f>
        <v>2025</v>
      </c>
      <c r="H6" s="5">
        <f>Criteria!E27</f>
        <v>2024</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553</v>
      </c>
      <c r="G19" s="101"/>
      <c r="H19" s="101"/>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6" activePane="bottomRight" state="frozen"/>
      <selection pane="topRight" activeCell="C1" sqref="C1"/>
      <selection pane="bottomLeft" activeCell="A5" sqref="A5"/>
      <selection pane="bottomRight" activeCell="E18" sqref="E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04"/>
      <c r="G4" s="105" t="s">
        <v>77</v>
      </c>
      <c r="H4" s="105"/>
    </row>
    <row r="5" spans="3:8" ht="15.75" customHeight="1" x14ac:dyDescent="0.25">
      <c r="G5" s="25"/>
      <c r="H5" s="25"/>
    </row>
    <row r="6" spans="3:8" x14ac:dyDescent="0.25">
      <c r="G6" s="5">
        <f>Criteria!E22</f>
        <v>2025</v>
      </c>
      <c r="H6" s="5">
        <f>Criteria!E27</f>
        <v>2024</v>
      </c>
    </row>
    <row r="7" spans="3:8" x14ac:dyDescent="0.25">
      <c r="G7" s="101"/>
      <c r="H7" s="101"/>
    </row>
    <row r="8" spans="3:8" x14ac:dyDescent="0.25">
      <c r="C8" s="94" t="s">
        <v>78</v>
      </c>
      <c r="D8" s="94"/>
      <c r="E8" s="94"/>
      <c r="F8" s="94"/>
      <c r="G8" s="95">
        <f>H21</f>
        <v>0</v>
      </c>
      <c r="H8" s="95"/>
    </row>
    <row r="9" spans="3:8" x14ac:dyDescent="0.25">
      <c r="C9" s="94"/>
      <c r="D9" s="94"/>
      <c r="E9" s="94"/>
      <c r="F9" s="94"/>
      <c r="G9" s="95"/>
      <c r="H9" s="95"/>
    </row>
    <row r="10" spans="3:8" x14ac:dyDescent="0.25">
      <c r="C10" s="94"/>
      <c r="D10" s="94"/>
      <c r="E10" s="94"/>
      <c r="F10" s="94"/>
      <c r="G10" s="94"/>
      <c r="H10" s="95"/>
    </row>
    <row r="11" spans="3:8" s="2" customFormat="1" ht="16.5" thickBot="1" x14ac:dyDescent="0.3">
      <c r="C11" s="94" t="s">
        <v>545</v>
      </c>
      <c r="D11" s="94"/>
      <c r="E11" s="94"/>
      <c r="F11" s="94"/>
      <c r="G11" s="98"/>
      <c r="H11" s="98"/>
    </row>
    <row r="12" spans="3:8" s="2" customFormat="1" ht="16.5" thickTop="1" x14ac:dyDescent="0.25">
      <c r="C12" s="94"/>
      <c r="D12" s="94"/>
      <c r="E12" s="94"/>
      <c r="F12" s="94"/>
      <c r="G12" s="96"/>
      <c r="H12" s="95"/>
    </row>
    <row r="13" spans="3:8" s="2" customFormat="1" x14ac:dyDescent="0.25">
      <c r="C13" s="94"/>
      <c r="D13" s="94"/>
      <c r="E13" s="94"/>
      <c r="F13" s="94"/>
      <c r="G13" s="96"/>
      <c r="H13" s="95"/>
    </row>
    <row r="14" spans="3:8" s="2" customFormat="1" x14ac:dyDescent="0.25">
      <c r="C14" s="94"/>
      <c r="D14" s="94"/>
      <c r="E14" s="94"/>
      <c r="F14" s="94"/>
      <c r="G14" s="96"/>
      <c r="H14" s="95"/>
    </row>
    <row r="15" spans="3:8" s="2" customFormat="1" x14ac:dyDescent="0.25">
      <c r="C15" s="94" t="s">
        <v>1003</v>
      </c>
      <c r="D15" s="94"/>
      <c r="E15" s="94"/>
      <c r="F15" s="94"/>
      <c r="G15" s="94"/>
      <c r="H15" s="95"/>
    </row>
    <row r="16" spans="3:8" s="2" customFormat="1" x14ac:dyDescent="0.25">
      <c r="C16" s="94"/>
      <c r="D16" s="94"/>
      <c r="E16" s="97">
        <v>45352</v>
      </c>
      <c r="F16" s="94">
        <v>9.25</v>
      </c>
      <c r="G16" s="94"/>
      <c r="H16" s="95"/>
    </row>
    <row r="17" spans="3:10" s="2" customFormat="1" x14ac:dyDescent="0.25">
      <c r="C17" s="94"/>
      <c r="D17" s="94"/>
      <c r="E17" s="97">
        <v>45716</v>
      </c>
      <c r="F17" s="94">
        <v>9.25</v>
      </c>
      <c r="G17" s="94"/>
      <c r="H17" s="95"/>
    </row>
    <row r="18" spans="3:10" s="2" customFormat="1" x14ac:dyDescent="0.25">
      <c r="C18" s="94"/>
      <c r="D18" s="94"/>
      <c r="E18" s="94" t="s">
        <v>546</v>
      </c>
      <c r="F18" s="94">
        <f>(F16+F17)/2</f>
        <v>9.25</v>
      </c>
      <c r="G18" s="96">
        <f>ROUND((G8+G11)/2*F18/100,0)</f>
        <v>0</v>
      </c>
      <c r="H18" s="95"/>
      <c r="I18" s="14"/>
      <c r="J18" s="14"/>
    </row>
    <row r="19" spans="3:10" s="2" customFormat="1" x14ac:dyDescent="0.25">
      <c r="G19" s="101"/>
      <c r="H19" s="101"/>
    </row>
    <row r="20" spans="3:10" s="2" customFormat="1" x14ac:dyDescent="0.25">
      <c r="G20" s="101"/>
      <c r="H20" s="101"/>
    </row>
    <row r="21" spans="3:10" s="2" customFormat="1" ht="16.5" thickBot="1" x14ac:dyDescent="0.3">
      <c r="G21" s="103">
        <f>SUM(G11:G20)</f>
        <v>0</v>
      </c>
      <c r="H21" s="103">
        <f>SUM(H11:H20)</f>
        <v>0</v>
      </c>
    </row>
    <row r="22" spans="3:10" s="2" customFormat="1" ht="16.5" thickTop="1" x14ac:dyDescent="0.25">
      <c r="G22" s="101"/>
      <c r="H22" s="101"/>
    </row>
    <row r="23" spans="3:10" s="2" customFormat="1" x14ac:dyDescent="0.25">
      <c r="C23" s="1" t="s">
        <v>553</v>
      </c>
      <c r="G23" s="101"/>
      <c r="H23" s="101"/>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9" ht="52.5" customHeight="1" x14ac:dyDescent="0.25">
      <c r="C2" s="106" t="str">
        <f>Criteria!E9</f>
        <v>HOLDING COMPANY 268 (PROPRIETARY) LIMITED</v>
      </c>
      <c r="D2" s="156"/>
      <c r="E2" s="156"/>
      <c r="G2" s="105" t="s">
        <v>76</v>
      </c>
      <c r="H2" s="105"/>
    </row>
    <row r="3" spans="2:9" x14ac:dyDescent="0.25">
      <c r="C3" s="3" t="s">
        <v>75</v>
      </c>
      <c r="D3" s="3"/>
      <c r="E3" s="3" t="str">
        <f>Criteria!E20</f>
        <v>28 FEBRUARY 2025</v>
      </c>
    </row>
    <row r="4" spans="2:9" ht="52.5" customHeight="1" x14ac:dyDescent="0.25">
      <c r="C4" s="104"/>
      <c r="G4" s="105" t="s">
        <v>77</v>
      </c>
      <c r="H4" s="105"/>
    </row>
    <row r="5" spans="2:9" s="2" customFormat="1" ht="15.75" customHeight="1" x14ac:dyDescent="0.25">
      <c r="G5" s="25"/>
      <c r="H5" s="25"/>
    </row>
    <row r="6" spans="2:9" s="2" customFormat="1" ht="15.75" customHeight="1" x14ac:dyDescent="0.25">
      <c r="C6" s="2" t="s">
        <v>414</v>
      </c>
      <c r="E6" s="66"/>
      <c r="F6" s="64"/>
      <c r="G6" s="64"/>
      <c r="I6" s="64"/>
    </row>
    <row r="7" spans="2:9" s="2" customFormat="1" ht="15.75" customHeight="1" x14ac:dyDescent="0.25">
      <c r="E7" s="64"/>
      <c r="F7" s="64"/>
      <c r="G7" s="64"/>
      <c r="I7" s="64"/>
    </row>
    <row r="8" spans="2:9" s="2" customFormat="1" ht="15.75" customHeight="1" x14ac:dyDescent="0.25">
      <c r="C8" s="2" t="s">
        <v>415</v>
      </c>
      <c r="E8" s="66"/>
      <c r="F8" s="64"/>
      <c r="G8" s="64"/>
      <c r="I8" s="64"/>
    </row>
    <row r="9" spans="2:9" s="2" customFormat="1" ht="15.75" customHeight="1" x14ac:dyDescent="0.25">
      <c r="C9" s="2" t="s">
        <v>416</v>
      </c>
      <c r="E9" s="67"/>
      <c r="F9" s="64"/>
      <c r="G9" s="64"/>
      <c r="I9" s="64"/>
    </row>
    <row r="10" spans="2:9" s="2" customFormat="1" ht="15.75" customHeight="1" x14ac:dyDescent="0.25">
      <c r="E10" s="64"/>
      <c r="F10" s="64"/>
      <c r="G10" s="64"/>
      <c r="I10" s="64"/>
    </row>
    <row r="11" spans="2:9" s="2" customFormat="1" ht="15.75" customHeight="1" x14ac:dyDescent="0.25">
      <c r="E11" s="64"/>
      <c r="F11" s="64"/>
      <c r="G11" s="64"/>
      <c r="I11" s="64"/>
    </row>
    <row r="12" spans="2:9" s="2" customFormat="1" ht="15.75" customHeight="1" x14ac:dyDescent="0.25">
      <c r="E12" s="64"/>
      <c r="F12" s="64"/>
      <c r="G12" s="64"/>
      <c r="I12" s="64"/>
    </row>
    <row r="13" spans="2:9" s="2" customFormat="1" ht="15.75" customHeight="1" x14ac:dyDescent="0.25">
      <c r="E13" s="64"/>
      <c r="F13" s="64"/>
      <c r="G13" s="64"/>
      <c r="I13" s="64"/>
    </row>
    <row r="14" spans="2:9" s="2" customFormat="1" ht="15.75" customHeight="1" x14ac:dyDescent="0.25">
      <c r="B14" s="6" t="s">
        <v>152</v>
      </c>
      <c r="C14" s="6" t="s">
        <v>417</v>
      </c>
      <c r="D14" s="6"/>
      <c r="E14" s="68" t="s">
        <v>107</v>
      </c>
      <c r="F14" s="68" t="s">
        <v>106</v>
      </c>
      <c r="G14" s="68" t="s">
        <v>418</v>
      </c>
      <c r="I14" s="64"/>
    </row>
    <row r="15" spans="2:9" s="2" customFormat="1" ht="15.75" customHeight="1" x14ac:dyDescent="0.25">
      <c r="E15" s="64"/>
      <c r="F15" s="64"/>
      <c r="G15" s="64"/>
      <c r="I15" s="64"/>
    </row>
    <row r="16" spans="2:9" s="2" customFormat="1" ht="15.75" customHeight="1" x14ac:dyDescent="0.25">
      <c r="E16" s="64"/>
      <c r="F16" s="64"/>
      <c r="G16" s="69">
        <f>E6</f>
        <v>0</v>
      </c>
      <c r="I16" s="64"/>
    </row>
    <row r="17" spans="2:9" s="2" customFormat="1" x14ac:dyDescent="0.25">
      <c r="B17" s="2">
        <v>1</v>
      </c>
      <c r="C17" s="14">
        <f>$E$8</f>
        <v>0</v>
      </c>
      <c r="E17" s="64">
        <f>G16*$E$9/12</f>
        <v>0</v>
      </c>
      <c r="F17" s="64">
        <f>C17-E17</f>
        <v>0</v>
      </c>
      <c r="G17" s="64">
        <f t="shared" ref="G17" si="0">G16-F17</f>
        <v>0</v>
      </c>
      <c r="I17" s="64"/>
    </row>
    <row r="18" spans="2:9" s="2" customFormat="1" x14ac:dyDescent="0.25">
      <c r="B18" s="2">
        <f t="shared" ref="B18:B81" si="1">B17+1</f>
        <v>2</v>
      </c>
      <c r="C18" s="14">
        <f t="shared" ref="C18:C81" si="2">$E$8</f>
        <v>0</v>
      </c>
      <c r="E18" s="64">
        <f t="shared" ref="E18:E81" si="3">G17*$E$9/12</f>
        <v>0</v>
      </c>
      <c r="F18" s="64">
        <f t="shared" ref="F18:F81" si="4">C18-E18</f>
        <v>0</v>
      </c>
      <c r="G18" s="64">
        <f t="shared" ref="G18:G81" si="5">G17-F18</f>
        <v>0</v>
      </c>
      <c r="I18" s="64"/>
    </row>
    <row r="19" spans="2:9" s="2" customFormat="1" x14ac:dyDescent="0.25">
      <c r="B19" s="2">
        <f t="shared" si="1"/>
        <v>3</v>
      </c>
      <c r="C19" s="14">
        <f t="shared" si="2"/>
        <v>0</v>
      </c>
      <c r="E19" s="64">
        <f t="shared" si="3"/>
        <v>0</v>
      </c>
      <c r="F19" s="64">
        <f t="shared" si="4"/>
        <v>0</v>
      </c>
      <c r="G19" s="64">
        <f t="shared" si="5"/>
        <v>0</v>
      </c>
      <c r="I19" s="64"/>
    </row>
    <row r="20" spans="2:9" s="2" customFormat="1" x14ac:dyDescent="0.25">
      <c r="B20" s="2">
        <f t="shared" si="1"/>
        <v>4</v>
      </c>
      <c r="C20" s="14">
        <f t="shared" si="2"/>
        <v>0</v>
      </c>
      <c r="E20" s="64">
        <f t="shared" si="3"/>
        <v>0</v>
      </c>
      <c r="F20" s="64">
        <f t="shared" si="4"/>
        <v>0</v>
      </c>
      <c r="G20" s="64">
        <f t="shared" si="5"/>
        <v>0</v>
      </c>
      <c r="I20" s="64"/>
    </row>
    <row r="21" spans="2:9" s="2" customFormat="1" x14ac:dyDescent="0.25">
      <c r="B21" s="2">
        <f t="shared" si="1"/>
        <v>5</v>
      </c>
      <c r="C21" s="14">
        <f t="shared" si="2"/>
        <v>0</v>
      </c>
      <c r="E21" s="64">
        <f t="shared" si="3"/>
        <v>0</v>
      </c>
      <c r="F21" s="64">
        <f t="shared" si="4"/>
        <v>0</v>
      </c>
      <c r="G21" s="64">
        <f t="shared" si="5"/>
        <v>0</v>
      </c>
      <c r="I21" s="64"/>
    </row>
    <row r="22" spans="2:9" s="2" customFormat="1" x14ac:dyDescent="0.25">
      <c r="B22" s="2">
        <f t="shared" si="1"/>
        <v>6</v>
      </c>
      <c r="C22" s="14">
        <f t="shared" si="2"/>
        <v>0</v>
      </c>
      <c r="E22" s="64">
        <f t="shared" si="3"/>
        <v>0</v>
      </c>
      <c r="F22" s="64">
        <f t="shared" si="4"/>
        <v>0</v>
      </c>
      <c r="G22" s="64">
        <f t="shared" si="5"/>
        <v>0</v>
      </c>
      <c r="I22" s="64"/>
    </row>
    <row r="23" spans="2:9" x14ac:dyDescent="0.25">
      <c r="B23" s="2">
        <f t="shared" si="1"/>
        <v>7</v>
      </c>
      <c r="C23" s="14">
        <f t="shared" si="2"/>
        <v>0</v>
      </c>
      <c r="E23" s="64">
        <f t="shared" si="3"/>
        <v>0</v>
      </c>
      <c r="F23" s="64">
        <f t="shared" si="4"/>
        <v>0</v>
      </c>
      <c r="G23" s="64">
        <f t="shared" si="5"/>
        <v>0</v>
      </c>
      <c r="H23" s="107"/>
      <c r="I23" s="64"/>
    </row>
    <row r="24" spans="2:9" x14ac:dyDescent="0.25">
      <c r="B24" s="2">
        <f t="shared" si="1"/>
        <v>8</v>
      </c>
      <c r="C24" s="14">
        <f t="shared" si="2"/>
        <v>0</v>
      </c>
      <c r="E24" s="64">
        <f t="shared" si="3"/>
        <v>0</v>
      </c>
      <c r="F24" s="64">
        <f t="shared" si="4"/>
        <v>0</v>
      </c>
      <c r="G24" s="64">
        <f t="shared" si="5"/>
        <v>0</v>
      </c>
      <c r="H24" s="107"/>
      <c r="I24" s="64"/>
    </row>
    <row r="25" spans="2:9" x14ac:dyDescent="0.25">
      <c r="B25" s="2">
        <f t="shared" si="1"/>
        <v>9</v>
      </c>
      <c r="C25" s="14">
        <f t="shared" si="2"/>
        <v>0</v>
      </c>
      <c r="E25" s="64">
        <f t="shared" si="3"/>
        <v>0</v>
      </c>
      <c r="F25" s="64">
        <f t="shared" si="4"/>
        <v>0</v>
      </c>
      <c r="G25" s="64">
        <f t="shared" si="5"/>
        <v>0</v>
      </c>
      <c r="H25" s="107"/>
      <c r="I25" s="64"/>
    </row>
    <row r="26" spans="2:9" x14ac:dyDescent="0.25">
      <c r="B26" s="2">
        <f t="shared" si="1"/>
        <v>10</v>
      </c>
      <c r="C26" s="14">
        <f t="shared" si="2"/>
        <v>0</v>
      </c>
      <c r="E26" s="64">
        <f t="shared" si="3"/>
        <v>0</v>
      </c>
      <c r="F26" s="64">
        <f t="shared" si="4"/>
        <v>0</v>
      </c>
      <c r="G26" s="64">
        <f t="shared" si="5"/>
        <v>0</v>
      </c>
      <c r="H26" s="107"/>
      <c r="I26" s="64"/>
    </row>
    <row r="27" spans="2:9" x14ac:dyDescent="0.25">
      <c r="B27" s="2">
        <f t="shared" si="1"/>
        <v>11</v>
      </c>
      <c r="C27" s="14">
        <f t="shared" si="2"/>
        <v>0</v>
      </c>
      <c r="E27" s="64">
        <f t="shared" si="3"/>
        <v>0</v>
      </c>
      <c r="F27" s="64">
        <f t="shared" si="4"/>
        <v>0</v>
      </c>
      <c r="G27" s="64">
        <f t="shared" si="5"/>
        <v>0</v>
      </c>
      <c r="H27" s="107"/>
      <c r="I27" s="64"/>
    </row>
    <row r="28" spans="2:9" x14ac:dyDescent="0.25">
      <c r="B28" s="2">
        <f t="shared" si="1"/>
        <v>12</v>
      </c>
      <c r="C28" s="14">
        <f t="shared" si="2"/>
        <v>0</v>
      </c>
      <c r="E28" s="64">
        <f t="shared" si="3"/>
        <v>0</v>
      </c>
      <c r="F28" s="64">
        <f t="shared" si="4"/>
        <v>0</v>
      </c>
      <c r="G28" s="64">
        <f t="shared" si="5"/>
        <v>0</v>
      </c>
      <c r="H28" s="107"/>
      <c r="I28" s="64"/>
    </row>
    <row r="29" spans="2:9" x14ac:dyDescent="0.25">
      <c r="B29" s="2">
        <f t="shared" si="1"/>
        <v>13</v>
      </c>
      <c r="C29" s="14">
        <f t="shared" si="2"/>
        <v>0</v>
      </c>
      <c r="E29" s="64">
        <f t="shared" si="3"/>
        <v>0</v>
      </c>
      <c r="F29" s="64">
        <f t="shared" si="4"/>
        <v>0</v>
      </c>
      <c r="G29" s="64">
        <f t="shared" si="5"/>
        <v>0</v>
      </c>
      <c r="H29" s="107"/>
      <c r="I29" s="64"/>
    </row>
    <row r="30" spans="2:9" x14ac:dyDescent="0.25">
      <c r="B30" s="2">
        <f t="shared" si="1"/>
        <v>14</v>
      </c>
      <c r="C30" s="14">
        <f t="shared" si="2"/>
        <v>0</v>
      </c>
      <c r="E30" s="64">
        <f t="shared" si="3"/>
        <v>0</v>
      </c>
      <c r="F30" s="64">
        <f t="shared" si="4"/>
        <v>0</v>
      </c>
      <c r="G30" s="64">
        <f t="shared" si="5"/>
        <v>0</v>
      </c>
      <c r="H30" s="107"/>
      <c r="I30" s="64"/>
    </row>
    <row r="31" spans="2:9" x14ac:dyDescent="0.25">
      <c r="B31" s="2">
        <f t="shared" si="1"/>
        <v>15</v>
      </c>
      <c r="C31" s="14">
        <f t="shared" si="2"/>
        <v>0</v>
      </c>
      <c r="E31" s="64">
        <f t="shared" si="3"/>
        <v>0</v>
      </c>
      <c r="F31" s="64">
        <f t="shared" si="4"/>
        <v>0</v>
      </c>
      <c r="G31" s="64">
        <f t="shared" si="5"/>
        <v>0</v>
      </c>
      <c r="H31" s="107"/>
      <c r="I31" s="64"/>
    </row>
    <row r="32" spans="2:9" x14ac:dyDescent="0.25">
      <c r="B32" s="2">
        <f t="shared" si="1"/>
        <v>16</v>
      </c>
      <c r="C32" s="14">
        <f t="shared" si="2"/>
        <v>0</v>
      </c>
      <c r="E32" s="64">
        <f t="shared" si="3"/>
        <v>0</v>
      </c>
      <c r="F32" s="64">
        <f t="shared" si="4"/>
        <v>0</v>
      </c>
      <c r="G32" s="64">
        <f t="shared" si="5"/>
        <v>0</v>
      </c>
      <c r="H32" s="107"/>
      <c r="I32" s="64"/>
    </row>
    <row r="33" spans="2:9" x14ac:dyDescent="0.25">
      <c r="B33" s="2">
        <f t="shared" si="1"/>
        <v>17</v>
      </c>
      <c r="C33" s="14">
        <f t="shared" si="2"/>
        <v>0</v>
      </c>
      <c r="E33" s="64">
        <f t="shared" si="3"/>
        <v>0</v>
      </c>
      <c r="F33" s="64">
        <f t="shared" si="4"/>
        <v>0</v>
      </c>
      <c r="G33" s="64">
        <f t="shared" si="5"/>
        <v>0</v>
      </c>
      <c r="H33" s="107"/>
      <c r="I33" s="64"/>
    </row>
    <row r="34" spans="2:9" x14ac:dyDescent="0.25">
      <c r="B34" s="2">
        <f t="shared" si="1"/>
        <v>18</v>
      </c>
      <c r="C34" s="14">
        <f t="shared" si="2"/>
        <v>0</v>
      </c>
      <c r="E34" s="64">
        <f t="shared" si="3"/>
        <v>0</v>
      </c>
      <c r="F34" s="64">
        <f t="shared" si="4"/>
        <v>0</v>
      </c>
      <c r="G34" s="64">
        <f t="shared" si="5"/>
        <v>0</v>
      </c>
      <c r="H34" s="107"/>
      <c r="I34" s="64"/>
    </row>
    <row r="35" spans="2:9" x14ac:dyDescent="0.25">
      <c r="B35" s="2">
        <f t="shared" si="1"/>
        <v>19</v>
      </c>
      <c r="C35" s="14">
        <f t="shared" si="2"/>
        <v>0</v>
      </c>
      <c r="E35" s="64">
        <f t="shared" si="3"/>
        <v>0</v>
      </c>
      <c r="F35" s="64">
        <f t="shared" si="4"/>
        <v>0</v>
      </c>
      <c r="G35" s="64">
        <f t="shared" si="5"/>
        <v>0</v>
      </c>
      <c r="H35" s="107"/>
      <c r="I35" s="64"/>
    </row>
    <row r="36" spans="2:9" x14ac:dyDescent="0.25">
      <c r="B36" s="2">
        <f t="shared" si="1"/>
        <v>20</v>
      </c>
      <c r="C36" s="14">
        <f t="shared" si="2"/>
        <v>0</v>
      </c>
      <c r="E36" s="64">
        <f t="shared" si="3"/>
        <v>0</v>
      </c>
      <c r="F36" s="64">
        <f t="shared" si="4"/>
        <v>0</v>
      </c>
      <c r="G36" s="64">
        <f t="shared" si="5"/>
        <v>0</v>
      </c>
      <c r="H36" s="107"/>
      <c r="I36" s="64"/>
    </row>
    <row r="37" spans="2:9" x14ac:dyDescent="0.25">
      <c r="B37" s="2">
        <f t="shared" si="1"/>
        <v>21</v>
      </c>
      <c r="C37" s="14">
        <f t="shared" si="2"/>
        <v>0</v>
      </c>
      <c r="E37" s="64">
        <f t="shared" si="3"/>
        <v>0</v>
      </c>
      <c r="F37" s="64">
        <f t="shared" si="4"/>
        <v>0</v>
      </c>
      <c r="G37" s="64">
        <f t="shared" si="5"/>
        <v>0</v>
      </c>
      <c r="H37" s="107"/>
      <c r="I37" s="64"/>
    </row>
    <row r="38" spans="2:9" x14ac:dyDescent="0.25">
      <c r="B38" s="2">
        <f t="shared" si="1"/>
        <v>22</v>
      </c>
      <c r="C38" s="14">
        <f t="shared" si="2"/>
        <v>0</v>
      </c>
      <c r="E38" s="64">
        <f t="shared" si="3"/>
        <v>0</v>
      </c>
      <c r="F38" s="64">
        <f t="shared" si="4"/>
        <v>0</v>
      </c>
      <c r="G38" s="64">
        <f t="shared" si="5"/>
        <v>0</v>
      </c>
      <c r="H38" s="107"/>
      <c r="I38" s="64"/>
    </row>
    <row r="39" spans="2:9" x14ac:dyDescent="0.25">
      <c r="B39" s="2">
        <f t="shared" si="1"/>
        <v>23</v>
      </c>
      <c r="C39" s="14">
        <f t="shared" si="2"/>
        <v>0</v>
      </c>
      <c r="E39" s="64">
        <f t="shared" si="3"/>
        <v>0</v>
      </c>
      <c r="F39" s="64">
        <f t="shared" si="4"/>
        <v>0</v>
      </c>
      <c r="G39" s="64">
        <f t="shared" si="5"/>
        <v>0</v>
      </c>
      <c r="H39" s="107"/>
      <c r="I39" s="64"/>
    </row>
    <row r="40" spans="2:9" x14ac:dyDescent="0.25">
      <c r="B40" s="2">
        <f t="shared" si="1"/>
        <v>24</v>
      </c>
      <c r="C40" s="14">
        <f t="shared" si="2"/>
        <v>0</v>
      </c>
      <c r="E40" s="64">
        <f t="shared" si="3"/>
        <v>0</v>
      </c>
      <c r="F40" s="64">
        <f t="shared" si="4"/>
        <v>0</v>
      </c>
      <c r="G40" s="64">
        <f t="shared" si="5"/>
        <v>0</v>
      </c>
      <c r="H40" s="107"/>
      <c r="I40" s="64"/>
    </row>
    <row r="41" spans="2:9" x14ac:dyDescent="0.25">
      <c r="B41" s="2">
        <f t="shared" si="1"/>
        <v>25</v>
      </c>
      <c r="C41" s="14">
        <f t="shared" si="2"/>
        <v>0</v>
      </c>
      <c r="E41" s="64">
        <f t="shared" si="3"/>
        <v>0</v>
      </c>
      <c r="F41" s="64">
        <f t="shared" si="4"/>
        <v>0</v>
      </c>
      <c r="G41" s="64">
        <f t="shared" si="5"/>
        <v>0</v>
      </c>
      <c r="H41" s="107"/>
      <c r="I41" s="64"/>
    </row>
    <row r="42" spans="2:9" x14ac:dyDescent="0.25">
      <c r="B42" s="2">
        <f t="shared" si="1"/>
        <v>26</v>
      </c>
      <c r="C42" s="14">
        <f t="shared" si="2"/>
        <v>0</v>
      </c>
      <c r="E42" s="64">
        <f t="shared" si="3"/>
        <v>0</v>
      </c>
      <c r="F42" s="64">
        <f t="shared" si="4"/>
        <v>0</v>
      </c>
      <c r="G42" s="64">
        <f t="shared" si="5"/>
        <v>0</v>
      </c>
      <c r="H42" s="107"/>
      <c r="I42" s="64"/>
    </row>
    <row r="43" spans="2:9" x14ac:dyDescent="0.25">
      <c r="B43" s="2">
        <f t="shared" si="1"/>
        <v>27</v>
      </c>
      <c r="C43" s="14">
        <f t="shared" si="2"/>
        <v>0</v>
      </c>
      <c r="E43" s="64">
        <f t="shared" si="3"/>
        <v>0</v>
      </c>
      <c r="F43" s="64">
        <f t="shared" si="4"/>
        <v>0</v>
      </c>
      <c r="G43" s="64">
        <f t="shared" si="5"/>
        <v>0</v>
      </c>
      <c r="H43" s="107"/>
      <c r="I43" s="64"/>
    </row>
    <row r="44" spans="2:9" x14ac:dyDescent="0.25">
      <c r="B44" s="2">
        <f t="shared" si="1"/>
        <v>28</v>
      </c>
      <c r="C44" s="14">
        <f t="shared" si="2"/>
        <v>0</v>
      </c>
      <c r="E44" s="64">
        <f t="shared" si="3"/>
        <v>0</v>
      </c>
      <c r="F44" s="64">
        <f t="shared" si="4"/>
        <v>0</v>
      </c>
      <c r="G44" s="64">
        <f t="shared" si="5"/>
        <v>0</v>
      </c>
      <c r="H44" s="107"/>
      <c r="I44" s="64"/>
    </row>
    <row r="45" spans="2:9" x14ac:dyDescent="0.25">
      <c r="B45" s="2">
        <f t="shared" si="1"/>
        <v>29</v>
      </c>
      <c r="C45" s="14">
        <f t="shared" si="2"/>
        <v>0</v>
      </c>
      <c r="E45" s="64">
        <f t="shared" si="3"/>
        <v>0</v>
      </c>
      <c r="F45" s="64">
        <f t="shared" si="4"/>
        <v>0</v>
      </c>
      <c r="G45" s="64">
        <f t="shared" si="5"/>
        <v>0</v>
      </c>
      <c r="H45" s="107"/>
      <c r="I45" s="64"/>
    </row>
    <row r="46" spans="2:9" x14ac:dyDescent="0.25">
      <c r="B46" s="2">
        <f t="shared" si="1"/>
        <v>30</v>
      </c>
      <c r="C46" s="14">
        <f t="shared" si="2"/>
        <v>0</v>
      </c>
      <c r="E46" s="64">
        <f t="shared" si="3"/>
        <v>0</v>
      </c>
      <c r="F46" s="64">
        <f t="shared" si="4"/>
        <v>0</v>
      </c>
      <c r="G46" s="64">
        <f t="shared" si="5"/>
        <v>0</v>
      </c>
      <c r="H46" s="107"/>
      <c r="I46" s="64"/>
    </row>
    <row r="47" spans="2:9" x14ac:dyDescent="0.25">
      <c r="B47" s="2">
        <f t="shared" si="1"/>
        <v>31</v>
      </c>
      <c r="C47" s="14">
        <f t="shared" si="2"/>
        <v>0</v>
      </c>
      <c r="E47" s="64">
        <f t="shared" si="3"/>
        <v>0</v>
      </c>
      <c r="F47" s="64">
        <f t="shared" si="4"/>
        <v>0</v>
      </c>
      <c r="G47" s="64">
        <f t="shared" si="5"/>
        <v>0</v>
      </c>
      <c r="H47" s="107"/>
      <c r="I47" s="64"/>
    </row>
    <row r="48" spans="2:9" x14ac:dyDescent="0.25">
      <c r="B48" s="2">
        <f t="shared" si="1"/>
        <v>32</v>
      </c>
      <c r="C48" s="14">
        <f t="shared" si="2"/>
        <v>0</v>
      </c>
      <c r="E48" s="64">
        <f t="shared" si="3"/>
        <v>0</v>
      </c>
      <c r="F48" s="64">
        <f t="shared" si="4"/>
        <v>0</v>
      </c>
      <c r="G48" s="64">
        <f t="shared" si="5"/>
        <v>0</v>
      </c>
      <c r="H48" s="107"/>
      <c r="I48" s="64"/>
    </row>
    <row r="49" spans="2:9" x14ac:dyDescent="0.25">
      <c r="B49" s="2">
        <f t="shared" si="1"/>
        <v>33</v>
      </c>
      <c r="C49" s="14">
        <f t="shared" si="2"/>
        <v>0</v>
      </c>
      <c r="E49" s="64">
        <f t="shared" si="3"/>
        <v>0</v>
      </c>
      <c r="F49" s="64">
        <f t="shared" si="4"/>
        <v>0</v>
      </c>
      <c r="G49" s="64">
        <f t="shared" si="5"/>
        <v>0</v>
      </c>
      <c r="H49" s="107"/>
      <c r="I49" s="64"/>
    </row>
    <row r="50" spans="2:9" x14ac:dyDescent="0.25">
      <c r="B50" s="2">
        <f t="shared" si="1"/>
        <v>34</v>
      </c>
      <c r="C50" s="14">
        <f t="shared" si="2"/>
        <v>0</v>
      </c>
      <c r="E50" s="64">
        <f t="shared" si="3"/>
        <v>0</v>
      </c>
      <c r="F50" s="64">
        <f t="shared" si="4"/>
        <v>0</v>
      </c>
      <c r="G50" s="64">
        <f t="shared" si="5"/>
        <v>0</v>
      </c>
      <c r="H50" s="107"/>
      <c r="I50" s="64"/>
    </row>
    <row r="51" spans="2:9" x14ac:dyDescent="0.25">
      <c r="B51" s="2">
        <f t="shared" si="1"/>
        <v>35</v>
      </c>
      <c r="C51" s="14">
        <f t="shared" si="2"/>
        <v>0</v>
      </c>
      <c r="E51" s="64">
        <f t="shared" si="3"/>
        <v>0</v>
      </c>
      <c r="F51" s="64">
        <f t="shared" si="4"/>
        <v>0</v>
      </c>
      <c r="G51" s="64">
        <f t="shared" si="5"/>
        <v>0</v>
      </c>
      <c r="H51" s="107"/>
    </row>
    <row r="52" spans="2:9" x14ac:dyDescent="0.25">
      <c r="B52" s="2">
        <f t="shared" si="1"/>
        <v>36</v>
      </c>
      <c r="C52" s="14">
        <f t="shared" si="2"/>
        <v>0</v>
      </c>
      <c r="E52" s="64">
        <f t="shared" si="3"/>
        <v>0</v>
      </c>
      <c r="F52" s="64">
        <f t="shared" si="4"/>
        <v>0</v>
      </c>
      <c r="G52" s="64">
        <f t="shared" si="5"/>
        <v>0</v>
      </c>
      <c r="H52" s="107"/>
      <c r="I52" s="64"/>
    </row>
    <row r="53" spans="2:9" x14ac:dyDescent="0.25">
      <c r="B53" s="2">
        <f t="shared" si="1"/>
        <v>37</v>
      </c>
      <c r="C53" s="14">
        <f t="shared" si="2"/>
        <v>0</v>
      </c>
      <c r="E53" s="64">
        <f t="shared" si="3"/>
        <v>0</v>
      </c>
      <c r="F53" s="64">
        <f t="shared" si="4"/>
        <v>0</v>
      </c>
      <c r="G53" s="64">
        <f t="shared" si="5"/>
        <v>0</v>
      </c>
      <c r="H53" s="107"/>
      <c r="I53" s="64"/>
    </row>
    <row r="54" spans="2:9" x14ac:dyDescent="0.25">
      <c r="B54" s="2">
        <f t="shared" si="1"/>
        <v>38</v>
      </c>
      <c r="C54" s="14">
        <f t="shared" si="2"/>
        <v>0</v>
      </c>
      <c r="E54" s="64">
        <f t="shared" si="3"/>
        <v>0</v>
      </c>
      <c r="F54" s="64">
        <f t="shared" si="4"/>
        <v>0</v>
      </c>
      <c r="G54" s="64">
        <f t="shared" si="5"/>
        <v>0</v>
      </c>
      <c r="H54" s="107"/>
      <c r="I54" s="64"/>
    </row>
    <row r="55" spans="2:9" x14ac:dyDescent="0.25">
      <c r="B55" s="2">
        <f t="shared" si="1"/>
        <v>39</v>
      </c>
      <c r="C55" s="14">
        <f t="shared" si="2"/>
        <v>0</v>
      </c>
      <c r="E55" s="64">
        <f t="shared" si="3"/>
        <v>0</v>
      </c>
      <c r="F55" s="64">
        <f t="shared" si="4"/>
        <v>0</v>
      </c>
      <c r="G55" s="64">
        <f t="shared" si="5"/>
        <v>0</v>
      </c>
      <c r="H55" s="107"/>
      <c r="I55" s="64"/>
    </row>
    <row r="56" spans="2:9" x14ac:dyDescent="0.25">
      <c r="B56" s="2">
        <f t="shared" si="1"/>
        <v>40</v>
      </c>
      <c r="C56" s="14">
        <f t="shared" si="2"/>
        <v>0</v>
      </c>
      <c r="E56" s="64">
        <f t="shared" si="3"/>
        <v>0</v>
      </c>
      <c r="F56" s="64">
        <f t="shared" si="4"/>
        <v>0</v>
      </c>
      <c r="G56" s="64">
        <f t="shared" si="5"/>
        <v>0</v>
      </c>
      <c r="H56" s="107"/>
      <c r="I56" s="64"/>
    </row>
    <row r="57" spans="2:9" x14ac:dyDescent="0.25">
      <c r="B57" s="2">
        <f t="shared" si="1"/>
        <v>41</v>
      </c>
      <c r="C57" s="14">
        <f t="shared" si="2"/>
        <v>0</v>
      </c>
      <c r="E57" s="64">
        <f t="shared" si="3"/>
        <v>0</v>
      </c>
      <c r="F57" s="64">
        <f t="shared" si="4"/>
        <v>0</v>
      </c>
      <c r="G57" s="64">
        <f t="shared" si="5"/>
        <v>0</v>
      </c>
      <c r="H57" s="107"/>
      <c r="I57" s="64"/>
    </row>
    <row r="58" spans="2:9" x14ac:dyDescent="0.25">
      <c r="B58" s="2">
        <f t="shared" si="1"/>
        <v>42</v>
      </c>
      <c r="C58" s="14">
        <f t="shared" si="2"/>
        <v>0</v>
      </c>
      <c r="E58" s="64">
        <f t="shared" si="3"/>
        <v>0</v>
      </c>
      <c r="F58" s="64">
        <f t="shared" si="4"/>
        <v>0</v>
      </c>
      <c r="G58" s="64">
        <f t="shared" si="5"/>
        <v>0</v>
      </c>
      <c r="H58" s="107"/>
      <c r="I58" s="64"/>
    </row>
    <row r="59" spans="2:9" x14ac:dyDescent="0.25">
      <c r="B59" s="2">
        <f t="shared" si="1"/>
        <v>43</v>
      </c>
      <c r="C59" s="14">
        <f t="shared" si="2"/>
        <v>0</v>
      </c>
      <c r="E59" s="64">
        <f t="shared" si="3"/>
        <v>0</v>
      </c>
      <c r="F59" s="64">
        <f t="shared" si="4"/>
        <v>0</v>
      </c>
      <c r="G59" s="64">
        <f t="shared" si="5"/>
        <v>0</v>
      </c>
      <c r="H59" s="107"/>
      <c r="I59" s="64"/>
    </row>
    <row r="60" spans="2:9" x14ac:dyDescent="0.25">
      <c r="B60" s="2">
        <f t="shared" si="1"/>
        <v>44</v>
      </c>
      <c r="C60" s="14">
        <f t="shared" si="2"/>
        <v>0</v>
      </c>
      <c r="E60" s="64">
        <f t="shared" si="3"/>
        <v>0</v>
      </c>
      <c r="F60" s="64">
        <f t="shared" si="4"/>
        <v>0</v>
      </c>
      <c r="G60" s="64">
        <f t="shared" si="5"/>
        <v>0</v>
      </c>
      <c r="H60" s="107"/>
      <c r="I60" s="64"/>
    </row>
    <row r="61" spans="2:9" x14ac:dyDescent="0.25">
      <c r="B61" s="2">
        <f t="shared" si="1"/>
        <v>45</v>
      </c>
      <c r="C61" s="14">
        <f t="shared" si="2"/>
        <v>0</v>
      </c>
      <c r="E61" s="64">
        <f t="shared" si="3"/>
        <v>0</v>
      </c>
      <c r="F61" s="64">
        <f t="shared" si="4"/>
        <v>0</v>
      </c>
      <c r="G61" s="64">
        <f t="shared" si="5"/>
        <v>0</v>
      </c>
      <c r="H61" s="107"/>
      <c r="I61" s="64"/>
    </row>
    <row r="62" spans="2:9" x14ac:dyDescent="0.25">
      <c r="B62" s="2">
        <f t="shared" si="1"/>
        <v>46</v>
      </c>
      <c r="C62" s="14">
        <f t="shared" si="2"/>
        <v>0</v>
      </c>
      <c r="E62" s="64">
        <f t="shared" si="3"/>
        <v>0</v>
      </c>
      <c r="F62" s="64">
        <f t="shared" si="4"/>
        <v>0</v>
      </c>
      <c r="G62" s="64">
        <f t="shared" si="5"/>
        <v>0</v>
      </c>
      <c r="H62" s="107"/>
      <c r="I62" s="64"/>
    </row>
    <row r="63" spans="2:9" x14ac:dyDescent="0.25">
      <c r="B63" s="2">
        <f t="shared" si="1"/>
        <v>47</v>
      </c>
      <c r="C63" s="14">
        <f t="shared" si="2"/>
        <v>0</v>
      </c>
      <c r="E63" s="64">
        <f t="shared" si="3"/>
        <v>0</v>
      </c>
      <c r="F63" s="64">
        <f t="shared" si="4"/>
        <v>0</v>
      </c>
      <c r="G63" s="64">
        <f t="shared" si="5"/>
        <v>0</v>
      </c>
      <c r="H63" s="107"/>
      <c r="I63" s="64"/>
    </row>
    <row r="64" spans="2:9" x14ac:dyDescent="0.25">
      <c r="B64" s="2">
        <f t="shared" si="1"/>
        <v>48</v>
      </c>
      <c r="C64" s="14">
        <f t="shared" si="2"/>
        <v>0</v>
      </c>
      <c r="E64" s="64">
        <f t="shared" si="3"/>
        <v>0</v>
      </c>
      <c r="F64" s="64">
        <f t="shared" si="4"/>
        <v>0</v>
      </c>
      <c r="G64" s="64">
        <f t="shared" si="5"/>
        <v>0</v>
      </c>
      <c r="H64" s="107"/>
      <c r="I64" s="64"/>
    </row>
    <row r="65" spans="2:9" x14ac:dyDescent="0.25">
      <c r="B65" s="2">
        <f t="shared" si="1"/>
        <v>49</v>
      </c>
      <c r="C65" s="14">
        <f t="shared" si="2"/>
        <v>0</v>
      </c>
      <c r="E65" s="64">
        <f t="shared" si="3"/>
        <v>0</v>
      </c>
      <c r="F65" s="64">
        <f t="shared" si="4"/>
        <v>0</v>
      </c>
      <c r="G65" s="64">
        <f t="shared" si="5"/>
        <v>0</v>
      </c>
      <c r="H65" s="107"/>
      <c r="I65" s="64"/>
    </row>
    <row r="66" spans="2:9" x14ac:dyDescent="0.25">
      <c r="B66" s="2">
        <f t="shared" si="1"/>
        <v>50</v>
      </c>
      <c r="C66" s="14">
        <f t="shared" si="2"/>
        <v>0</v>
      </c>
      <c r="E66" s="64">
        <f t="shared" si="3"/>
        <v>0</v>
      </c>
      <c r="F66" s="64">
        <f t="shared" si="4"/>
        <v>0</v>
      </c>
      <c r="G66" s="64">
        <f t="shared" si="5"/>
        <v>0</v>
      </c>
      <c r="H66" s="107"/>
      <c r="I66" s="64"/>
    </row>
    <row r="67" spans="2:9" x14ac:dyDescent="0.25">
      <c r="B67" s="2">
        <f t="shared" si="1"/>
        <v>51</v>
      </c>
      <c r="C67" s="14">
        <f t="shared" si="2"/>
        <v>0</v>
      </c>
      <c r="E67" s="64">
        <f t="shared" si="3"/>
        <v>0</v>
      </c>
      <c r="F67" s="64">
        <f t="shared" si="4"/>
        <v>0</v>
      </c>
      <c r="G67" s="64">
        <f t="shared" si="5"/>
        <v>0</v>
      </c>
      <c r="H67" s="107"/>
      <c r="I67" s="64"/>
    </row>
    <row r="68" spans="2:9" x14ac:dyDescent="0.25">
      <c r="B68" s="2">
        <f t="shared" si="1"/>
        <v>52</v>
      </c>
      <c r="C68" s="14">
        <f t="shared" si="2"/>
        <v>0</v>
      </c>
      <c r="E68" s="64">
        <f t="shared" si="3"/>
        <v>0</v>
      </c>
      <c r="F68" s="64">
        <f t="shared" si="4"/>
        <v>0</v>
      </c>
      <c r="G68" s="64">
        <f t="shared" si="5"/>
        <v>0</v>
      </c>
      <c r="H68" s="107"/>
      <c r="I68" s="64"/>
    </row>
    <row r="69" spans="2:9" x14ac:dyDescent="0.25">
      <c r="B69" s="2">
        <f t="shared" si="1"/>
        <v>53</v>
      </c>
      <c r="C69" s="14">
        <f t="shared" si="2"/>
        <v>0</v>
      </c>
      <c r="E69" s="64">
        <f t="shared" si="3"/>
        <v>0</v>
      </c>
      <c r="F69" s="64">
        <f t="shared" si="4"/>
        <v>0</v>
      </c>
      <c r="G69" s="64">
        <f t="shared" si="5"/>
        <v>0</v>
      </c>
      <c r="H69" s="107"/>
      <c r="I69" s="64"/>
    </row>
    <row r="70" spans="2:9" x14ac:dyDescent="0.25">
      <c r="B70" s="2">
        <f t="shared" si="1"/>
        <v>54</v>
      </c>
      <c r="C70" s="14">
        <f t="shared" si="2"/>
        <v>0</v>
      </c>
      <c r="E70" s="64">
        <f t="shared" si="3"/>
        <v>0</v>
      </c>
      <c r="F70" s="64">
        <f t="shared" si="4"/>
        <v>0</v>
      </c>
      <c r="G70" s="64">
        <f t="shared" si="5"/>
        <v>0</v>
      </c>
      <c r="H70" s="107"/>
      <c r="I70" s="64"/>
    </row>
    <row r="71" spans="2:9" x14ac:dyDescent="0.25">
      <c r="B71" s="2">
        <f t="shared" si="1"/>
        <v>55</v>
      </c>
      <c r="C71" s="14">
        <f t="shared" si="2"/>
        <v>0</v>
      </c>
      <c r="E71" s="64">
        <f t="shared" si="3"/>
        <v>0</v>
      </c>
      <c r="F71" s="64">
        <f t="shared" si="4"/>
        <v>0</v>
      </c>
      <c r="G71" s="64">
        <f t="shared" si="5"/>
        <v>0</v>
      </c>
      <c r="H71" s="107"/>
      <c r="I71" s="64"/>
    </row>
    <row r="72" spans="2:9" x14ac:dyDescent="0.25">
      <c r="B72" s="2">
        <f t="shared" si="1"/>
        <v>56</v>
      </c>
      <c r="C72" s="14">
        <f t="shared" si="2"/>
        <v>0</v>
      </c>
      <c r="E72" s="64">
        <f t="shared" si="3"/>
        <v>0</v>
      </c>
      <c r="F72" s="64">
        <f t="shared" si="4"/>
        <v>0</v>
      </c>
      <c r="G72" s="64">
        <f t="shared" si="5"/>
        <v>0</v>
      </c>
      <c r="H72" s="107"/>
      <c r="I72" s="64"/>
    </row>
    <row r="73" spans="2:9" x14ac:dyDescent="0.25">
      <c r="B73" s="2">
        <f t="shared" si="1"/>
        <v>57</v>
      </c>
      <c r="C73" s="14">
        <f t="shared" si="2"/>
        <v>0</v>
      </c>
      <c r="E73" s="64">
        <f t="shared" si="3"/>
        <v>0</v>
      </c>
      <c r="F73" s="64">
        <f t="shared" si="4"/>
        <v>0</v>
      </c>
      <c r="G73" s="64">
        <f t="shared" si="5"/>
        <v>0</v>
      </c>
      <c r="H73" s="107"/>
      <c r="I73" s="64"/>
    </row>
    <row r="74" spans="2:9" x14ac:dyDescent="0.25">
      <c r="B74" s="2">
        <f t="shared" si="1"/>
        <v>58</v>
      </c>
      <c r="C74" s="14">
        <f t="shared" si="2"/>
        <v>0</v>
      </c>
      <c r="E74" s="64">
        <f t="shared" si="3"/>
        <v>0</v>
      </c>
      <c r="F74" s="64">
        <f t="shared" si="4"/>
        <v>0</v>
      </c>
      <c r="G74" s="64">
        <f t="shared" si="5"/>
        <v>0</v>
      </c>
      <c r="H74" s="107"/>
      <c r="I74" s="64"/>
    </row>
    <row r="75" spans="2:9" x14ac:dyDescent="0.25">
      <c r="B75" s="2">
        <f t="shared" si="1"/>
        <v>59</v>
      </c>
      <c r="C75" s="14">
        <f t="shared" si="2"/>
        <v>0</v>
      </c>
      <c r="E75" s="64">
        <f t="shared" si="3"/>
        <v>0</v>
      </c>
      <c r="F75" s="64">
        <f t="shared" si="4"/>
        <v>0</v>
      </c>
      <c r="G75" s="64">
        <f t="shared" si="5"/>
        <v>0</v>
      </c>
      <c r="H75" s="107"/>
      <c r="I75" s="64"/>
    </row>
    <row r="76" spans="2:9" x14ac:dyDescent="0.25">
      <c r="B76" s="2">
        <f t="shared" si="1"/>
        <v>60</v>
      </c>
      <c r="C76" s="14">
        <f t="shared" si="2"/>
        <v>0</v>
      </c>
      <c r="E76" s="64">
        <f t="shared" si="3"/>
        <v>0</v>
      </c>
      <c r="F76" s="64">
        <f t="shared" si="4"/>
        <v>0</v>
      </c>
      <c r="G76" s="64">
        <f t="shared" si="5"/>
        <v>0</v>
      </c>
      <c r="H76" s="107"/>
      <c r="I76" s="64"/>
    </row>
    <row r="77" spans="2:9" x14ac:dyDescent="0.25">
      <c r="B77" s="2">
        <f t="shared" si="1"/>
        <v>61</v>
      </c>
      <c r="C77" s="14">
        <f t="shared" si="2"/>
        <v>0</v>
      </c>
      <c r="E77" s="64">
        <f t="shared" si="3"/>
        <v>0</v>
      </c>
      <c r="F77" s="64">
        <f t="shared" si="4"/>
        <v>0</v>
      </c>
      <c r="G77" s="64">
        <f t="shared" si="5"/>
        <v>0</v>
      </c>
      <c r="H77" s="107"/>
      <c r="I77" s="64"/>
    </row>
    <row r="78" spans="2:9" x14ac:dyDescent="0.25">
      <c r="B78" s="2">
        <f t="shared" si="1"/>
        <v>62</v>
      </c>
      <c r="C78" s="14">
        <f t="shared" si="2"/>
        <v>0</v>
      </c>
      <c r="E78" s="64">
        <f t="shared" si="3"/>
        <v>0</v>
      </c>
      <c r="F78" s="64">
        <f t="shared" si="4"/>
        <v>0</v>
      </c>
      <c r="G78" s="64">
        <f t="shared" si="5"/>
        <v>0</v>
      </c>
      <c r="H78" s="107"/>
      <c r="I78" s="64"/>
    </row>
    <row r="79" spans="2:9" x14ac:dyDescent="0.25">
      <c r="B79" s="2">
        <f t="shared" si="1"/>
        <v>63</v>
      </c>
      <c r="C79" s="14">
        <f t="shared" si="2"/>
        <v>0</v>
      </c>
      <c r="E79" s="64">
        <f t="shared" si="3"/>
        <v>0</v>
      </c>
      <c r="F79" s="64">
        <f t="shared" si="4"/>
        <v>0</v>
      </c>
      <c r="G79" s="64">
        <f t="shared" si="5"/>
        <v>0</v>
      </c>
      <c r="H79" s="107"/>
      <c r="I79" s="64"/>
    </row>
    <row r="80" spans="2:9" x14ac:dyDescent="0.25">
      <c r="B80" s="2">
        <f t="shared" si="1"/>
        <v>64</v>
      </c>
      <c r="C80" s="14">
        <f t="shared" si="2"/>
        <v>0</v>
      </c>
      <c r="E80" s="64">
        <f t="shared" si="3"/>
        <v>0</v>
      </c>
      <c r="F80" s="64">
        <f t="shared" si="4"/>
        <v>0</v>
      </c>
      <c r="G80" s="64">
        <f t="shared" si="5"/>
        <v>0</v>
      </c>
      <c r="H80" s="107"/>
      <c r="I80" s="64"/>
    </row>
    <row r="81" spans="2:9" x14ac:dyDescent="0.25">
      <c r="B81" s="2">
        <f t="shared" si="1"/>
        <v>65</v>
      </c>
      <c r="C81" s="14">
        <f t="shared" si="2"/>
        <v>0</v>
      </c>
      <c r="E81" s="64">
        <f t="shared" si="3"/>
        <v>0</v>
      </c>
      <c r="F81" s="64">
        <f t="shared" si="4"/>
        <v>0</v>
      </c>
      <c r="G81" s="64">
        <f t="shared" si="5"/>
        <v>0</v>
      </c>
      <c r="H81" s="107"/>
      <c r="I81" s="64"/>
    </row>
    <row r="82" spans="2:9" x14ac:dyDescent="0.25">
      <c r="B82" s="2">
        <f t="shared" ref="B82:B145" si="6">B81+1</f>
        <v>66</v>
      </c>
      <c r="C82" s="14">
        <f t="shared" ref="C82:C145" si="7">$E$8</f>
        <v>0</v>
      </c>
      <c r="E82" s="64">
        <f t="shared" ref="E82:E145" si="8">G81*$E$9/12</f>
        <v>0</v>
      </c>
      <c r="F82" s="64">
        <f t="shared" ref="F82:F145" si="9">C82-E82</f>
        <v>0</v>
      </c>
      <c r="G82" s="64">
        <f t="shared" ref="G82:G145" si="10">G81-F82</f>
        <v>0</v>
      </c>
      <c r="H82" s="107"/>
      <c r="I82" s="64"/>
    </row>
    <row r="83" spans="2:9" x14ac:dyDescent="0.25">
      <c r="B83" s="2">
        <f t="shared" si="6"/>
        <v>67</v>
      </c>
      <c r="C83" s="14">
        <f t="shared" si="7"/>
        <v>0</v>
      </c>
      <c r="E83" s="64">
        <f t="shared" si="8"/>
        <v>0</v>
      </c>
      <c r="F83" s="64">
        <f t="shared" si="9"/>
        <v>0</v>
      </c>
      <c r="G83" s="64">
        <f t="shared" si="10"/>
        <v>0</v>
      </c>
      <c r="H83" s="107"/>
      <c r="I83" s="64"/>
    </row>
    <row r="84" spans="2:9" x14ac:dyDescent="0.25">
      <c r="B84" s="2">
        <f t="shared" si="6"/>
        <v>68</v>
      </c>
      <c r="C84" s="14">
        <f t="shared" si="7"/>
        <v>0</v>
      </c>
      <c r="E84" s="64">
        <f t="shared" si="8"/>
        <v>0</v>
      </c>
      <c r="F84" s="64">
        <f t="shared" si="9"/>
        <v>0</v>
      </c>
      <c r="G84" s="64">
        <f t="shared" si="10"/>
        <v>0</v>
      </c>
      <c r="H84" s="107"/>
      <c r="I84" s="64"/>
    </row>
    <row r="85" spans="2:9" x14ac:dyDescent="0.25">
      <c r="B85" s="2">
        <f t="shared" si="6"/>
        <v>69</v>
      </c>
      <c r="C85" s="14">
        <f t="shared" si="7"/>
        <v>0</v>
      </c>
      <c r="E85" s="64">
        <f t="shared" si="8"/>
        <v>0</v>
      </c>
      <c r="F85" s="64">
        <f t="shared" si="9"/>
        <v>0</v>
      </c>
      <c r="G85" s="64">
        <f t="shared" si="10"/>
        <v>0</v>
      </c>
      <c r="H85" s="107"/>
      <c r="I85" s="64"/>
    </row>
    <row r="86" spans="2:9" x14ac:dyDescent="0.25">
      <c r="B86" s="2">
        <f t="shared" si="6"/>
        <v>70</v>
      </c>
      <c r="C86" s="14">
        <f t="shared" si="7"/>
        <v>0</v>
      </c>
      <c r="E86" s="64">
        <f t="shared" si="8"/>
        <v>0</v>
      </c>
      <c r="F86" s="64">
        <f t="shared" si="9"/>
        <v>0</v>
      </c>
      <c r="G86" s="64">
        <f t="shared" si="10"/>
        <v>0</v>
      </c>
      <c r="H86" s="107"/>
      <c r="I86" s="64"/>
    </row>
    <row r="87" spans="2:9" x14ac:dyDescent="0.25">
      <c r="B87" s="2">
        <f t="shared" si="6"/>
        <v>71</v>
      </c>
      <c r="C87" s="14">
        <f t="shared" si="7"/>
        <v>0</v>
      </c>
      <c r="E87" s="64">
        <f t="shared" si="8"/>
        <v>0</v>
      </c>
      <c r="F87" s="64">
        <f t="shared" si="9"/>
        <v>0</v>
      </c>
      <c r="G87" s="64">
        <f t="shared" si="10"/>
        <v>0</v>
      </c>
      <c r="H87" s="107"/>
      <c r="I87" s="64"/>
    </row>
    <row r="88" spans="2:9" x14ac:dyDescent="0.25">
      <c r="B88" s="2">
        <f t="shared" si="6"/>
        <v>72</v>
      </c>
      <c r="C88" s="14">
        <f t="shared" si="7"/>
        <v>0</v>
      </c>
      <c r="E88" s="64">
        <f t="shared" si="8"/>
        <v>0</v>
      </c>
      <c r="F88" s="64">
        <f t="shared" si="9"/>
        <v>0</v>
      </c>
      <c r="G88" s="64">
        <f t="shared" si="10"/>
        <v>0</v>
      </c>
      <c r="H88" s="107"/>
      <c r="I88" s="64"/>
    </row>
    <row r="89" spans="2:9" x14ac:dyDescent="0.25">
      <c r="B89" s="2">
        <f t="shared" si="6"/>
        <v>73</v>
      </c>
      <c r="C89" s="14">
        <f t="shared" si="7"/>
        <v>0</v>
      </c>
      <c r="E89" s="64">
        <f t="shared" si="8"/>
        <v>0</v>
      </c>
      <c r="F89" s="64">
        <f t="shared" si="9"/>
        <v>0</v>
      </c>
      <c r="G89" s="64">
        <f t="shared" si="10"/>
        <v>0</v>
      </c>
      <c r="H89" s="107"/>
      <c r="I89" s="64"/>
    </row>
    <row r="90" spans="2:9" x14ac:dyDescent="0.25">
      <c r="B90" s="2">
        <f t="shared" si="6"/>
        <v>74</v>
      </c>
      <c r="C90" s="14">
        <f t="shared" si="7"/>
        <v>0</v>
      </c>
      <c r="E90" s="64">
        <f t="shared" si="8"/>
        <v>0</v>
      </c>
      <c r="F90" s="64">
        <f t="shared" si="9"/>
        <v>0</v>
      </c>
      <c r="G90" s="64">
        <f t="shared" si="10"/>
        <v>0</v>
      </c>
      <c r="H90" s="107"/>
      <c r="I90" s="64"/>
    </row>
    <row r="91" spans="2:9" x14ac:dyDescent="0.25">
      <c r="B91" s="2">
        <f t="shared" si="6"/>
        <v>75</v>
      </c>
      <c r="C91" s="14">
        <f t="shared" si="7"/>
        <v>0</v>
      </c>
      <c r="E91" s="64">
        <f t="shared" si="8"/>
        <v>0</v>
      </c>
      <c r="F91" s="64">
        <f t="shared" si="9"/>
        <v>0</v>
      </c>
      <c r="G91" s="64">
        <f t="shared" si="10"/>
        <v>0</v>
      </c>
      <c r="H91" s="107"/>
      <c r="I91" s="64"/>
    </row>
    <row r="92" spans="2:9" x14ac:dyDescent="0.25">
      <c r="B92" s="2">
        <f t="shared" si="6"/>
        <v>76</v>
      </c>
      <c r="C92" s="14">
        <f t="shared" si="7"/>
        <v>0</v>
      </c>
      <c r="E92" s="64">
        <f t="shared" si="8"/>
        <v>0</v>
      </c>
      <c r="F92" s="64">
        <f t="shared" si="9"/>
        <v>0</v>
      </c>
      <c r="G92" s="64">
        <f t="shared" si="10"/>
        <v>0</v>
      </c>
      <c r="H92" s="107"/>
      <c r="I92" s="64"/>
    </row>
    <row r="93" spans="2:9" x14ac:dyDescent="0.25">
      <c r="B93" s="2">
        <f t="shared" si="6"/>
        <v>77</v>
      </c>
      <c r="C93" s="14">
        <f t="shared" si="7"/>
        <v>0</v>
      </c>
      <c r="E93" s="64">
        <f t="shared" si="8"/>
        <v>0</v>
      </c>
      <c r="F93" s="64">
        <f t="shared" si="9"/>
        <v>0</v>
      </c>
      <c r="G93" s="64">
        <f t="shared" si="10"/>
        <v>0</v>
      </c>
      <c r="H93" s="107"/>
      <c r="I93" s="64"/>
    </row>
    <row r="94" spans="2:9" x14ac:dyDescent="0.25">
      <c r="B94" s="2">
        <f t="shared" si="6"/>
        <v>78</v>
      </c>
      <c r="C94" s="14">
        <f t="shared" si="7"/>
        <v>0</v>
      </c>
      <c r="E94" s="64">
        <f t="shared" si="8"/>
        <v>0</v>
      </c>
      <c r="F94" s="64">
        <f t="shared" si="9"/>
        <v>0</v>
      </c>
      <c r="G94" s="64">
        <f t="shared" si="10"/>
        <v>0</v>
      </c>
      <c r="H94" s="107"/>
      <c r="I94" s="64"/>
    </row>
    <row r="95" spans="2:9" x14ac:dyDescent="0.25">
      <c r="B95" s="2">
        <f t="shared" si="6"/>
        <v>79</v>
      </c>
      <c r="C95" s="14">
        <f t="shared" si="7"/>
        <v>0</v>
      </c>
      <c r="E95" s="64">
        <f t="shared" si="8"/>
        <v>0</v>
      </c>
      <c r="F95" s="64">
        <f t="shared" si="9"/>
        <v>0</v>
      </c>
      <c r="G95" s="64">
        <f t="shared" si="10"/>
        <v>0</v>
      </c>
      <c r="H95" s="107"/>
      <c r="I95" s="64"/>
    </row>
    <row r="96" spans="2:9" x14ac:dyDescent="0.25">
      <c r="B96" s="2">
        <f t="shared" si="6"/>
        <v>80</v>
      </c>
      <c r="C96" s="14">
        <f t="shared" si="7"/>
        <v>0</v>
      </c>
      <c r="E96" s="64">
        <f t="shared" si="8"/>
        <v>0</v>
      </c>
      <c r="F96" s="64">
        <f t="shared" si="9"/>
        <v>0</v>
      </c>
      <c r="G96" s="64">
        <f t="shared" si="10"/>
        <v>0</v>
      </c>
      <c r="H96" s="107"/>
      <c r="I96" s="64"/>
    </row>
    <row r="97" spans="2:9" x14ac:dyDescent="0.25">
      <c r="B97" s="2">
        <f t="shared" si="6"/>
        <v>81</v>
      </c>
      <c r="C97" s="14">
        <f t="shared" si="7"/>
        <v>0</v>
      </c>
      <c r="E97" s="64">
        <f t="shared" si="8"/>
        <v>0</v>
      </c>
      <c r="F97" s="64">
        <f t="shared" si="9"/>
        <v>0</v>
      </c>
      <c r="G97" s="64">
        <f t="shared" si="10"/>
        <v>0</v>
      </c>
      <c r="H97" s="107"/>
      <c r="I97" s="64"/>
    </row>
    <row r="98" spans="2:9" x14ac:dyDescent="0.25">
      <c r="B98" s="2">
        <f t="shared" si="6"/>
        <v>82</v>
      </c>
      <c r="C98" s="14">
        <f t="shared" si="7"/>
        <v>0</v>
      </c>
      <c r="E98" s="64">
        <f t="shared" si="8"/>
        <v>0</v>
      </c>
      <c r="F98" s="64">
        <f t="shared" si="9"/>
        <v>0</v>
      </c>
      <c r="G98" s="64">
        <f t="shared" si="10"/>
        <v>0</v>
      </c>
      <c r="H98" s="107"/>
      <c r="I98" s="64"/>
    </row>
    <row r="99" spans="2:9" x14ac:dyDescent="0.25">
      <c r="B99" s="2">
        <f t="shared" si="6"/>
        <v>83</v>
      </c>
      <c r="C99" s="14">
        <f t="shared" si="7"/>
        <v>0</v>
      </c>
      <c r="E99" s="64">
        <f t="shared" si="8"/>
        <v>0</v>
      </c>
      <c r="F99" s="64">
        <f t="shared" si="9"/>
        <v>0</v>
      </c>
      <c r="G99" s="64">
        <f t="shared" si="10"/>
        <v>0</v>
      </c>
      <c r="H99" s="107"/>
      <c r="I99" s="64"/>
    </row>
    <row r="100" spans="2:9" x14ac:dyDescent="0.25">
      <c r="B100" s="2">
        <f t="shared" si="6"/>
        <v>84</v>
      </c>
      <c r="C100" s="14">
        <f t="shared" si="7"/>
        <v>0</v>
      </c>
      <c r="E100" s="64">
        <f t="shared" si="8"/>
        <v>0</v>
      </c>
      <c r="F100" s="64">
        <f t="shared" si="9"/>
        <v>0</v>
      </c>
      <c r="G100" s="64">
        <f t="shared" si="10"/>
        <v>0</v>
      </c>
      <c r="H100" s="107"/>
      <c r="I100" s="64"/>
    </row>
    <row r="101" spans="2:9" x14ac:dyDescent="0.25">
      <c r="B101" s="2">
        <f t="shared" si="6"/>
        <v>85</v>
      </c>
      <c r="C101" s="14">
        <f t="shared" si="7"/>
        <v>0</v>
      </c>
      <c r="E101" s="64">
        <f t="shared" si="8"/>
        <v>0</v>
      </c>
      <c r="F101" s="64">
        <f t="shared" si="9"/>
        <v>0</v>
      </c>
      <c r="G101" s="64">
        <f t="shared" si="10"/>
        <v>0</v>
      </c>
      <c r="H101" s="107"/>
      <c r="I101" s="64"/>
    </row>
    <row r="102" spans="2:9" x14ac:dyDescent="0.25">
      <c r="B102" s="2">
        <f t="shared" si="6"/>
        <v>86</v>
      </c>
      <c r="C102" s="14">
        <f t="shared" si="7"/>
        <v>0</v>
      </c>
      <c r="E102" s="64">
        <f t="shared" si="8"/>
        <v>0</v>
      </c>
      <c r="F102" s="64">
        <f t="shared" si="9"/>
        <v>0</v>
      </c>
      <c r="G102" s="64">
        <f t="shared" si="10"/>
        <v>0</v>
      </c>
      <c r="H102" s="107"/>
      <c r="I102" s="64"/>
    </row>
    <row r="103" spans="2:9" x14ac:dyDescent="0.25">
      <c r="B103" s="2">
        <f t="shared" si="6"/>
        <v>87</v>
      </c>
      <c r="C103" s="14">
        <f t="shared" si="7"/>
        <v>0</v>
      </c>
      <c r="E103" s="64">
        <f t="shared" si="8"/>
        <v>0</v>
      </c>
      <c r="F103" s="64">
        <f t="shared" si="9"/>
        <v>0</v>
      </c>
      <c r="G103" s="64">
        <f t="shared" si="10"/>
        <v>0</v>
      </c>
      <c r="H103" s="107"/>
      <c r="I103" s="64"/>
    </row>
    <row r="104" spans="2:9" x14ac:dyDescent="0.25">
      <c r="B104" s="2">
        <f t="shared" si="6"/>
        <v>88</v>
      </c>
      <c r="C104" s="14">
        <f t="shared" si="7"/>
        <v>0</v>
      </c>
      <c r="E104" s="64">
        <f t="shared" si="8"/>
        <v>0</v>
      </c>
      <c r="F104" s="64">
        <f t="shared" si="9"/>
        <v>0</v>
      </c>
      <c r="G104" s="64">
        <f t="shared" si="10"/>
        <v>0</v>
      </c>
      <c r="H104" s="107"/>
      <c r="I104" s="64"/>
    </row>
    <row r="105" spans="2:9" x14ac:dyDescent="0.25">
      <c r="B105" s="2">
        <f t="shared" si="6"/>
        <v>89</v>
      </c>
      <c r="C105" s="14">
        <f t="shared" si="7"/>
        <v>0</v>
      </c>
      <c r="E105" s="64">
        <f t="shared" si="8"/>
        <v>0</v>
      </c>
      <c r="F105" s="64">
        <f t="shared" si="9"/>
        <v>0</v>
      </c>
      <c r="G105" s="64">
        <f t="shared" si="10"/>
        <v>0</v>
      </c>
      <c r="H105" s="107"/>
      <c r="I105" s="64"/>
    </row>
    <row r="106" spans="2:9" x14ac:dyDescent="0.25">
      <c r="B106" s="2">
        <f t="shared" si="6"/>
        <v>90</v>
      </c>
      <c r="C106" s="14">
        <f t="shared" si="7"/>
        <v>0</v>
      </c>
      <c r="E106" s="64">
        <f t="shared" si="8"/>
        <v>0</v>
      </c>
      <c r="F106" s="64">
        <f t="shared" si="9"/>
        <v>0</v>
      </c>
      <c r="G106" s="64">
        <f t="shared" si="10"/>
        <v>0</v>
      </c>
      <c r="H106" s="107"/>
      <c r="I106" s="64"/>
    </row>
    <row r="107" spans="2:9" x14ac:dyDescent="0.25">
      <c r="B107" s="2">
        <f t="shared" si="6"/>
        <v>91</v>
      </c>
      <c r="C107" s="14">
        <f t="shared" si="7"/>
        <v>0</v>
      </c>
      <c r="E107" s="64">
        <f t="shared" si="8"/>
        <v>0</v>
      </c>
      <c r="F107" s="64">
        <f t="shared" si="9"/>
        <v>0</v>
      </c>
      <c r="G107" s="64">
        <f t="shared" si="10"/>
        <v>0</v>
      </c>
      <c r="H107" s="107"/>
      <c r="I107" s="64"/>
    </row>
    <row r="108" spans="2:9" x14ac:dyDescent="0.25">
      <c r="B108" s="2">
        <f t="shared" si="6"/>
        <v>92</v>
      </c>
      <c r="C108" s="14">
        <f t="shared" si="7"/>
        <v>0</v>
      </c>
      <c r="E108" s="64">
        <f t="shared" si="8"/>
        <v>0</v>
      </c>
      <c r="F108" s="64">
        <f t="shared" si="9"/>
        <v>0</v>
      </c>
      <c r="G108" s="64">
        <f t="shared" si="10"/>
        <v>0</v>
      </c>
      <c r="H108" s="107"/>
      <c r="I108" s="64"/>
    </row>
    <row r="109" spans="2:9" x14ac:dyDescent="0.25">
      <c r="B109" s="2">
        <f t="shared" si="6"/>
        <v>93</v>
      </c>
      <c r="C109" s="14">
        <f t="shared" si="7"/>
        <v>0</v>
      </c>
      <c r="E109" s="64">
        <f t="shared" si="8"/>
        <v>0</v>
      </c>
      <c r="F109" s="64">
        <f t="shared" si="9"/>
        <v>0</v>
      </c>
      <c r="G109" s="64">
        <f t="shared" si="10"/>
        <v>0</v>
      </c>
      <c r="H109" s="107"/>
      <c r="I109" s="64"/>
    </row>
    <row r="110" spans="2:9" x14ac:dyDescent="0.25">
      <c r="B110" s="2">
        <f t="shared" si="6"/>
        <v>94</v>
      </c>
      <c r="C110" s="14">
        <f t="shared" si="7"/>
        <v>0</v>
      </c>
      <c r="E110" s="64">
        <f t="shared" si="8"/>
        <v>0</v>
      </c>
      <c r="F110" s="64">
        <f t="shared" si="9"/>
        <v>0</v>
      </c>
      <c r="G110" s="64">
        <f t="shared" si="10"/>
        <v>0</v>
      </c>
      <c r="H110" s="107"/>
      <c r="I110" s="64"/>
    </row>
    <row r="111" spans="2:9" x14ac:dyDescent="0.25">
      <c r="B111" s="2">
        <f t="shared" si="6"/>
        <v>95</v>
      </c>
      <c r="C111" s="14">
        <f t="shared" si="7"/>
        <v>0</v>
      </c>
      <c r="E111" s="64">
        <f t="shared" si="8"/>
        <v>0</v>
      </c>
      <c r="F111" s="64">
        <f t="shared" si="9"/>
        <v>0</v>
      </c>
      <c r="G111" s="64">
        <f t="shared" si="10"/>
        <v>0</v>
      </c>
      <c r="H111" s="107"/>
      <c r="I111" s="64"/>
    </row>
    <row r="112" spans="2:9" x14ac:dyDescent="0.25">
      <c r="B112" s="2">
        <f t="shared" si="6"/>
        <v>96</v>
      </c>
      <c r="C112" s="14">
        <f t="shared" si="7"/>
        <v>0</v>
      </c>
      <c r="E112" s="64">
        <f t="shared" si="8"/>
        <v>0</v>
      </c>
      <c r="F112" s="64">
        <f t="shared" si="9"/>
        <v>0</v>
      </c>
      <c r="G112" s="64">
        <f t="shared" si="10"/>
        <v>0</v>
      </c>
      <c r="H112" s="107"/>
      <c r="I112" s="64"/>
    </row>
    <row r="113" spans="2:9" x14ac:dyDescent="0.25">
      <c r="B113" s="2">
        <f t="shared" si="6"/>
        <v>97</v>
      </c>
      <c r="C113" s="14">
        <f t="shared" si="7"/>
        <v>0</v>
      </c>
      <c r="E113" s="64">
        <f t="shared" si="8"/>
        <v>0</v>
      </c>
      <c r="F113" s="64">
        <f t="shared" si="9"/>
        <v>0</v>
      </c>
      <c r="G113" s="64">
        <f t="shared" si="10"/>
        <v>0</v>
      </c>
      <c r="H113" s="107"/>
      <c r="I113" s="64"/>
    </row>
    <row r="114" spans="2:9" x14ac:dyDescent="0.25">
      <c r="B114" s="2">
        <f t="shared" si="6"/>
        <v>98</v>
      </c>
      <c r="C114" s="14">
        <f t="shared" si="7"/>
        <v>0</v>
      </c>
      <c r="E114" s="64">
        <f t="shared" si="8"/>
        <v>0</v>
      </c>
      <c r="F114" s="64">
        <f t="shared" si="9"/>
        <v>0</v>
      </c>
      <c r="G114" s="64">
        <f t="shared" si="10"/>
        <v>0</v>
      </c>
      <c r="H114" s="107"/>
      <c r="I114" s="64"/>
    </row>
    <row r="115" spans="2:9" x14ac:dyDescent="0.25">
      <c r="B115" s="2">
        <f t="shared" si="6"/>
        <v>99</v>
      </c>
      <c r="C115" s="14">
        <f t="shared" si="7"/>
        <v>0</v>
      </c>
      <c r="E115" s="64">
        <f t="shared" si="8"/>
        <v>0</v>
      </c>
      <c r="F115" s="64">
        <f t="shared" si="9"/>
        <v>0</v>
      </c>
      <c r="G115" s="64">
        <f t="shared" si="10"/>
        <v>0</v>
      </c>
      <c r="H115" s="107"/>
      <c r="I115" s="64"/>
    </row>
    <row r="116" spans="2:9" x14ac:dyDescent="0.25">
      <c r="B116" s="2">
        <f t="shared" si="6"/>
        <v>100</v>
      </c>
      <c r="C116" s="14">
        <f t="shared" si="7"/>
        <v>0</v>
      </c>
      <c r="E116" s="64">
        <f t="shared" si="8"/>
        <v>0</v>
      </c>
      <c r="F116" s="64">
        <f t="shared" si="9"/>
        <v>0</v>
      </c>
      <c r="G116" s="64">
        <f t="shared" si="10"/>
        <v>0</v>
      </c>
      <c r="H116" s="107"/>
      <c r="I116" s="64"/>
    </row>
    <row r="117" spans="2:9" x14ac:dyDescent="0.25">
      <c r="B117" s="2">
        <f t="shared" si="6"/>
        <v>101</v>
      </c>
      <c r="C117" s="14">
        <f t="shared" si="7"/>
        <v>0</v>
      </c>
      <c r="E117" s="64">
        <f t="shared" si="8"/>
        <v>0</v>
      </c>
      <c r="F117" s="64">
        <f t="shared" si="9"/>
        <v>0</v>
      </c>
      <c r="G117" s="64">
        <f t="shared" si="10"/>
        <v>0</v>
      </c>
      <c r="H117" s="107"/>
      <c r="I117" s="64"/>
    </row>
    <row r="118" spans="2:9" x14ac:dyDescent="0.25">
      <c r="B118" s="2">
        <f t="shared" si="6"/>
        <v>102</v>
      </c>
      <c r="C118" s="14">
        <f t="shared" si="7"/>
        <v>0</v>
      </c>
      <c r="E118" s="64">
        <f t="shared" si="8"/>
        <v>0</v>
      </c>
      <c r="F118" s="64">
        <f t="shared" si="9"/>
        <v>0</v>
      </c>
      <c r="G118" s="64">
        <f t="shared" si="10"/>
        <v>0</v>
      </c>
      <c r="H118" s="107"/>
      <c r="I118" s="64"/>
    </row>
    <row r="119" spans="2:9" x14ac:dyDescent="0.25">
      <c r="B119" s="2">
        <f t="shared" si="6"/>
        <v>103</v>
      </c>
      <c r="C119" s="14">
        <f t="shared" si="7"/>
        <v>0</v>
      </c>
      <c r="E119" s="64">
        <f t="shared" si="8"/>
        <v>0</v>
      </c>
      <c r="F119" s="64">
        <f t="shared" si="9"/>
        <v>0</v>
      </c>
      <c r="G119" s="64">
        <f t="shared" si="10"/>
        <v>0</v>
      </c>
      <c r="H119" s="107"/>
      <c r="I119" s="64"/>
    </row>
    <row r="120" spans="2:9" x14ac:dyDescent="0.25">
      <c r="B120" s="2">
        <f t="shared" si="6"/>
        <v>104</v>
      </c>
      <c r="C120" s="14">
        <f t="shared" si="7"/>
        <v>0</v>
      </c>
      <c r="E120" s="64">
        <f t="shared" si="8"/>
        <v>0</v>
      </c>
      <c r="F120" s="64">
        <f t="shared" si="9"/>
        <v>0</v>
      </c>
      <c r="G120" s="64">
        <f t="shared" si="10"/>
        <v>0</v>
      </c>
      <c r="H120" s="107"/>
      <c r="I120" s="64"/>
    </row>
    <row r="121" spans="2:9" x14ac:dyDescent="0.25">
      <c r="B121" s="2">
        <f t="shared" si="6"/>
        <v>105</v>
      </c>
      <c r="C121" s="14">
        <f t="shared" si="7"/>
        <v>0</v>
      </c>
      <c r="E121" s="64">
        <f t="shared" si="8"/>
        <v>0</v>
      </c>
      <c r="F121" s="64">
        <f t="shared" si="9"/>
        <v>0</v>
      </c>
      <c r="G121" s="64">
        <f t="shared" si="10"/>
        <v>0</v>
      </c>
      <c r="H121" s="107"/>
      <c r="I121" s="64"/>
    </row>
    <row r="122" spans="2:9" x14ac:dyDescent="0.25">
      <c r="B122" s="2">
        <f t="shared" si="6"/>
        <v>106</v>
      </c>
      <c r="C122" s="14">
        <f t="shared" si="7"/>
        <v>0</v>
      </c>
      <c r="E122" s="64">
        <f t="shared" si="8"/>
        <v>0</v>
      </c>
      <c r="F122" s="64">
        <f t="shared" si="9"/>
        <v>0</v>
      </c>
      <c r="G122" s="64">
        <f t="shared" si="10"/>
        <v>0</v>
      </c>
      <c r="H122" s="107"/>
      <c r="I122" s="64"/>
    </row>
    <row r="123" spans="2:9" x14ac:dyDescent="0.25">
      <c r="B123" s="2">
        <f t="shared" si="6"/>
        <v>107</v>
      </c>
      <c r="C123" s="14">
        <f t="shared" si="7"/>
        <v>0</v>
      </c>
      <c r="E123" s="64">
        <f t="shared" si="8"/>
        <v>0</v>
      </c>
      <c r="F123" s="64">
        <f t="shared" si="9"/>
        <v>0</v>
      </c>
      <c r="G123" s="64">
        <f t="shared" si="10"/>
        <v>0</v>
      </c>
      <c r="H123" s="107"/>
      <c r="I123" s="64"/>
    </row>
    <row r="124" spans="2:9" x14ac:dyDescent="0.25">
      <c r="B124" s="2">
        <f t="shared" si="6"/>
        <v>108</v>
      </c>
      <c r="C124" s="14">
        <f t="shared" si="7"/>
        <v>0</v>
      </c>
      <c r="E124" s="64">
        <f t="shared" si="8"/>
        <v>0</v>
      </c>
      <c r="F124" s="64">
        <f t="shared" si="9"/>
        <v>0</v>
      </c>
      <c r="G124" s="64">
        <f t="shared" si="10"/>
        <v>0</v>
      </c>
      <c r="H124" s="107"/>
      <c r="I124" s="64"/>
    </row>
    <row r="125" spans="2:9" x14ac:dyDescent="0.25">
      <c r="B125" s="2">
        <f t="shared" si="6"/>
        <v>109</v>
      </c>
      <c r="C125" s="14">
        <f t="shared" si="7"/>
        <v>0</v>
      </c>
      <c r="E125" s="64">
        <f t="shared" si="8"/>
        <v>0</v>
      </c>
      <c r="F125" s="64">
        <f t="shared" si="9"/>
        <v>0</v>
      </c>
      <c r="G125" s="64">
        <f t="shared" si="10"/>
        <v>0</v>
      </c>
      <c r="H125" s="107"/>
      <c r="I125" s="64"/>
    </row>
    <row r="126" spans="2:9" x14ac:dyDescent="0.25">
      <c r="B126" s="2">
        <f t="shared" si="6"/>
        <v>110</v>
      </c>
      <c r="C126" s="14">
        <f t="shared" si="7"/>
        <v>0</v>
      </c>
      <c r="E126" s="64">
        <f t="shared" si="8"/>
        <v>0</v>
      </c>
      <c r="F126" s="64">
        <f t="shared" si="9"/>
        <v>0</v>
      </c>
      <c r="G126" s="64">
        <f t="shared" si="10"/>
        <v>0</v>
      </c>
      <c r="H126" s="107"/>
      <c r="I126" s="64"/>
    </row>
    <row r="127" spans="2:9" x14ac:dyDescent="0.25">
      <c r="B127" s="2">
        <f t="shared" si="6"/>
        <v>111</v>
      </c>
      <c r="C127" s="14">
        <f t="shared" si="7"/>
        <v>0</v>
      </c>
      <c r="E127" s="64">
        <f t="shared" si="8"/>
        <v>0</v>
      </c>
      <c r="F127" s="64">
        <f t="shared" si="9"/>
        <v>0</v>
      </c>
      <c r="G127" s="64">
        <f t="shared" si="10"/>
        <v>0</v>
      </c>
      <c r="H127" s="107"/>
      <c r="I127" s="64"/>
    </row>
    <row r="128" spans="2:9" x14ac:dyDescent="0.25">
      <c r="B128" s="2">
        <f t="shared" si="6"/>
        <v>112</v>
      </c>
      <c r="C128" s="14">
        <f t="shared" si="7"/>
        <v>0</v>
      </c>
      <c r="E128" s="64">
        <f t="shared" si="8"/>
        <v>0</v>
      </c>
      <c r="F128" s="64">
        <f t="shared" si="9"/>
        <v>0</v>
      </c>
      <c r="G128" s="64">
        <f t="shared" si="10"/>
        <v>0</v>
      </c>
      <c r="H128" s="107"/>
      <c r="I128" s="64"/>
    </row>
    <row r="129" spans="2:9" x14ac:dyDescent="0.25">
      <c r="B129" s="2">
        <f t="shared" si="6"/>
        <v>113</v>
      </c>
      <c r="C129" s="14">
        <f t="shared" si="7"/>
        <v>0</v>
      </c>
      <c r="E129" s="64">
        <f t="shared" si="8"/>
        <v>0</v>
      </c>
      <c r="F129" s="64">
        <f t="shared" si="9"/>
        <v>0</v>
      </c>
      <c r="G129" s="64">
        <f t="shared" si="10"/>
        <v>0</v>
      </c>
      <c r="H129" s="107"/>
      <c r="I129" s="64"/>
    </row>
    <row r="130" spans="2:9" x14ac:dyDescent="0.25">
      <c r="B130" s="2">
        <f t="shared" si="6"/>
        <v>114</v>
      </c>
      <c r="C130" s="14">
        <f t="shared" si="7"/>
        <v>0</v>
      </c>
      <c r="E130" s="64">
        <f t="shared" si="8"/>
        <v>0</v>
      </c>
      <c r="F130" s="64">
        <f t="shared" si="9"/>
        <v>0</v>
      </c>
      <c r="G130" s="64">
        <f t="shared" si="10"/>
        <v>0</v>
      </c>
      <c r="H130" s="107"/>
      <c r="I130" s="64"/>
    </row>
    <row r="131" spans="2:9" x14ac:dyDescent="0.25">
      <c r="B131" s="2">
        <f t="shared" si="6"/>
        <v>115</v>
      </c>
      <c r="C131" s="14">
        <f t="shared" si="7"/>
        <v>0</v>
      </c>
      <c r="E131" s="64">
        <f t="shared" si="8"/>
        <v>0</v>
      </c>
      <c r="F131" s="64">
        <f t="shared" si="9"/>
        <v>0</v>
      </c>
      <c r="G131" s="64">
        <f t="shared" si="10"/>
        <v>0</v>
      </c>
      <c r="H131" s="107"/>
      <c r="I131" s="64"/>
    </row>
    <row r="132" spans="2:9" x14ac:dyDescent="0.25">
      <c r="B132" s="2">
        <f t="shared" si="6"/>
        <v>116</v>
      </c>
      <c r="C132" s="14">
        <f t="shared" si="7"/>
        <v>0</v>
      </c>
      <c r="E132" s="64">
        <f t="shared" si="8"/>
        <v>0</v>
      </c>
      <c r="F132" s="64">
        <f t="shared" si="9"/>
        <v>0</v>
      </c>
      <c r="G132" s="64">
        <f t="shared" si="10"/>
        <v>0</v>
      </c>
      <c r="H132" s="107"/>
      <c r="I132" s="64"/>
    </row>
    <row r="133" spans="2:9" x14ac:dyDescent="0.25">
      <c r="B133" s="2">
        <f t="shared" si="6"/>
        <v>117</v>
      </c>
      <c r="C133" s="14">
        <f t="shared" si="7"/>
        <v>0</v>
      </c>
      <c r="E133" s="64">
        <f t="shared" si="8"/>
        <v>0</v>
      </c>
      <c r="F133" s="64">
        <f t="shared" si="9"/>
        <v>0</v>
      </c>
      <c r="G133" s="64">
        <f t="shared" si="10"/>
        <v>0</v>
      </c>
      <c r="H133" s="107"/>
      <c r="I133" s="64"/>
    </row>
    <row r="134" spans="2:9" x14ac:dyDescent="0.25">
      <c r="B134" s="2">
        <f t="shared" si="6"/>
        <v>118</v>
      </c>
      <c r="C134" s="14">
        <f t="shared" si="7"/>
        <v>0</v>
      </c>
      <c r="E134" s="64">
        <f t="shared" si="8"/>
        <v>0</v>
      </c>
      <c r="F134" s="64">
        <f t="shared" si="9"/>
        <v>0</v>
      </c>
      <c r="G134" s="64">
        <f t="shared" si="10"/>
        <v>0</v>
      </c>
      <c r="H134" s="107"/>
      <c r="I134" s="64"/>
    </row>
    <row r="135" spans="2:9" x14ac:dyDescent="0.25">
      <c r="B135" s="2">
        <f t="shared" si="6"/>
        <v>119</v>
      </c>
      <c r="C135" s="14">
        <f t="shared" si="7"/>
        <v>0</v>
      </c>
      <c r="E135" s="64">
        <f t="shared" si="8"/>
        <v>0</v>
      </c>
      <c r="F135" s="64">
        <f t="shared" si="9"/>
        <v>0</v>
      </c>
      <c r="G135" s="64">
        <f t="shared" si="10"/>
        <v>0</v>
      </c>
      <c r="H135" s="107"/>
      <c r="I135" s="64"/>
    </row>
    <row r="136" spans="2:9" x14ac:dyDescent="0.25">
      <c r="B136" s="2">
        <f t="shared" si="6"/>
        <v>120</v>
      </c>
      <c r="C136" s="14">
        <f t="shared" si="7"/>
        <v>0</v>
      </c>
      <c r="E136" s="64">
        <f t="shared" si="8"/>
        <v>0</v>
      </c>
      <c r="F136" s="64">
        <f t="shared" si="9"/>
        <v>0</v>
      </c>
      <c r="G136" s="64">
        <f t="shared" si="10"/>
        <v>0</v>
      </c>
      <c r="H136" s="107"/>
      <c r="I136" s="64"/>
    </row>
    <row r="137" spans="2:9" x14ac:dyDescent="0.25">
      <c r="B137" s="2">
        <f t="shared" si="6"/>
        <v>121</v>
      </c>
      <c r="C137" s="14">
        <f t="shared" si="7"/>
        <v>0</v>
      </c>
      <c r="E137" s="64">
        <f t="shared" si="8"/>
        <v>0</v>
      </c>
      <c r="F137" s="64">
        <f t="shared" si="9"/>
        <v>0</v>
      </c>
      <c r="G137" s="64">
        <f t="shared" si="10"/>
        <v>0</v>
      </c>
      <c r="H137" s="107"/>
      <c r="I137" s="64"/>
    </row>
    <row r="138" spans="2:9" x14ac:dyDescent="0.25">
      <c r="B138" s="2">
        <f t="shared" si="6"/>
        <v>122</v>
      </c>
      <c r="C138" s="14">
        <f t="shared" si="7"/>
        <v>0</v>
      </c>
      <c r="E138" s="64">
        <f t="shared" si="8"/>
        <v>0</v>
      </c>
      <c r="F138" s="64">
        <f t="shared" si="9"/>
        <v>0</v>
      </c>
      <c r="G138" s="64">
        <f t="shared" si="10"/>
        <v>0</v>
      </c>
      <c r="H138" s="107"/>
      <c r="I138" s="64"/>
    </row>
    <row r="139" spans="2:9" x14ac:dyDescent="0.25">
      <c r="B139" s="2">
        <f t="shared" si="6"/>
        <v>123</v>
      </c>
      <c r="C139" s="14">
        <f t="shared" si="7"/>
        <v>0</v>
      </c>
      <c r="E139" s="64">
        <f t="shared" si="8"/>
        <v>0</v>
      </c>
      <c r="F139" s="64">
        <f t="shared" si="9"/>
        <v>0</v>
      </c>
      <c r="G139" s="64">
        <f t="shared" si="10"/>
        <v>0</v>
      </c>
      <c r="H139" s="107"/>
      <c r="I139" s="64"/>
    </row>
    <row r="140" spans="2:9" x14ac:dyDescent="0.25">
      <c r="B140" s="2">
        <f t="shared" si="6"/>
        <v>124</v>
      </c>
      <c r="C140" s="14">
        <f t="shared" si="7"/>
        <v>0</v>
      </c>
      <c r="E140" s="64">
        <f t="shared" si="8"/>
        <v>0</v>
      </c>
      <c r="F140" s="64">
        <f t="shared" si="9"/>
        <v>0</v>
      </c>
      <c r="G140" s="64">
        <f t="shared" si="10"/>
        <v>0</v>
      </c>
      <c r="H140" s="107"/>
      <c r="I140" s="64"/>
    </row>
    <row r="141" spans="2:9" x14ac:dyDescent="0.25">
      <c r="B141" s="2">
        <f t="shared" si="6"/>
        <v>125</v>
      </c>
      <c r="C141" s="14">
        <f t="shared" si="7"/>
        <v>0</v>
      </c>
      <c r="E141" s="64">
        <f t="shared" si="8"/>
        <v>0</v>
      </c>
      <c r="F141" s="64">
        <f t="shared" si="9"/>
        <v>0</v>
      </c>
      <c r="G141" s="64">
        <f t="shared" si="10"/>
        <v>0</v>
      </c>
      <c r="H141" s="107"/>
      <c r="I141" s="64"/>
    </row>
    <row r="142" spans="2:9" x14ac:dyDescent="0.25">
      <c r="B142" s="2">
        <f t="shared" si="6"/>
        <v>126</v>
      </c>
      <c r="C142" s="14">
        <f t="shared" si="7"/>
        <v>0</v>
      </c>
      <c r="E142" s="64">
        <f t="shared" si="8"/>
        <v>0</v>
      </c>
      <c r="F142" s="64">
        <f t="shared" si="9"/>
        <v>0</v>
      </c>
      <c r="G142" s="64">
        <f t="shared" si="10"/>
        <v>0</v>
      </c>
      <c r="H142" s="107"/>
      <c r="I142" s="64"/>
    </row>
    <row r="143" spans="2:9" x14ac:dyDescent="0.25">
      <c r="B143" s="2">
        <f t="shared" si="6"/>
        <v>127</v>
      </c>
      <c r="C143" s="14">
        <f t="shared" si="7"/>
        <v>0</v>
      </c>
      <c r="E143" s="64">
        <f t="shared" si="8"/>
        <v>0</v>
      </c>
      <c r="F143" s="64">
        <f t="shared" si="9"/>
        <v>0</v>
      </c>
      <c r="G143" s="64">
        <f t="shared" si="10"/>
        <v>0</v>
      </c>
      <c r="H143" s="107"/>
      <c r="I143" s="64"/>
    </row>
    <row r="144" spans="2:9" x14ac:dyDescent="0.25">
      <c r="B144" s="2">
        <f t="shared" si="6"/>
        <v>128</v>
      </c>
      <c r="C144" s="14">
        <f t="shared" si="7"/>
        <v>0</v>
      </c>
      <c r="E144" s="64">
        <f t="shared" si="8"/>
        <v>0</v>
      </c>
      <c r="F144" s="64">
        <f t="shared" si="9"/>
        <v>0</v>
      </c>
      <c r="G144" s="64">
        <f t="shared" si="10"/>
        <v>0</v>
      </c>
      <c r="H144" s="107"/>
      <c r="I144" s="64"/>
    </row>
    <row r="145" spans="2:9" x14ac:dyDescent="0.25">
      <c r="B145" s="2">
        <f t="shared" si="6"/>
        <v>129</v>
      </c>
      <c r="C145" s="14">
        <f t="shared" si="7"/>
        <v>0</v>
      </c>
      <c r="E145" s="64">
        <f t="shared" si="8"/>
        <v>0</v>
      </c>
      <c r="F145" s="64">
        <f t="shared" si="9"/>
        <v>0</v>
      </c>
      <c r="G145" s="64">
        <f t="shared" si="10"/>
        <v>0</v>
      </c>
      <c r="H145" s="107"/>
      <c r="I145" s="64"/>
    </row>
    <row r="146" spans="2:9" x14ac:dyDescent="0.25">
      <c r="B146" s="2">
        <f t="shared" ref="B146:B209" si="11">B145+1</f>
        <v>130</v>
      </c>
      <c r="C146" s="14">
        <f t="shared" ref="C146:C209" si="12">$E$8</f>
        <v>0</v>
      </c>
      <c r="E146" s="64">
        <f t="shared" ref="E146:E209" si="13">G145*$E$9/12</f>
        <v>0</v>
      </c>
      <c r="F146" s="64">
        <f t="shared" ref="F146:F209" si="14">C146-E146</f>
        <v>0</v>
      </c>
      <c r="G146" s="64">
        <f t="shared" ref="G146:G209" si="15">G145-F146</f>
        <v>0</v>
      </c>
      <c r="H146" s="107"/>
      <c r="I146" s="64"/>
    </row>
    <row r="147" spans="2:9" x14ac:dyDescent="0.25">
      <c r="B147" s="2">
        <f t="shared" si="11"/>
        <v>131</v>
      </c>
      <c r="C147" s="14">
        <f t="shared" si="12"/>
        <v>0</v>
      </c>
      <c r="E147" s="64">
        <f t="shared" si="13"/>
        <v>0</v>
      </c>
      <c r="F147" s="64">
        <f t="shared" si="14"/>
        <v>0</v>
      </c>
      <c r="G147" s="64">
        <f t="shared" si="15"/>
        <v>0</v>
      </c>
      <c r="H147" s="107"/>
      <c r="I147" s="64"/>
    </row>
    <row r="148" spans="2:9" x14ac:dyDescent="0.25">
      <c r="B148" s="2">
        <f t="shared" si="11"/>
        <v>132</v>
      </c>
      <c r="C148" s="14">
        <f t="shared" si="12"/>
        <v>0</v>
      </c>
      <c r="E148" s="64">
        <f t="shared" si="13"/>
        <v>0</v>
      </c>
      <c r="F148" s="64">
        <f t="shared" si="14"/>
        <v>0</v>
      </c>
      <c r="G148" s="64">
        <f t="shared" si="15"/>
        <v>0</v>
      </c>
      <c r="H148" s="107"/>
      <c r="I148" s="64"/>
    </row>
    <row r="149" spans="2:9" x14ac:dyDescent="0.25">
      <c r="B149" s="2">
        <f t="shared" si="11"/>
        <v>133</v>
      </c>
      <c r="C149" s="14">
        <f t="shared" si="12"/>
        <v>0</v>
      </c>
      <c r="E149" s="64">
        <f t="shared" si="13"/>
        <v>0</v>
      </c>
      <c r="F149" s="64">
        <f t="shared" si="14"/>
        <v>0</v>
      </c>
      <c r="G149" s="64">
        <f t="shared" si="15"/>
        <v>0</v>
      </c>
      <c r="H149" s="107"/>
      <c r="I149" s="64"/>
    </row>
    <row r="150" spans="2:9" x14ac:dyDescent="0.25">
      <c r="B150" s="2">
        <f t="shared" si="11"/>
        <v>134</v>
      </c>
      <c r="C150" s="14">
        <f t="shared" si="12"/>
        <v>0</v>
      </c>
      <c r="E150" s="64">
        <f t="shared" si="13"/>
        <v>0</v>
      </c>
      <c r="F150" s="64">
        <f t="shared" si="14"/>
        <v>0</v>
      </c>
      <c r="G150" s="64">
        <f t="shared" si="15"/>
        <v>0</v>
      </c>
      <c r="H150" s="107"/>
      <c r="I150" s="64"/>
    </row>
    <row r="151" spans="2:9" x14ac:dyDescent="0.25">
      <c r="B151" s="2">
        <f t="shared" si="11"/>
        <v>135</v>
      </c>
      <c r="C151" s="14">
        <f t="shared" si="12"/>
        <v>0</v>
      </c>
      <c r="E151" s="64">
        <f t="shared" si="13"/>
        <v>0</v>
      </c>
      <c r="F151" s="64">
        <f t="shared" si="14"/>
        <v>0</v>
      </c>
      <c r="G151" s="64">
        <f t="shared" si="15"/>
        <v>0</v>
      </c>
      <c r="H151" s="107"/>
      <c r="I151" s="64"/>
    </row>
    <row r="152" spans="2:9" x14ac:dyDescent="0.25">
      <c r="B152" s="2">
        <f t="shared" si="11"/>
        <v>136</v>
      </c>
      <c r="C152" s="14">
        <f t="shared" si="12"/>
        <v>0</v>
      </c>
      <c r="E152" s="64">
        <f t="shared" si="13"/>
        <v>0</v>
      </c>
      <c r="F152" s="64">
        <f t="shared" si="14"/>
        <v>0</v>
      </c>
      <c r="G152" s="64">
        <f t="shared" si="15"/>
        <v>0</v>
      </c>
      <c r="H152" s="107"/>
      <c r="I152" s="64"/>
    </row>
    <row r="153" spans="2:9" x14ac:dyDescent="0.25">
      <c r="B153" s="2">
        <f t="shared" si="11"/>
        <v>137</v>
      </c>
      <c r="C153" s="14">
        <f t="shared" si="12"/>
        <v>0</v>
      </c>
      <c r="E153" s="64">
        <f t="shared" si="13"/>
        <v>0</v>
      </c>
      <c r="F153" s="64">
        <f t="shared" si="14"/>
        <v>0</v>
      </c>
      <c r="G153" s="64">
        <f t="shared" si="15"/>
        <v>0</v>
      </c>
      <c r="H153" s="107"/>
      <c r="I153" s="64"/>
    </row>
    <row r="154" spans="2:9" x14ac:dyDescent="0.25">
      <c r="B154" s="2">
        <f t="shared" si="11"/>
        <v>138</v>
      </c>
      <c r="C154" s="14">
        <f t="shared" si="12"/>
        <v>0</v>
      </c>
      <c r="E154" s="64">
        <f t="shared" si="13"/>
        <v>0</v>
      </c>
      <c r="F154" s="64">
        <f t="shared" si="14"/>
        <v>0</v>
      </c>
      <c r="G154" s="64">
        <f t="shared" si="15"/>
        <v>0</v>
      </c>
      <c r="H154" s="107"/>
      <c r="I154" s="64"/>
    </row>
    <row r="155" spans="2:9" x14ac:dyDescent="0.25">
      <c r="B155" s="2">
        <f t="shared" si="11"/>
        <v>139</v>
      </c>
      <c r="C155" s="14">
        <f t="shared" si="12"/>
        <v>0</v>
      </c>
      <c r="E155" s="64">
        <f t="shared" si="13"/>
        <v>0</v>
      </c>
      <c r="F155" s="64">
        <f t="shared" si="14"/>
        <v>0</v>
      </c>
      <c r="G155" s="64">
        <f t="shared" si="15"/>
        <v>0</v>
      </c>
      <c r="H155" s="107"/>
      <c r="I155" s="64"/>
    </row>
    <row r="156" spans="2:9" x14ac:dyDescent="0.25">
      <c r="B156" s="2">
        <f t="shared" si="11"/>
        <v>140</v>
      </c>
      <c r="C156" s="14">
        <f t="shared" si="12"/>
        <v>0</v>
      </c>
      <c r="E156" s="64">
        <f t="shared" si="13"/>
        <v>0</v>
      </c>
      <c r="F156" s="64">
        <f t="shared" si="14"/>
        <v>0</v>
      </c>
      <c r="G156" s="64">
        <f t="shared" si="15"/>
        <v>0</v>
      </c>
      <c r="H156" s="107"/>
      <c r="I156" s="64"/>
    </row>
    <row r="157" spans="2:9" x14ac:dyDescent="0.25">
      <c r="B157" s="2">
        <f t="shared" si="11"/>
        <v>141</v>
      </c>
      <c r="C157" s="14">
        <f t="shared" si="12"/>
        <v>0</v>
      </c>
      <c r="E157" s="64">
        <f t="shared" si="13"/>
        <v>0</v>
      </c>
      <c r="F157" s="64">
        <f t="shared" si="14"/>
        <v>0</v>
      </c>
      <c r="G157" s="64">
        <f t="shared" si="15"/>
        <v>0</v>
      </c>
      <c r="H157" s="107"/>
      <c r="I157" s="64"/>
    </row>
    <row r="158" spans="2:9" x14ac:dyDescent="0.25">
      <c r="B158" s="2">
        <f t="shared" si="11"/>
        <v>142</v>
      </c>
      <c r="C158" s="14">
        <f t="shared" si="12"/>
        <v>0</v>
      </c>
      <c r="E158" s="64">
        <f t="shared" si="13"/>
        <v>0</v>
      </c>
      <c r="F158" s="64">
        <f t="shared" si="14"/>
        <v>0</v>
      </c>
      <c r="G158" s="64">
        <f t="shared" si="15"/>
        <v>0</v>
      </c>
      <c r="H158" s="107"/>
      <c r="I158" s="64"/>
    </row>
    <row r="159" spans="2:9" x14ac:dyDescent="0.25">
      <c r="B159" s="2">
        <f t="shared" si="11"/>
        <v>143</v>
      </c>
      <c r="C159" s="14">
        <f t="shared" si="12"/>
        <v>0</v>
      </c>
      <c r="E159" s="64">
        <f t="shared" si="13"/>
        <v>0</v>
      </c>
      <c r="F159" s="64">
        <f t="shared" si="14"/>
        <v>0</v>
      </c>
      <c r="G159" s="64">
        <f t="shared" si="15"/>
        <v>0</v>
      </c>
      <c r="H159" s="107"/>
      <c r="I159" s="64"/>
    </row>
    <row r="160" spans="2:9" x14ac:dyDescent="0.25">
      <c r="B160" s="2">
        <f t="shared" si="11"/>
        <v>144</v>
      </c>
      <c r="C160" s="14">
        <f t="shared" si="12"/>
        <v>0</v>
      </c>
      <c r="E160" s="64">
        <f t="shared" si="13"/>
        <v>0</v>
      </c>
      <c r="F160" s="64">
        <f t="shared" si="14"/>
        <v>0</v>
      </c>
      <c r="G160" s="64">
        <f t="shared" si="15"/>
        <v>0</v>
      </c>
      <c r="H160" s="107"/>
      <c r="I160" s="64"/>
    </row>
    <row r="161" spans="2:9" x14ac:dyDescent="0.25">
      <c r="B161" s="2">
        <f t="shared" si="11"/>
        <v>145</v>
      </c>
      <c r="C161" s="14">
        <f t="shared" si="12"/>
        <v>0</v>
      </c>
      <c r="E161" s="64">
        <f t="shared" si="13"/>
        <v>0</v>
      </c>
      <c r="F161" s="64">
        <f t="shared" si="14"/>
        <v>0</v>
      </c>
      <c r="G161" s="64">
        <f t="shared" si="15"/>
        <v>0</v>
      </c>
      <c r="H161" s="107"/>
      <c r="I161" s="64"/>
    </row>
    <row r="162" spans="2:9" x14ac:dyDescent="0.25">
      <c r="B162" s="2">
        <f t="shared" si="11"/>
        <v>146</v>
      </c>
      <c r="C162" s="14">
        <f t="shared" si="12"/>
        <v>0</v>
      </c>
      <c r="E162" s="64">
        <f t="shared" si="13"/>
        <v>0</v>
      </c>
      <c r="F162" s="64">
        <f t="shared" si="14"/>
        <v>0</v>
      </c>
      <c r="G162" s="64">
        <f t="shared" si="15"/>
        <v>0</v>
      </c>
      <c r="H162" s="107"/>
      <c r="I162" s="64"/>
    </row>
    <row r="163" spans="2:9" x14ac:dyDescent="0.25">
      <c r="B163" s="2">
        <f t="shared" si="11"/>
        <v>147</v>
      </c>
      <c r="C163" s="14">
        <f t="shared" si="12"/>
        <v>0</v>
      </c>
      <c r="E163" s="64">
        <f t="shared" si="13"/>
        <v>0</v>
      </c>
      <c r="F163" s="64">
        <f t="shared" si="14"/>
        <v>0</v>
      </c>
      <c r="G163" s="64">
        <f t="shared" si="15"/>
        <v>0</v>
      </c>
      <c r="H163" s="107"/>
      <c r="I163" s="64"/>
    </row>
    <row r="164" spans="2:9" x14ac:dyDescent="0.25">
      <c r="B164" s="2">
        <f t="shared" si="11"/>
        <v>148</v>
      </c>
      <c r="C164" s="14">
        <f t="shared" si="12"/>
        <v>0</v>
      </c>
      <c r="E164" s="64">
        <f t="shared" si="13"/>
        <v>0</v>
      </c>
      <c r="F164" s="64">
        <f t="shared" si="14"/>
        <v>0</v>
      </c>
      <c r="G164" s="64">
        <f t="shared" si="15"/>
        <v>0</v>
      </c>
      <c r="H164" s="107"/>
      <c r="I164" s="64"/>
    </row>
    <row r="165" spans="2:9" x14ac:dyDescent="0.25">
      <c r="B165" s="2">
        <f t="shared" si="11"/>
        <v>149</v>
      </c>
      <c r="C165" s="14">
        <f t="shared" si="12"/>
        <v>0</v>
      </c>
      <c r="E165" s="64">
        <f t="shared" si="13"/>
        <v>0</v>
      </c>
      <c r="F165" s="64">
        <f t="shared" si="14"/>
        <v>0</v>
      </c>
      <c r="G165" s="64">
        <f t="shared" si="15"/>
        <v>0</v>
      </c>
      <c r="H165" s="107"/>
      <c r="I165" s="64"/>
    </row>
    <row r="166" spans="2:9" x14ac:dyDescent="0.25">
      <c r="B166" s="2">
        <f t="shared" si="11"/>
        <v>150</v>
      </c>
      <c r="C166" s="14">
        <f t="shared" si="12"/>
        <v>0</v>
      </c>
      <c r="E166" s="64">
        <f t="shared" si="13"/>
        <v>0</v>
      </c>
      <c r="F166" s="64">
        <f t="shared" si="14"/>
        <v>0</v>
      </c>
      <c r="G166" s="64">
        <f t="shared" si="15"/>
        <v>0</v>
      </c>
      <c r="H166" s="107"/>
      <c r="I166" s="64"/>
    </row>
    <row r="167" spans="2:9" x14ac:dyDescent="0.25">
      <c r="B167" s="2">
        <f t="shared" si="11"/>
        <v>151</v>
      </c>
      <c r="C167" s="14">
        <f t="shared" si="12"/>
        <v>0</v>
      </c>
      <c r="E167" s="64">
        <f t="shared" si="13"/>
        <v>0</v>
      </c>
      <c r="F167" s="64">
        <f t="shared" si="14"/>
        <v>0</v>
      </c>
      <c r="G167" s="64">
        <f t="shared" si="15"/>
        <v>0</v>
      </c>
      <c r="H167" s="107"/>
      <c r="I167" s="64"/>
    </row>
    <row r="168" spans="2:9" x14ac:dyDescent="0.25">
      <c r="B168" s="2">
        <f t="shared" si="11"/>
        <v>152</v>
      </c>
      <c r="C168" s="14">
        <f t="shared" si="12"/>
        <v>0</v>
      </c>
      <c r="E168" s="64">
        <f t="shared" si="13"/>
        <v>0</v>
      </c>
      <c r="F168" s="64">
        <f t="shared" si="14"/>
        <v>0</v>
      </c>
      <c r="G168" s="64">
        <f t="shared" si="15"/>
        <v>0</v>
      </c>
      <c r="H168" s="107"/>
      <c r="I168" s="64"/>
    </row>
    <row r="169" spans="2:9" x14ac:dyDescent="0.25">
      <c r="B169" s="2">
        <f t="shared" si="11"/>
        <v>153</v>
      </c>
      <c r="C169" s="14">
        <f t="shared" si="12"/>
        <v>0</v>
      </c>
      <c r="E169" s="64">
        <f t="shared" si="13"/>
        <v>0</v>
      </c>
      <c r="F169" s="64">
        <f t="shared" si="14"/>
        <v>0</v>
      </c>
      <c r="G169" s="64">
        <f t="shared" si="15"/>
        <v>0</v>
      </c>
      <c r="H169" s="107"/>
      <c r="I169" s="64"/>
    </row>
    <row r="170" spans="2:9" x14ac:dyDescent="0.25">
      <c r="B170" s="2">
        <f t="shared" si="11"/>
        <v>154</v>
      </c>
      <c r="C170" s="14">
        <f t="shared" si="12"/>
        <v>0</v>
      </c>
      <c r="E170" s="64">
        <f t="shared" si="13"/>
        <v>0</v>
      </c>
      <c r="F170" s="64">
        <f t="shared" si="14"/>
        <v>0</v>
      </c>
      <c r="G170" s="64">
        <f t="shared" si="15"/>
        <v>0</v>
      </c>
      <c r="H170" s="107"/>
      <c r="I170" s="64"/>
    </row>
    <row r="171" spans="2:9" x14ac:dyDescent="0.25">
      <c r="B171" s="2">
        <f t="shared" si="11"/>
        <v>155</v>
      </c>
      <c r="C171" s="14">
        <f t="shared" si="12"/>
        <v>0</v>
      </c>
      <c r="E171" s="64">
        <f t="shared" si="13"/>
        <v>0</v>
      </c>
      <c r="F171" s="64">
        <f t="shared" si="14"/>
        <v>0</v>
      </c>
      <c r="G171" s="64">
        <f t="shared" si="15"/>
        <v>0</v>
      </c>
      <c r="H171" s="107"/>
      <c r="I171" s="64"/>
    </row>
    <row r="172" spans="2:9" x14ac:dyDescent="0.25">
      <c r="B172" s="2">
        <f t="shared" si="11"/>
        <v>156</v>
      </c>
      <c r="C172" s="14">
        <f t="shared" si="12"/>
        <v>0</v>
      </c>
      <c r="E172" s="64">
        <f t="shared" si="13"/>
        <v>0</v>
      </c>
      <c r="F172" s="64">
        <f t="shared" si="14"/>
        <v>0</v>
      </c>
      <c r="G172" s="64">
        <f t="shared" si="15"/>
        <v>0</v>
      </c>
      <c r="H172" s="107"/>
      <c r="I172" s="64"/>
    </row>
    <row r="173" spans="2:9" x14ac:dyDescent="0.25">
      <c r="B173" s="2">
        <f t="shared" si="11"/>
        <v>157</v>
      </c>
      <c r="C173" s="14">
        <f t="shared" si="12"/>
        <v>0</v>
      </c>
      <c r="E173" s="64">
        <f t="shared" si="13"/>
        <v>0</v>
      </c>
      <c r="F173" s="64">
        <f t="shared" si="14"/>
        <v>0</v>
      </c>
      <c r="G173" s="64">
        <f t="shared" si="15"/>
        <v>0</v>
      </c>
      <c r="H173" s="107"/>
      <c r="I173" s="64"/>
    </row>
    <row r="174" spans="2:9" x14ac:dyDescent="0.25">
      <c r="B174" s="2">
        <f t="shared" si="11"/>
        <v>158</v>
      </c>
      <c r="C174" s="14">
        <f t="shared" si="12"/>
        <v>0</v>
      </c>
      <c r="E174" s="64">
        <f t="shared" si="13"/>
        <v>0</v>
      </c>
      <c r="F174" s="64">
        <f t="shared" si="14"/>
        <v>0</v>
      </c>
      <c r="G174" s="64">
        <f t="shared" si="15"/>
        <v>0</v>
      </c>
      <c r="H174" s="107"/>
      <c r="I174" s="64"/>
    </row>
    <row r="175" spans="2:9" x14ac:dyDescent="0.25">
      <c r="B175" s="2">
        <f t="shared" si="11"/>
        <v>159</v>
      </c>
      <c r="C175" s="14">
        <f t="shared" si="12"/>
        <v>0</v>
      </c>
      <c r="E175" s="64">
        <f t="shared" si="13"/>
        <v>0</v>
      </c>
      <c r="F175" s="64">
        <f t="shared" si="14"/>
        <v>0</v>
      </c>
      <c r="G175" s="64">
        <f t="shared" si="15"/>
        <v>0</v>
      </c>
      <c r="H175" s="107"/>
      <c r="I175" s="64"/>
    </row>
    <row r="176" spans="2:9" x14ac:dyDescent="0.25">
      <c r="B176" s="2">
        <f t="shared" si="11"/>
        <v>160</v>
      </c>
      <c r="C176" s="14">
        <f t="shared" si="12"/>
        <v>0</v>
      </c>
      <c r="E176" s="64">
        <f t="shared" si="13"/>
        <v>0</v>
      </c>
      <c r="F176" s="64">
        <f t="shared" si="14"/>
        <v>0</v>
      </c>
      <c r="G176" s="64">
        <f t="shared" si="15"/>
        <v>0</v>
      </c>
      <c r="H176" s="107"/>
      <c r="I176" s="64"/>
    </row>
    <row r="177" spans="2:9" x14ac:dyDescent="0.25">
      <c r="B177" s="2">
        <f t="shared" si="11"/>
        <v>161</v>
      </c>
      <c r="C177" s="14">
        <f t="shared" si="12"/>
        <v>0</v>
      </c>
      <c r="E177" s="64">
        <f t="shared" si="13"/>
        <v>0</v>
      </c>
      <c r="F177" s="64">
        <f t="shared" si="14"/>
        <v>0</v>
      </c>
      <c r="G177" s="64">
        <f t="shared" si="15"/>
        <v>0</v>
      </c>
      <c r="H177" s="107"/>
      <c r="I177" s="64"/>
    </row>
    <row r="178" spans="2:9" x14ac:dyDescent="0.25">
      <c r="B178" s="2">
        <f t="shared" si="11"/>
        <v>162</v>
      </c>
      <c r="C178" s="14">
        <f t="shared" si="12"/>
        <v>0</v>
      </c>
      <c r="E178" s="64">
        <f t="shared" si="13"/>
        <v>0</v>
      </c>
      <c r="F178" s="64">
        <f t="shared" si="14"/>
        <v>0</v>
      </c>
      <c r="G178" s="64">
        <f t="shared" si="15"/>
        <v>0</v>
      </c>
      <c r="H178" s="107"/>
      <c r="I178" s="64"/>
    </row>
    <row r="179" spans="2:9" x14ac:dyDescent="0.25">
      <c r="B179" s="2">
        <f t="shared" si="11"/>
        <v>163</v>
      </c>
      <c r="C179" s="14">
        <f t="shared" si="12"/>
        <v>0</v>
      </c>
      <c r="E179" s="64">
        <f t="shared" si="13"/>
        <v>0</v>
      </c>
      <c r="F179" s="64">
        <f t="shared" si="14"/>
        <v>0</v>
      </c>
      <c r="G179" s="64">
        <f t="shared" si="15"/>
        <v>0</v>
      </c>
      <c r="H179" s="107"/>
      <c r="I179" s="64"/>
    </row>
    <row r="180" spans="2:9" x14ac:dyDescent="0.25">
      <c r="B180" s="2">
        <f t="shared" si="11"/>
        <v>164</v>
      </c>
      <c r="C180" s="14">
        <f t="shared" si="12"/>
        <v>0</v>
      </c>
      <c r="E180" s="64">
        <f t="shared" si="13"/>
        <v>0</v>
      </c>
      <c r="F180" s="64">
        <f t="shared" si="14"/>
        <v>0</v>
      </c>
      <c r="G180" s="64">
        <f t="shared" si="15"/>
        <v>0</v>
      </c>
      <c r="H180" s="107"/>
      <c r="I180" s="64"/>
    </row>
    <row r="181" spans="2:9" x14ac:dyDescent="0.25">
      <c r="B181" s="2">
        <f t="shared" si="11"/>
        <v>165</v>
      </c>
      <c r="C181" s="14">
        <f t="shared" si="12"/>
        <v>0</v>
      </c>
      <c r="E181" s="64">
        <f t="shared" si="13"/>
        <v>0</v>
      </c>
      <c r="F181" s="64">
        <f t="shared" si="14"/>
        <v>0</v>
      </c>
      <c r="G181" s="64">
        <f t="shared" si="15"/>
        <v>0</v>
      </c>
      <c r="H181" s="107"/>
      <c r="I181" s="64"/>
    </row>
    <row r="182" spans="2:9" x14ac:dyDescent="0.25">
      <c r="B182" s="2">
        <f t="shared" si="11"/>
        <v>166</v>
      </c>
      <c r="C182" s="14">
        <f t="shared" si="12"/>
        <v>0</v>
      </c>
      <c r="E182" s="64">
        <f t="shared" si="13"/>
        <v>0</v>
      </c>
      <c r="F182" s="64">
        <f t="shared" si="14"/>
        <v>0</v>
      </c>
      <c r="G182" s="64">
        <f t="shared" si="15"/>
        <v>0</v>
      </c>
      <c r="H182" s="107"/>
      <c r="I182" s="64"/>
    </row>
    <row r="183" spans="2:9" x14ac:dyDescent="0.25">
      <c r="B183" s="2">
        <f t="shared" si="11"/>
        <v>167</v>
      </c>
      <c r="C183" s="14">
        <f t="shared" si="12"/>
        <v>0</v>
      </c>
      <c r="E183" s="64">
        <f t="shared" si="13"/>
        <v>0</v>
      </c>
      <c r="F183" s="64">
        <f t="shared" si="14"/>
        <v>0</v>
      </c>
      <c r="G183" s="64">
        <f t="shared" si="15"/>
        <v>0</v>
      </c>
      <c r="H183" s="107"/>
      <c r="I183" s="64"/>
    </row>
    <row r="184" spans="2:9" x14ac:dyDescent="0.25">
      <c r="B184" s="2">
        <f t="shared" si="11"/>
        <v>168</v>
      </c>
      <c r="C184" s="14">
        <f t="shared" si="12"/>
        <v>0</v>
      </c>
      <c r="E184" s="64">
        <f t="shared" si="13"/>
        <v>0</v>
      </c>
      <c r="F184" s="64">
        <f t="shared" si="14"/>
        <v>0</v>
      </c>
      <c r="G184" s="64">
        <f t="shared" si="15"/>
        <v>0</v>
      </c>
      <c r="H184" s="107"/>
      <c r="I184" s="64"/>
    </row>
    <row r="185" spans="2:9" x14ac:dyDescent="0.25">
      <c r="B185" s="2">
        <f t="shared" si="11"/>
        <v>169</v>
      </c>
      <c r="C185" s="14">
        <f t="shared" si="12"/>
        <v>0</v>
      </c>
      <c r="E185" s="64">
        <f t="shared" si="13"/>
        <v>0</v>
      </c>
      <c r="F185" s="64">
        <f t="shared" si="14"/>
        <v>0</v>
      </c>
      <c r="G185" s="64">
        <f t="shared" si="15"/>
        <v>0</v>
      </c>
      <c r="H185" s="107"/>
      <c r="I185" s="64"/>
    </row>
    <row r="186" spans="2:9" x14ac:dyDescent="0.25">
      <c r="B186" s="2">
        <f t="shared" si="11"/>
        <v>170</v>
      </c>
      <c r="C186" s="14">
        <f t="shared" si="12"/>
        <v>0</v>
      </c>
      <c r="E186" s="64">
        <f t="shared" si="13"/>
        <v>0</v>
      </c>
      <c r="F186" s="64">
        <f t="shared" si="14"/>
        <v>0</v>
      </c>
      <c r="G186" s="64">
        <f t="shared" si="15"/>
        <v>0</v>
      </c>
      <c r="H186" s="107"/>
      <c r="I186" s="64"/>
    </row>
    <row r="187" spans="2:9" x14ac:dyDescent="0.25">
      <c r="B187" s="2">
        <f t="shared" si="11"/>
        <v>171</v>
      </c>
      <c r="C187" s="14">
        <f t="shared" si="12"/>
        <v>0</v>
      </c>
      <c r="E187" s="64">
        <f t="shared" si="13"/>
        <v>0</v>
      </c>
      <c r="F187" s="64">
        <f t="shared" si="14"/>
        <v>0</v>
      </c>
      <c r="G187" s="64">
        <f t="shared" si="15"/>
        <v>0</v>
      </c>
      <c r="H187" s="107"/>
      <c r="I187" s="64"/>
    </row>
    <row r="188" spans="2:9" x14ac:dyDescent="0.25">
      <c r="B188" s="2">
        <f t="shared" si="11"/>
        <v>172</v>
      </c>
      <c r="C188" s="14">
        <f t="shared" si="12"/>
        <v>0</v>
      </c>
      <c r="E188" s="64">
        <f t="shared" si="13"/>
        <v>0</v>
      </c>
      <c r="F188" s="64">
        <f t="shared" si="14"/>
        <v>0</v>
      </c>
      <c r="G188" s="64">
        <f t="shared" si="15"/>
        <v>0</v>
      </c>
      <c r="H188" s="107"/>
      <c r="I188" s="64"/>
    </row>
    <row r="189" spans="2:9" x14ac:dyDescent="0.25">
      <c r="B189" s="2">
        <f t="shared" si="11"/>
        <v>173</v>
      </c>
      <c r="C189" s="14">
        <f t="shared" si="12"/>
        <v>0</v>
      </c>
      <c r="E189" s="64">
        <f t="shared" si="13"/>
        <v>0</v>
      </c>
      <c r="F189" s="64">
        <f t="shared" si="14"/>
        <v>0</v>
      </c>
      <c r="G189" s="64">
        <f t="shared" si="15"/>
        <v>0</v>
      </c>
      <c r="H189" s="107"/>
      <c r="I189" s="64"/>
    </row>
    <row r="190" spans="2:9" x14ac:dyDescent="0.25">
      <c r="B190" s="2">
        <f t="shared" si="11"/>
        <v>174</v>
      </c>
      <c r="C190" s="14">
        <f t="shared" si="12"/>
        <v>0</v>
      </c>
      <c r="E190" s="64">
        <f t="shared" si="13"/>
        <v>0</v>
      </c>
      <c r="F190" s="64">
        <f t="shared" si="14"/>
        <v>0</v>
      </c>
      <c r="G190" s="64">
        <f t="shared" si="15"/>
        <v>0</v>
      </c>
      <c r="H190" s="107"/>
      <c r="I190" s="64"/>
    </row>
    <row r="191" spans="2:9" x14ac:dyDescent="0.25">
      <c r="B191" s="2">
        <f t="shared" si="11"/>
        <v>175</v>
      </c>
      <c r="C191" s="14">
        <f t="shared" si="12"/>
        <v>0</v>
      </c>
      <c r="E191" s="64">
        <f t="shared" si="13"/>
        <v>0</v>
      </c>
      <c r="F191" s="64">
        <f t="shared" si="14"/>
        <v>0</v>
      </c>
      <c r="G191" s="64">
        <f t="shared" si="15"/>
        <v>0</v>
      </c>
      <c r="H191" s="107"/>
      <c r="I191" s="64"/>
    </row>
    <row r="192" spans="2:9" x14ac:dyDescent="0.25">
      <c r="B192" s="2">
        <f t="shared" si="11"/>
        <v>176</v>
      </c>
      <c r="C192" s="14">
        <f t="shared" si="12"/>
        <v>0</v>
      </c>
      <c r="E192" s="64">
        <f t="shared" si="13"/>
        <v>0</v>
      </c>
      <c r="F192" s="64">
        <f t="shared" si="14"/>
        <v>0</v>
      </c>
      <c r="G192" s="64">
        <f t="shared" si="15"/>
        <v>0</v>
      </c>
      <c r="H192" s="107"/>
      <c r="I192" s="64"/>
    </row>
    <row r="193" spans="2:9" x14ac:dyDescent="0.25">
      <c r="B193" s="2">
        <f t="shared" si="11"/>
        <v>177</v>
      </c>
      <c r="C193" s="14">
        <f t="shared" si="12"/>
        <v>0</v>
      </c>
      <c r="E193" s="64">
        <f t="shared" si="13"/>
        <v>0</v>
      </c>
      <c r="F193" s="64">
        <f t="shared" si="14"/>
        <v>0</v>
      </c>
      <c r="G193" s="64">
        <f t="shared" si="15"/>
        <v>0</v>
      </c>
      <c r="H193" s="107"/>
      <c r="I193" s="64"/>
    </row>
    <row r="194" spans="2:9" x14ac:dyDescent="0.25">
      <c r="B194" s="2">
        <f t="shared" si="11"/>
        <v>178</v>
      </c>
      <c r="C194" s="14">
        <f t="shared" si="12"/>
        <v>0</v>
      </c>
      <c r="E194" s="64">
        <f t="shared" si="13"/>
        <v>0</v>
      </c>
      <c r="F194" s="64">
        <f t="shared" si="14"/>
        <v>0</v>
      </c>
      <c r="G194" s="64">
        <f t="shared" si="15"/>
        <v>0</v>
      </c>
      <c r="H194" s="107"/>
      <c r="I194" s="64"/>
    </row>
    <row r="195" spans="2:9" x14ac:dyDescent="0.25">
      <c r="B195" s="2">
        <f t="shared" si="11"/>
        <v>179</v>
      </c>
      <c r="C195" s="14">
        <f t="shared" si="12"/>
        <v>0</v>
      </c>
      <c r="E195" s="64">
        <f t="shared" si="13"/>
        <v>0</v>
      </c>
      <c r="F195" s="64">
        <f t="shared" si="14"/>
        <v>0</v>
      </c>
      <c r="G195" s="64">
        <f t="shared" si="15"/>
        <v>0</v>
      </c>
      <c r="H195" s="107"/>
      <c r="I195" s="64"/>
    </row>
    <row r="196" spans="2:9" x14ac:dyDescent="0.25">
      <c r="B196" s="2">
        <f t="shared" si="11"/>
        <v>180</v>
      </c>
      <c r="C196" s="14">
        <f t="shared" si="12"/>
        <v>0</v>
      </c>
      <c r="E196" s="64">
        <f t="shared" si="13"/>
        <v>0</v>
      </c>
      <c r="F196" s="64">
        <f t="shared" si="14"/>
        <v>0</v>
      </c>
      <c r="G196" s="64">
        <f t="shared" si="15"/>
        <v>0</v>
      </c>
      <c r="H196" s="107"/>
      <c r="I196" s="64"/>
    </row>
    <row r="197" spans="2:9" x14ac:dyDescent="0.25">
      <c r="B197" s="2">
        <f t="shared" si="11"/>
        <v>181</v>
      </c>
      <c r="C197" s="14">
        <f t="shared" si="12"/>
        <v>0</v>
      </c>
      <c r="E197" s="64">
        <f t="shared" si="13"/>
        <v>0</v>
      </c>
      <c r="F197" s="64">
        <f t="shared" si="14"/>
        <v>0</v>
      </c>
      <c r="G197" s="64">
        <f t="shared" si="15"/>
        <v>0</v>
      </c>
      <c r="H197" s="107"/>
      <c r="I197" s="64"/>
    </row>
    <row r="198" spans="2:9" x14ac:dyDescent="0.25">
      <c r="B198" s="2">
        <f t="shared" si="11"/>
        <v>182</v>
      </c>
      <c r="C198" s="14">
        <f t="shared" si="12"/>
        <v>0</v>
      </c>
      <c r="E198" s="64">
        <f t="shared" si="13"/>
        <v>0</v>
      </c>
      <c r="F198" s="64">
        <f t="shared" si="14"/>
        <v>0</v>
      </c>
      <c r="G198" s="64">
        <f t="shared" si="15"/>
        <v>0</v>
      </c>
      <c r="H198" s="107"/>
      <c r="I198" s="64"/>
    </row>
    <row r="199" spans="2:9" x14ac:dyDescent="0.25">
      <c r="B199" s="2">
        <f t="shared" si="11"/>
        <v>183</v>
      </c>
      <c r="C199" s="14">
        <f t="shared" si="12"/>
        <v>0</v>
      </c>
      <c r="E199" s="64">
        <f t="shared" si="13"/>
        <v>0</v>
      </c>
      <c r="F199" s="64">
        <f t="shared" si="14"/>
        <v>0</v>
      </c>
      <c r="G199" s="64">
        <f t="shared" si="15"/>
        <v>0</v>
      </c>
      <c r="H199" s="107"/>
      <c r="I199" s="64"/>
    </row>
    <row r="200" spans="2:9" x14ac:dyDescent="0.25">
      <c r="B200" s="2">
        <f t="shared" si="11"/>
        <v>184</v>
      </c>
      <c r="C200" s="14">
        <f t="shared" si="12"/>
        <v>0</v>
      </c>
      <c r="E200" s="64">
        <f t="shared" si="13"/>
        <v>0</v>
      </c>
      <c r="F200" s="64">
        <f t="shared" si="14"/>
        <v>0</v>
      </c>
      <c r="G200" s="64">
        <f t="shared" si="15"/>
        <v>0</v>
      </c>
      <c r="H200" s="107"/>
      <c r="I200" s="64"/>
    </row>
    <row r="201" spans="2:9" x14ac:dyDescent="0.25">
      <c r="B201" s="2">
        <f t="shared" si="11"/>
        <v>185</v>
      </c>
      <c r="C201" s="14">
        <f t="shared" si="12"/>
        <v>0</v>
      </c>
      <c r="E201" s="64">
        <f t="shared" si="13"/>
        <v>0</v>
      </c>
      <c r="F201" s="64">
        <f t="shared" si="14"/>
        <v>0</v>
      </c>
      <c r="G201" s="64">
        <f t="shared" si="15"/>
        <v>0</v>
      </c>
      <c r="H201" s="107"/>
      <c r="I201" s="64"/>
    </row>
    <row r="202" spans="2:9" x14ac:dyDescent="0.25">
      <c r="B202" s="2">
        <f t="shared" si="11"/>
        <v>186</v>
      </c>
      <c r="C202" s="14">
        <f t="shared" si="12"/>
        <v>0</v>
      </c>
      <c r="E202" s="64">
        <f t="shared" si="13"/>
        <v>0</v>
      </c>
      <c r="F202" s="64">
        <f t="shared" si="14"/>
        <v>0</v>
      </c>
      <c r="G202" s="64">
        <f t="shared" si="15"/>
        <v>0</v>
      </c>
      <c r="H202" s="107"/>
      <c r="I202" s="64"/>
    </row>
    <row r="203" spans="2:9" x14ac:dyDescent="0.25">
      <c r="B203" s="2">
        <f t="shared" si="11"/>
        <v>187</v>
      </c>
      <c r="C203" s="14">
        <f t="shared" si="12"/>
        <v>0</v>
      </c>
      <c r="E203" s="64">
        <f t="shared" si="13"/>
        <v>0</v>
      </c>
      <c r="F203" s="64">
        <f t="shared" si="14"/>
        <v>0</v>
      </c>
      <c r="G203" s="64">
        <f t="shared" si="15"/>
        <v>0</v>
      </c>
      <c r="H203" s="107"/>
      <c r="I203" s="64"/>
    </row>
    <row r="204" spans="2:9" x14ac:dyDescent="0.25">
      <c r="B204" s="2">
        <f t="shared" si="11"/>
        <v>188</v>
      </c>
      <c r="C204" s="14">
        <f t="shared" si="12"/>
        <v>0</v>
      </c>
      <c r="E204" s="64">
        <f t="shared" si="13"/>
        <v>0</v>
      </c>
      <c r="F204" s="64">
        <f t="shared" si="14"/>
        <v>0</v>
      </c>
      <c r="G204" s="64">
        <f t="shared" si="15"/>
        <v>0</v>
      </c>
      <c r="H204" s="107"/>
      <c r="I204" s="64"/>
    </row>
    <row r="205" spans="2:9" x14ac:dyDescent="0.25">
      <c r="B205" s="2">
        <f t="shared" si="11"/>
        <v>189</v>
      </c>
      <c r="C205" s="14">
        <f t="shared" si="12"/>
        <v>0</v>
      </c>
      <c r="E205" s="64">
        <f t="shared" si="13"/>
        <v>0</v>
      </c>
      <c r="F205" s="64">
        <f t="shared" si="14"/>
        <v>0</v>
      </c>
      <c r="G205" s="64">
        <f t="shared" si="15"/>
        <v>0</v>
      </c>
      <c r="H205" s="107"/>
      <c r="I205" s="64"/>
    </row>
    <row r="206" spans="2:9" x14ac:dyDescent="0.25">
      <c r="B206" s="2">
        <f t="shared" si="11"/>
        <v>190</v>
      </c>
      <c r="C206" s="14">
        <f t="shared" si="12"/>
        <v>0</v>
      </c>
      <c r="E206" s="64">
        <f t="shared" si="13"/>
        <v>0</v>
      </c>
      <c r="F206" s="64">
        <f t="shared" si="14"/>
        <v>0</v>
      </c>
      <c r="G206" s="64">
        <f t="shared" si="15"/>
        <v>0</v>
      </c>
      <c r="H206" s="107"/>
      <c r="I206" s="64"/>
    </row>
    <row r="207" spans="2:9" x14ac:dyDescent="0.25">
      <c r="B207" s="2">
        <f t="shared" si="11"/>
        <v>191</v>
      </c>
      <c r="C207" s="14">
        <f t="shared" si="12"/>
        <v>0</v>
      </c>
      <c r="E207" s="64">
        <f t="shared" si="13"/>
        <v>0</v>
      </c>
      <c r="F207" s="64">
        <f t="shared" si="14"/>
        <v>0</v>
      </c>
      <c r="G207" s="64">
        <f t="shared" si="15"/>
        <v>0</v>
      </c>
      <c r="H207" s="107"/>
      <c r="I207" s="64"/>
    </row>
    <row r="208" spans="2:9" x14ac:dyDescent="0.25">
      <c r="B208" s="2">
        <f t="shared" si="11"/>
        <v>192</v>
      </c>
      <c r="C208" s="14">
        <f t="shared" si="12"/>
        <v>0</v>
      </c>
      <c r="E208" s="64">
        <f t="shared" si="13"/>
        <v>0</v>
      </c>
      <c r="F208" s="64">
        <f t="shared" si="14"/>
        <v>0</v>
      </c>
      <c r="G208" s="64">
        <f t="shared" si="15"/>
        <v>0</v>
      </c>
      <c r="H208" s="107"/>
      <c r="I208" s="64"/>
    </row>
    <row r="209" spans="2:9" x14ac:dyDescent="0.25">
      <c r="B209" s="2">
        <f t="shared" si="11"/>
        <v>193</v>
      </c>
      <c r="C209" s="14">
        <f t="shared" si="12"/>
        <v>0</v>
      </c>
      <c r="E209" s="64">
        <f t="shared" si="13"/>
        <v>0</v>
      </c>
      <c r="F209" s="64">
        <f t="shared" si="14"/>
        <v>0</v>
      </c>
      <c r="G209" s="64">
        <f t="shared" si="15"/>
        <v>0</v>
      </c>
      <c r="H209" s="107"/>
      <c r="I209" s="64"/>
    </row>
    <row r="210" spans="2:9" x14ac:dyDescent="0.25">
      <c r="B210" s="2">
        <f t="shared" ref="B210:B256" si="16">B209+1</f>
        <v>194</v>
      </c>
      <c r="C210" s="14">
        <f t="shared" ref="C210:C256" si="17">$E$8</f>
        <v>0</v>
      </c>
      <c r="E210" s="64">
        <f t="shared" ref="E210:E256" si="18">G209*$E$9/12</f>
        <v>0</v>
      </c>
      <c r="F210" s="64">
        <f t="shared" ref="F210:F256" si="19">C210-E210</f>
        <v>0</v>
      </c>
      <c r="G210" s="64">
        <f t="shared" ref="G210:G256" si="20">G209-F210</f>
        <v>0</v>
      </c>
      <c r="H210" s="107"/>
      <c r="I210" s="64"/>
    </row>
    <row r="211" spans="2:9" x14ac:dyDescent="0.25">
      <c r="B211" s="2">
        <f t="shared" si="16"/>
        <v>195</v>
      </c>
      <c r="C211" s="14">
        <f t="shared" si="17"/>
        <v>0</v>
      </c>
      <c r="E211" s="64">
        <f t="shared" si="18"/>
        <v>0</v>
      </c>
      <c r="F211" s="64">
        <f t="shared" si="19"/>
        <v>0</v>
      </c>
      <c r="G211" s="64">
        <f t="shared" si="20"/>
        <v>0</v>
      </c>
      <c r="H211" s="107"/>
      <c r="I211" s="64"/>
    </row>
    <row r="212" spans="2:9" x14ac:dyDescent="0.25">
      <c r="B212" s="2">
        <f t="shared" si="16"/>
        <v>196</v>
      </c>
      <c r="C212" s="14">
        <f t="shared" si="17"/>
        <v>0</v>
      </c>
      <c r="E212" s="64">
        <f t="shared" si="18"/>
        <v>0</v>
      </c>
      <c r="F212" s="64">
        <f t="shared" si="19"/>
        <v>0</v>
      </c>
      <c r="G212" s="64">
        <f t="shared" si="20"/>
        <v>0</v>
      </c>
      <c r="H212" s="107"/>
      <c r="I212" s="64"/>
    </row>
    <row r="213" spans="2:9" x14ac:dyDescent="0.25">
      <c r="B213" s="2">
        <f t="shared" si="16"/>
        <v>197</v>
      </c>
      <c r="C213" s="14">
        <f t="shared" si="17"/>
        <v>0</v>
      </c>
      <c r="E213" s="64">
        <f t="shared" si="18"/>
        <v>0</v>
      </c>
      <c r="F213" s="64">
        <f t="shared" si="19"/>
        <v>0</v>
      </c>
      <c r="G213" s="64">
        <f t="shared" si="20"/>
        <v>0</v>
      </c>
      <c r="H213" s="107"/>
      <c r="I213" s="64"/>
    </row>
    <row r="214" spans="2:9" x14ac:dyDescent="0.25">
      <c r="B214" s="2">
        <f t="shared" si="16"/>
        <v>198</v>
      </c>
      <c r="C214" s="14">
        <f t="shared" si="17"/>
        <v>0</v>
      </c>
      <c r="E214" s="64">
        <f t="shared" si="18"/>
        <v>0</v>
      </c>
      <c r="F214" s="64">
        <f t="shared" si="19"/>
        <v>0</v>
      </c>
      <c r="G214" s="64">
        <f t="shared" si="20"/>
        <v>0</v>
      </c>
      <c r="H214" s="107"/>
      <c r="I214" s="64"/>
    </row>
    <row r="215" spans="2:9" x14ac:dyDescent="0.25">
      <c r="B215" s="2">
        <f t="shared" si="16"/>
        <v>199</v>
      </c>
      <c r="C215" s="14">
        <f t="shared" si="17"/>
        <v>0</v>
      </c>
      <c r="E215" s="64">
        <f t="shared" si="18"/>
        <v>0</v>
      </c>
      <c r="F215" s="64">
        <f t="shared" si="19"/>
        <v>0</v>
      </c>
      <c r="G215" s="64">
        <f t="shared" si="20"/>
        <v>0</v>
      </c>
      <c r="H215" s="107"/>
      <c r="I215" s="64"/>
    </row>
    <row r="216" spans="2:9" x14ac:dyDescent="0.25">
      <c r="B216" s="2">
        <f t="shared" si="16"/>
        <v>200</v>
      </c>
      <c r="C216" s="14">
        <f t="shared" si="17"/>
        <v>0</v>
      </c>
      <c r="E216" s="64">
        <f t="shared" si="18"/>
        <v>0</v>
      </c>
      <c r="F216" s="64">
        <f t="shared" si="19"/>
        <v>0</v>
      </c>
      <c r="G216" s="64">
        <f t="shared" si="20"/>
        <v>0</v>
      </c>
      <c r="H216" s="107"/>
      <c r="I216" s="64"/>
    </row>
    <row r="217" spans="2:9" x14ac:dyDescent="0.25">
      <c r="B217" s="2">
        <f t="shared" si="16"/>
        <v>201</v>
      </c>
      <c r="C217" s="14">
        <f t="shared" si="17"/>
        <v>0</v>
      </c>
      <c r="E217" s="64">
        <f t="shared" si="18"/>
        <v>0</v>
      </c>
      <c r="F217" s="64">
        <f t="shared" si="19"/>
        <v>0</v>
      </c>
      <c r="G217" s="64">
        <f t="shared" si="20"/>
        <v>0</v>
      </c>
      <c r="H217" s="107"/>
      <c r="I217" s="64"/>
    </row>
    <row r="218" spans="2:9" x14ac:dyDescent="0.25">
      <c r="B218" s="2">
        <f t="shared" si="16"/>
        <v>202</v>
      </c>
      <c r="C218" s="14">
        <f t="shared" si="17"/>
        <v>0</v>
      </c>
      <c r="E218" s="64">
        <f t="shared" si="18"/>
        <v>0</v>
      </c>
      <c r="F218" s="64">
        <f t="shared" si="19"/>
        <v>0</v>
      </c>
      <c r="G218" s="64">
        <f t="shared" si="20"/>
        <v>0</v>
      </c>
      <c r="H218" s="107"/>
      <c r="I218" s="64"/>
    </row>
    <row r="219" spans="2:9" x14ac:dyDescent="0.25">
      <c r="B219" s="2">
        <f t="shared" si="16"/>
        <v>203</v>
      </c>
      <c r="C219" s="14">
        <f t="shared" si="17"/>
        <v>0</v>
      </c>
      <c r="E219" s="64">
        <f t="shared" si="18"/>
        <v>0</v>
      </c>
      <c r="F219" s="64">
        <f t="shared" si="19"/>
        <v>0</v>
      </c>
      <c r="G219" s="64">
        <f t="shared" si="20"/>
        <v>0</v>
      </c>
      <c r="H219" s="107"/>
      <c r="I219" s="64"/>
    </row>
    <row r="220" spans="2:9" x14ac:dyDescent="0.25">
      <c r="B220" s="2">
        <f t="shared" si="16"/>
        <v>204</v>
      </c>
      <c r="C220" s="14">
        <f t="shared" si="17"/>
        <v>0</v>
      </c>
      <c r="E220" s="64">
        <f t="shared" si="18"/>
        <v>0</v>
      </c>
      <c r="F220" s="64">
        <f t="shared" si="19"/>
        <v>0</v>
      </c>
      <c r="G220" s="64">
        <f t="shared" si="20"/>
        <v>0</v>
      </c>
      <c r="H220" s="107"/>
      <c r="I220" s="64"/>
    </row>
    <row r="221" spans="2:9" x14ac:dyDescent="0.25">
      <c r="B221" s="2">
        <f t="shared" si="16"/>
        <v>205</v>
      </c>
      <c r="C221" s="14">
        <f t="shared" si="17"/>
        <v>0</v>
      </c>
      <c r="E221" s="64">
        <f t="shared" si="18"/>
        <v>0</v>
      </c>
      <c r="F221" s="64">
        <f t="shared" si="19"/>
        <v>0</v>
      </c>
      <c r="G221" s="64">
        <f t="shared" si="20"/>
        <v>0</v>
      </c>
      <c r="H221" s="107"/>
      <c r="I221" s="64"/>
    </row>
    <row r="222" spans="2:9" x14ac:dyDescent="0.25">
      <c r="B222" s="2">
        <f t="shared" si="16"/>
        <v>206</v>
      </c>
      <c r="C222" s="14">
        <f t="shared" si="17"/>
        <v>0</v>
      </c>
      <c r="E222" s="64">
        <f t="shared" si="18"/>
        <v>0</v>
      </c>
      <c r="F222" s="64">
        <f t="shared" si="19"/>
        <v>0</v>
      </c>
      <c r="G222" s="64">
        <f t="shared" si="20"/>
        <v>0</v>
      </c>
      <c r="H222" s="107"/>
      <c r="I222" s="64"/>
    </row>
    <row r="223" spans="2:9" x14ac:dyDescent="0.25">
      <c r="B223" s="2">
        <f t="shared" si="16"/>
        <v>207</v>
      </c>
      <c r="C223" s="14">
        <f t="shared" si="17"/>
        <v>0</v>
      </c>
      <c r="E223" s="64">
        <f t="shared" si="18"/>
        <v>0</v>
      </c>
      <c r="F223" s="64">
        <f t="shared" si="19"/>
        <v>0</v>
      </c>
      <c r="G223" s="64">
        <f t="shared" si="20"/>
        <v>0</v>
      </c>
      <c r="H223" s="107"/>
      <c r="I223" s="64"/>
    </row>
    <row r="224" spans="2:9" x14ac:dyDescent="0.25">
      <c r="B224" s="2">
        <f t="shared" si="16"/>
        <v>208</v>
      </c>
      <c r="C224" s="14">
        <f t="shared" si="17"/>
        <v>0</v>
      </c>
      <c r="E224" s="64">
        <f t="shared" si="18"/>
        <v>0</v>
      </c>
      <c r="F224" s="64">
        <f t="shared" si="19"/>
        <v>0</v>
      </c>
      <c r="G224" s="64">
        <f t="shared" si="20"/>
        <v>0</v>
      </c>
      <c r="H224" s="107"/>
      <c r="I224" s="64"/>
    </row>
    <row r="225" spans="2:9" x14ac:dyDescent="0.25">
      <c r="B225" s="2">
        <f t="shared" si="16"/>
        <v>209</v>
      </c>
      <c r="C225" s="14">
        <f t="shared" si="17"/>
        <v>0</v>
      </c>
      <c r="E225" s="64">
        <f t="shared" si="18"/>
        <v>0</v>
      </c>
      <c r="F225" s="64">
        <f t="shared" si="19"/>
        <v>0</v>
      </c>
      <c r="G225" s="64">
        <f t="shared" si="20"/>
        <v>0</v>
      </c>
      <c r="H225" s="107"/>
      <c r="I225" s="64"/>
    </row>
    <row r="226" spans="2:9" x14ac:dyDescent="0.25">
      <c r="B226" s="2">
        <f t="shared" si="16"/>
        <v>210</v>
      </c>
      <c r="C226" s="14">
        <f t="shared" si="17"/>
        <v>0</v>
      </c>
      <c r="E226" s="64">
        <f t="shared" si="18"/>
        <v>0</v>
      </c>
      <c r="F226" s="64">
        <f t="shared" si="19"/>
        <v>0</v>
      </c>
      <c r="G226" s="64">
        <f t="shared" si="20"/>
        <v>0</v>
      </c>
      <c r="H226" s="107"/>
      <c r="I226" s="64"/>
    </row>
    <row r="227" spans="2:9" x14ac:dyDescent="0.25">
      <c r="B227" s="2">
        <f t="shared" si="16"/>
        <v>211</v>
      </c>
      <c r="C227" s="14">
        <f t="shared" si="17"/>
        <v>0</v>
      </c>
      <c r="E227" s="64">
        <f t="shared" si="18"/>
        <v>0</v>
      </c>
      <c r="F227" s="64">
        <f t="shared" si="19"/>
        <v>0</v>
      </c>
      <c r="G227" s="64">
        <f t="shared" si="20"/>
        <v>0</v>
      </c>
      <c r="H227" s="107"/>
      <c r="I227" s="64"/>
    </row>
    <row r="228" spans="2:9" x14ac:dyDescent="0.25">
      <c r="B228" s="2">
        <f t="shared" si="16"/>
        <v>212</v>
      </c>
      <c r="C228" s="14">
        <f t="shared" si="17"/>
        <v>0</v>
      </c>
      <c r="E228" s="64">
        <f t="shared" si="18"/>
        <v>0</v>
      </c>
      <c r="F228" s="64">
        <f t="shared" si="19"/>
        <v>0</v>
      </c>
      <c r="G228" s="64">
        <f t="shared" si="20"/>
        <v>0</v>
      </c>
      <c r="H228" s="107"/>
      <c r="I228" s="64"/>
    </row>
    <row r="229" spans="2:9" x14ac:dyDescent="0.25">
      <c r="B229" s="2">
        <f t="shared" si="16"/>
        <v>213</v>
      </c>
      <c r="C229" s="14">
        <f t="shared" si="17"/>
        <v>0</v>
      </c>
      <c r="E229" s="64">
        <f t="shared" si="18"/>
        <v>0</v>
      </c>
      <c r="F229" s="64">
        <f t="shared" si="19"/>
        <v>0</v>
      </c>
      <c r="G229" s="64">
        <f t="shared" si="20"/>
        <v>0</v>
      </c>
      <c r="H229" s="107"/>
      <c r="I229" s="64"/>
    </row>
    <row r="230" spans="2:9" x14ac:dyDescent="0.25">
      <c r="B230" s="2">
        <f t="shared" si="16"/>
        <v>214</v>
      </c>
      <c r="C230" s="14">
        <f t="shared" si="17"/>
        <v>0</v>
      </c>
      <c r="E230" s="64">
        <f t="shared" si="18"/>
        <v>0</v>
      </c>
      <c r="F230" s="64">
        <f t="shared" si="19"/>
        <v>0</v>
      </c>
      <c r="G230" s="64">
        <f t="shared" si="20"/>
        <v>0</v>
      </c>
      <c r="H230" s="107"/>
      <c r="I230" s="64"/>
    </row>
    <row r="231" spans="2:9" x14ac:dyDescent="0.25">
      <c r="B231" s="2">
        <f t="shared" si="16"/>
        <v>215</v>
      </c>
      <c r="C231" s="14">
        <f t="shared" si="17"/>
        <v>0</v>
      </c>
      <c r="E231" s="64">
        <f t="shared" si="18"/>
        <v>0</v>
      </c>
      <c r="F231" s="64">
        <f t="shared" si="19"/>
        <v>0</v>
      </c>
      <c r="G231" s="64">
        <f t="shared" si="20"/>
        <v>0</v>
      </c>
      <c r="H231" s="107"/>
      <c r="I231" s="64"/>
    </row>
    <row r="232" spans="2:9" x14ac:dyDescent="0.25">
      <c r="B232" s="2">
        <f t="shared" si="16"/>
        <v>216</v>
      </c>
      <c r="C232" s="14">
        <f t="shared" si="17"/>
        <v>0</v>
      </c>
      <c r="E232" s="64">
        <f t="shared" si="18"/>
        <v>0</v>
      </c>
      <c r="F232" s="64">
        <f t="shared" si="19"/>
        <v>0</v>
      </c>
      <c r="G232" s="64">
        <f t="shared" si="20"/>
        <v>0</v>
      </c>
      <c r="H232" s="107"/>
      <c r="I232" s="64"/>
    </row>
    <row r="233" spans="2:9" x14ac:dyDescent="0.25">
      <c r="B233" s="2">
        <f t="shared" si="16"/>
        <v>217</v>
      </c>
      <c r="C233" s="14">
        <f t="shared" si="17"/>
        <v>0</v>
      </c>
      <c r="E233" s="64">
        <f t="shared" si="18"/>
        <v>0</v>
      </c>
      <c r="F233" s="64">
        <f t="shared" si="19"/>
        <v>0</v>
      </c>
      <c r="G233" s="64">
        <f t="shared" si="20"/>
        <v>0</v>
      </c>
      <c r="H233" s="107"/>
      <c r="I233" s="64"/>
    </row>
    <row r="234" spans="2:9" x14ac:dyDescent="0.25">
      <c r="B234" s="2">
        <f t="shared" si="16"/>
        <v>218</v>
      </c>
      <c r="C234" s="14">
        <f t="shared" si="17"/>
        <v>0</v>
      </c>
      <c r="E234" s="64">
        <f t="shared" si="18"/>
        <v>0</v>
      </c>
      <c r="F234" s="64">
        <f t="shared" si="19"/>
        <v>0</v>
      </c>
      <c r="G234" s="64">
        <f t="shared" si="20"/>
        <v>0</v>
      </c>
      <c r="H234" s="107"/>
      <c r="I234" s="64"/>
    </row>
    <row r="235" spans="2:9" x14ac:dyDescent="0.25">
      <c r="B235" s="2">
        <f t="shared" si="16"/>
        <v>219</v>
      </c>
      <c r="C235" s="14">
        <f t="shared" si="17"/>
        <v>0</v>
      </c>
      <c r="E235" s="64">
        <f t="shared" si="18"/>
        <v>0</v>
      </c>
      <c r="F235" s="64">
        <f t="shared" si="19"/>
        <v>0</v>
      </c>
      <c r="G235" s="64">
        <f t="shared" si="20"/>
        <v>0</v>
      </c>
      <c r="H235" s="107"/>
      <c r="I235" s="64"/>
    </row>
    <row r="236" spans="2:9" x14ac:dyDescent="0.25">
      <c r="B236" s="2">
        <f t="shared" si="16"/>
        <v>220</v>
      </c>
      <c r="C236" s="14">
        <f t="shared" si="17"/>
        <v>0</v>
      </c>
      <c r="E236" s="64">
        <f t="shared" si="18"/>
        <v>0</v>
      </c>
      <c r="F236" s="64">
        <f t="shared" si="19"/>
        <v>0</v>
      </c>
      <c r="G236" s="64">
        <f t="shared" si="20"/>
        <v>0</v>
      </c>
      <c r="H236" s="107"/>
      <c r="I236" s="64"/>
    </row>
    <row r="237" spans="2:9" x14ac:dyDescent="0.25">
      <c r="B237" s="2">
        <f t="shared" si="16"/>
        <v>221</v>
      </c>
      <c r="C237" s="14">
        <f t="shared" si="17"/>
        <v>0</v>
      </c>
      <c r="E237" s="64">
        <f t="shared" si="18"/>
        <v>0</v>
      </c>
      <c r="F237" s="64">
        <f t="shared" si="19"/>
        <v>0</v>
      </c>
      <c r="G237" s="64">
        <f t="shared" si="20"/>
        <v>0</v>
      </c>
      <c r="H237" s="107"/>
      <c r="I237" s="64"/>
    </row>
    <row r="238" spans="2:9" x14ac:dyDescent="0.25">
      <c r="B238" s="2">
        <f t="shared" si="16"/>
        <v>222</v>
      </c>
      <c r="C238" s="14">
        <f t="shared" si="17"/>
        <v>0</v>
      </c>
      <c r="E238" s="64">
        <f t="shared" si="18"/>
        <v>0</v>
      </c>
      <c r="F238" s="64">
        <f t="shared" si="19"/>
        <v>0</v>
      </c>
      <c r="G238" s="64">
        <f t="shared" si="20"/>
        <v>0</v>
      </c>
      <c r="H238" s="107"/>
      <c r="I238" s="64"/>
    </row>
    <row r="239" spans="2:9" x14ac:dyDescent="0.25">
      <c r="B239" s="2">
        <f t="shared" si="16"/>
        <v>223</v>
      </c>
      <c r="C239" s="14">
        <f t="shared" si="17"/>
        <v>0</v>
      </c>
      <c r="E239" s="64">
        <f t="shared" si="18"/>
        <v>0</v>
      </c>
      <c r="F239" s="64">
        <f t="shared" si="19"/>
        <v>0</v>
      </c>
      <c r="G239" s="64">
        <f t="shared" si="20"/>
        <v>0</v>
      </c>
      <c r="H239" s="107"/>
      <c r="I239" s="64"/>
    </row>
    <row r="240" spans="2:9" x14ac:dyDescent="0.25">
      <c r="B240" s="2">
        <f t="shared" si="16"/>
        <v>224</v>
      </c>
      <c r="C240" s="14">
        <f t="shared" si="17"/>
        <v>0</v>
      </c>
      <c r="E240" s="64">
        <f t="shared" si="18"/>
        <v>0</v>
      </c>
      <c r="F240" s="64">
        <f t="shared" si="19"/>
        <v>0</v>
      </c>
      <c r="G240" s="64">
        <f t="shared" si="20"/>
        <v>0</v>
      </c>
      <c r="H240" s="107"/>
      <c r="I240" s="64"/>
    </row>
    <row r="241" spans="2:9" x14ac:dyDescent="0.25">
      <c r="B241" s="2">
        <f t="shared" si="16"/>
        <v>225</v>
      </c>
      <c r="C241" s="14">
        <f t="shared" si="17"/>
        <v>0</v>
      </c>
      <c r="E241" s="64">
        <f t="shared" si="18"/>
        <v>0</v>
      </c>
      <c r="F241" s="64">
        <f t="shared" si="19"/>
        <v>0</v>
      </c>
      <c r="G241" s="64">
        <f t="shared" si="20"/>
        <v>0</v>
      </c>
      <c r="H241" s="107"/>
      <c r="I241" s="64"/>
    </row>
    <row r="242" spans="2:9" x14ac:dyDescent="0.25">
      <c r="B242" s="2">
        <f t="shared" si="16"/>
        <v>226</v>
      </c>
      <c r="C242" s="14">
        <f t="shared" si="17"/>
        <v>0</v>
      </c>
      <c r="E242" s="64">
        <f t="shared" si="18"/>
        <v>0</v>
      </c>
      <c r="F242" s="64">
        <f t="shared" si="19"/>
        <v>0</v>
      </c>
      <c r="G242" s="64">
        <f t="shared" si="20"/>
        <v>0</v>
      </c>
      <c r="H242" s="107"/>
      <c r="I242" s="64"/>
    </row>
    <row r="243" spans="2:9" x14ac:dyDescent="0.25">
      <c r="B243" s="2">
        <f t="shared" si="16"/>
        <v>227</v>
      </c>
      <c r="C243" s="14">
        <f t="shared" si="17"/>
        <v>0</v>
      </c>
      <c r="E243" s="64">
        <f t="shared" si="18"/>
        <v>0</v>
      </c>
      <c r="F243" s="64">
        <f t="shared" si="19"/>
        <v>0</v>
      </c>
      <c r="G243" s="64">
        <f t="shared" si="20"/>
        <v>0</v>
      </c>
      <c r="H243" s="107"/>
      <c r="I243" s="64"/>
    </row>
    <row r="244" spans="2:9" x14ac:dyDescent="0.25">
      <c r="B244" s="2">
        <f t="shared" si="16"/>
        <v>228</v>
      </c>
      <c r="C244" s="14">
        <f t="shared" si="17"/>
        <v>0</v>
      </c>
      <c r="E244" s="64">
        <f t="shared" si="18"/>
        <v>0</v>
      </c>
      <c r="F244" s="64">
        <f t="shared" si="19"/>
        <v>0</v>
      </c>
      <c r="G244" s="64">
        <f t="shared" si="20"/>
        <v>0</v>
      </c>
      <c r="H244" s="107"/>
      <c r="I244" s="64"/>
    </row>
    <row r="245" spans="2:9" x14ac:dyDescent="0.25">
      <c r="B245" s="2">
        <f t="shared" si="16"/>
        <v>229</v>
      </c>
      <c r="C245" s="14">
        <f t="shared" si="17"/>
        <v>0</v>
      </c>
      <c r="E245" s="64">
        <f t="shared" si="18"/>
        <v>0</v>
      </c>
      <c r="F245" s="64">
        <f t="shared" si="19"/>
        <v>0</v>
      </c>
      <c r="G245" s="64">
        <f t="shared" si="20"/>
        <v>0</v>
      </c>
      <c r="H245" s="107"/>
      <c r="I245" s="64"/>
    </row>
    <row r="246" spans="2:9" x14ac:dyDescent="0.25">
      <c r="B246" s="2">
        <f t="shared" si="16"/>
        <v>230</v>
      </c>
      <c r="C246" s="14">
        <f t="shared" si="17"/>
        <v>0</v>
      </c>
      <c r="E246" s="64">
        <f t="shared" si="18"/>
        <v>0</v>
      </c>
      <c r="F246" s="64">
        <f t="shared" si="19"/>
        <v>0</v>
      </c>
      <c r="G246" s="64">
        <f t="shared" si="20"/>
        <v>0</v>
      </c>
      <c r="H246" s="107"/>
      <c r="I246" s="64"/>
    </row>
    <row r="247" spans="2:9" x14ac:dyDescent="0.25">
      <c r="B247" s="2">
        <f t="shared" si="16"/>
        <v>231</v>
      </c>
      <c r="C247" s="14">
        <f t="shared" si="17"/>
        <v>0</v>
      </c>
      <c r="E247" s="64">
        <f t="shared" si="18"/>
        <v>0</v>
      </c>
      <c r="F247" s="64">
        <f t="shared" si="19"/>
        <v>0</v>
      </c>
      <c r="G247" s="64">
        <f t="shared" si="20"/>
        <v>0</v>
      </c>
      <c r="H247" s="107"/>
      <c r="I247" s="64"/>
    </row>
    <row r="248" spans="2:9" x14ac:dyDescent="0.25">
      <c r="B248" s="2">
        <f t="shared" si="16"/>
        <v>232</v>
      </c>
      <c r="C248" s="14">
        <f t="shared" si="17"/>
        <v>0</v>
      </c>
      <c r="E248" s="64">
        <f t="shared" si="18"/>
        <v>0</v>
      </c>
      <c r="F248" s="64">
        <f t="shared" si="19"/>
        <v>0</v>
      </c>
      <c r="G248" s="64">
        <f t="shared" si="20"/>
        <v>0</v>
      </c>
      <c r="H248" s="107"/>
      <c r="I248" s="64"/>
    </row>
    <row r="249" spans="2:9" x14ac:dyDescent="0.25">
      <c r="B249" s="2">
        <f t="shared" si="16"/>
        <v>233</v>
      </c>
      <c r="C249" s="14">
        <f t="shared" si="17"/>
        <v>0</v>
      </c>
      <c r="E249" s="64">
        <f t="shared" si="18"/>
        <v>0</v>
      </c>
      <c r="F249" s="64">
        <f t="shared" si="19"/>
        <v>0</v>
      </c>
      <c r="G249" s="64">
        <f t="shared" si="20"/>
        <v>0</v>
      </c>
      <c r="H249" s="107"/>
      <c r="I249" s="64"/>
    </row>
    <row r="250" spans="2:9" x14ac:dyDescent="0.25">
      <c r="B250" s="2">
        <f t="shared" si="16"/>
        <v>234</v>
      </c>
      <c r="C250" s="14">
        <f t="shared" si="17"/>
        <v>0</v>
      </c>
      <c r="E250" s="64">
        <f t="shared" si="18"/>
        <v>0</v>
      </c>
      <c r="F250" s="64">
        <f t="shared" si="19"/>
        <v>0</v>
      </c>
      <c r="G250" s="64">
        <f t="shared" si="20"/>
        <v>0</v>
      </c>
      <c r="H250" s="107"/>
      <c r="I250" s="64"/>
    </row>
    <row r="251" spans="2:9" x14ac:dyDescent="0.25">
      <c r="B251" s="2">
        <f t="shared" si="16"/>
        <v>235</v>
      </c>
      <c r="C251" s="14">
        <f t="shared" si="17"/>
        <v>0</v>
      </c>
      <c r="E251" s="64">
        <f t="shared" si="18"/>
        <v>0</v>
      </c>
      <c r="F251" s="64">
        <f t="shared" si="19"/>
        <v>0</v>
      </c>
      <c r="G251" s="64">
        <f t="shared" si="20"/>
        <v>0</v>
      </c>
      <c r="H251" s="107"/>
      <c r="I251" s="64"/>
    </row>
    <row r="252" spans="2:9" x14ac:dyDescent="0.25">
      <c r="B252" s="2">
        <f t="shared" si="16"/>
        <v>236</v>
      </c>
      <c r="C252" s="14">
        <f t="shared" si="17"/>
        <v>0</v>
      </c>
      <c r="E252" s="64">
        <f t="shared" si="18"/>
        <v>0</v>
      </c>
      <c r="F252" s="64">
        <f t="shared" si="19"/>
        <v>0</v>
      </c>
      <c r="G252" s="64">
        <f t="shared" si="20"/>
        <v>0</v>
      </c>
      <c r="H252" s="107"/>
      <c r="I252" s="64"/>
    </row>
    <row r="253" spans="2:9" x14ac:dyDescent="0.25">
      <c r="B253" s="2">
        <f t="shared" si="16"/>
        <v>237</v>
      </c>
      <c r="C253" s="14">
        <f t="shared" si="17"/>
        <v>0</v>
      </c>
      <c r="E253" s="64">
        <f t="shared" si="18"/>
        <v>0</v>
      </c>
      <c r="F253" s="64">
        <f t="shared" si="19"/>
        <v>0</v>
      </c>
      <c r="G253" s="64">
        <f t="shared" si="20"/>
        <v>0</v>
      </c>
      <c r="H253" s="107"/>
      <c r="I253" s="64"/>
    </row>
    <row r="254" spans="2:9" x14ac:dyDescent="0.25">
      <c r="B254" s="2">
        <f t="shared" si="16"/>
        <v>238</v>
      </c>
      <c r="C254" s="14">
        <f t="shared" si="17"/>
        <v>0</v>
      </c>
      <c r="E254" s="64">
        <f t="shared" si="18"/>
        <v>0</v>
      </c>
      <c r="F254" s="64">
        <f t="shared" si="19"/>
        <v>0</v>
      </c>
      <c r="G254" s="64">
        <f t="shared" si="20"/>
        <v>0</v>
      </c>
      <c r="H254" s="107"/>
      <c r="I254" s="64"/>
    </row>
    <row r="255" spans="2:9" x14ac:dyDescent="0.25">
      <c r="B255" s="2">
        <f t="shared" si="16"/>
        <v>239</v>
      </c>
      <c r="C255" s="14">
        <f t="shared" si="17"/>
        <v>0</v>
      </c>
      <c r="E255" s="64">
        <f t="shared" si="18"/>
        <v>0</v>
      </c>
      <c r="F255" s="64">
        <f t="shared" si="19"/>
        <v>0</v>
      </c>
      <c r="G255" s="64">
        <f t="shared" si="20"/>
        <v>0</v>
      </c>
      <c r="H255" s="107"/>
      <c r="I255" s="64"/>
    </row>
    <row r="256" spans="2:9" x14ac:dyDescent="0.25">
      <c r="B256" s="2">
        <f t="shared" si="16"/>
        <v>240</v>
      </c>
      <c r="C256" s="14">
        <f t="shared" si="17"/>
        <v>0</v>
      </c>
      <c r="E256" s="64">
        <f t="shared" si="18"/>
        <v>0</v>
      </c>
      <c r="F256" s="64">
        <f t="shared" si="19"/>
        <v>0</v>
      </c>
      <c r="G256" s="64">
        <f t="shared" si="20"/>
        <v>0</v>
      </c>
      <c r="H256" s="107"/>
      <c r="I256" s="64"/>
    </row>
    <row r="257" spans="3:9" x14ac:dyDescent="0.25">
      <c r="E257" s="64"/>
      <c r="F257" s="64"/>
      <c r="G257" s="64"/>
      <c r="H257" s="107"/>
      <c r="I257" s="64"/>
    </row>
    <row r="258" spans="3:9" ht="16.5" thickBot="1" x14ac:dyDescent="0.3">
      <c r="C258" s="30">
        <f>SUM(C17:C257)</f>
        <v>0</v>
      </c>
      <c r="D258" s="37"/>
      <c r="E258" s="30">
        <f>SUM(E17:E257)</f>
        <v>0</v>
      </c>
      <c r="F258" s="30">
        <f>SUM(F17:F257)</f>
        <v>0</v>
      </c>
      <c r="G258" s="64"/>
      <c r="H258" s="107"/>
      <c r="I258" s="64"/>
    </row>
    <row r="259" spans="3:9" ht="16.5" thickTop="1" x14ac:dyDescent="0.25">
      <c r="E259" s="64"/>
      <c r="F259" s="64"/>
      <c r="G259" s="64"/>
      <c r="H259" s="107"/>
      <c r="I259" s="64"/>
    </row>
    <row r="260" spans="3:9" x14ac:dyDescent="0.25">
      <c r="E260" s="64"/>
      <c r="F260" s="64"/>
      <c r="G260" s="64"/>
      <c r="H260" s="107"/>
      <c r="I260" s="64"/>
    </row>
    <row r="261" spans="3:9" x14ac:dyDescent="0.25">
      <c r="E261" s="64"/>
      <c r="F261" s="64"/>
      <c r="G261" s="64"/>
      <c r="H261" s="107"/>
      <c r="I261" s="64"/>
    </row>
    <row r="262" spans="3:9" x14ac:dyDescent="0.25">
      <c r="F262" s="64"/>
      <c r="G262" s="64"/>
      <c r="H262" s="64"/>
      <c r="I262" s="64"/>
    </row>
    <row r="263" spans="3:9" x14ac:dyDescent="0.25">
      <c r="F263" s="64"/>
      <c r="G263" s="64"/>
      <c r="H263" s="64"/>
      <c r="I263" s="64"/>
    </row>
    <row r="264" spans="3:9" x14ac:dyDescent="0.25">
      <c r="F264" s="64"/>
      <c r="G264" s="64"/>
      <c r="H264" s="64"/>
      <c r="I264" s="64"/>
    </row>
    <row r="265" spans="3:9" x14ac:dyDescent="0.25">
      <c r="F265" s="64"/>
      <c r="G265" s="64"/>
      <c r="H265" s="64"/>
      <c r="I265" s="64"/>
    </row>
    <row r="266" spans="3:9" x14ac:dyDescent="0.25">
      <c r="F266" s="64"/>
      <c r="G266" s="64"/>
      <c r="H266" s="64"/>
      <c r="I266" s="64"/>
    </row>
    <row r="267" spans="3:9" x14ac:dyDescent="0.25">
      <c r="F267" s="64"/>
      <c r="G267" s="64"/>
      <c r="H267" s="64"/>
      <c r="I267" s="64"/>
    </row>
    <row r="268" spans="3:9" x14ac:dyDescent="0.25">
      <c r="F268" s="64"/>
      <c r="G268" s="64"/>
      <c r="H268" s="64"/>
      <c r="I268" s="64"/>
    </row>
    <row r="269" spans="3:9" x14ac:dyDescent="0.25">
      <c r="F269" s="64"/>
      <c r="G269" s="64"/>
      <c r="H269" s="64"/>
      <c r="I269" s="64"/>
    </row>
    <row r="270" spans="3:9" x14ac:dyDescent="0.25">
      <c r="F270" s="64"/>
      <c r="G270" s="64"/>
      <c r="H270" s="64"/>
      <c r="I270" s="64"/>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7" style="155" bestFit="1" customWidth="1"/>
    <col min="10" max="10" width="3.85546875" style="76" customWidth="1"/>
    <col min="11" max="11" width="16.140625" bestFit="1" customWidth="1"/>
    <col min="12" max="12" width="4.140625" customWidth="1"/>
    <col min="13" max="13" width="8.85546875" customWidth="1"/>
    <col min="14" max="14" width="15.2851562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Criteria!E14</f>
        <v>SUBSIDIARY ONE 111 (PTY) LTD</v>
      </c>
      <c r="D1" s="274"/>
      <c r="E1" s="274"/>
      <c r="F1" s="259"/>
      <c r="G1" s="260" t="s">
        <v>151</v>
      </c>
      <c r="H1" s="260"/>
      <c r="I1" s="261">
        <f>Criteria!E22</f>
        <v>2025</v>
      </c>
      <c r="J1" s="261"/>
      <c r="K1" s="261">
        <f>Criteria!E27</f>
        <v>2024</v>
      </c>
      <c r="L1" s="258"/>
      <c r="M1" s="258"/>
      <c r="N1" s="244" t="s">
        <v>325</v>
      </c>
      <c r="O1" s="62"/>
      <c r="P1" s="62"/>
    </row>
    <row r="2" spans="1:18" x14ac:dyDescent="0.2">
      <c r="A2" s="262" t="s">
        <v>878</v>
      </c>
      <c r="B2" s="258"/>
      <c r="C2" s="258"/>
      <c r="D2" s="496">
        <f>D404-E404</f>
        <v>0</v>
      </c>
      <c r="E2" s="496"/>
      <c r="F2" s="264" t="s">
        <v>418</v>
      </c>
      <c r="G2" s="259">
        <f>G404</f>
        <v>0</v>
      </c>
      <c r="H2" s="259">
        <f>D2-E2</f>
        <v>0</v>
      </c>
      <c r="I2" s="266">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51"/>
      <c r="J3" s="272"/>
      <c r="K3" s="258"/>
      <c r="L3" s="258"/>
      <c r="M3" s="258"/>
      <c r="N3" s="241"/>
    </row>
    <row r="4" spans="1:18" x14ac:dyDescent="0.2">
      <c r="A4" s="121"/>
      <c r="B4" s="90" t="s">
        <v>215</v>
      </c>
      <c r="C4" s="239" t="s">
        <v>100</v>
      </c>
      <c r="D4" s="83"/>
      <c r="E4" s="51"/>
      <c r="F4" s="51"/>
      <c r="G4" s="38"/>
      <c r="H4" s="38"/>
      <c r="I4" s="153"/>
      <c r="J4" s="59"/>
      <c r="K4" s="46" t="s">
        <v>212</v>
      </c>
      <c r="N4" s="43"/>
    </row>
    <row r="5" spans="1:18" x14ac:dyDescent="0.2">
      <c r="A5" s="238"/>
      <c r="B5" s="10" t="s">
        <v>216</v>
      </c>
      <c r="C5" s="242" t="s">
        <v>837</v>
      </c>
      <c r="D5" s="281"/>
      <c r="E5" s="281"/>
      <c r="F5" s="79"/>
      <c r="G5" s="47">
        <f>SUMIF(JournalsA!D$14:D$920,TrialBalanceA!M5,JournalsA!J$14:J$920)+SUMIF(JournalsA!E$14:E$920,TrialBalanceA!M5,JournalsA!J$14:J$920)</f>
        <v>0</v>
      </c>
      <c r="H5" s="288"/>
      <c r="I5" s="255">
        <f t="shared" ref="I5:I41"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1"/>
      <c r="E6" s="281"/>
      <c r="F6" s="79"/>
      <c r="G6" s="47">
        <f>SUMIF(JournalsA!D$14:D$920,TrialBalanceA!M6,JournalsA!J$14:J$920)+SUMIF(JournalsA!E$14:E$920,TrialBalanceA!M6,JournalsA!J$14:J$920)</f>
        <v>0</v>
      </c>
      <c r="H6" s="288"/>
      <c r="I6" s="255">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1"/>
      <c r="E7" s="281"/>
      <c r="F7" s="79"/>
      <c r="G7" s="47">
        <f>SUMIF(JournalsA!D$14:D$920,TrialBalanceA!M7,JournalsA!J$14:J$920)+SUMIF(JournalsA!E$14:E$920,TrialBalanceA!M7,JournalsA!J$14:J$920)</f>
        <v>0</v>
      </c>
      <c r="H7" s="288"/>
      <c r="I7" s="255">
        <f t="shared" si="3"/>
        <v>0</v>
      </c>
      <c r="J7" s="75"/>
      <c r="K7" s="48">
        <f t="shared" si="4"/>
        <v>0</v>
      </c>
      <c r="M7" s="140" t="str">
        <f t="shared" si="5"/>
        <v>1000/003Commissions received</v>
      </c>
      <c r="N7" s="70"/>
      <c r="P7" s="71"/>
      <c r="Q7" s="51"/>
      <c r="R7" s="31"/>
    </row>
    <row r="8" spans="1:18" x14ac:dyDescent="0.2">
      <c r="A8" s="238"/>
      <c r="B8" s="90" t="s">
        <v>840</v>
      </c>
      <c r="C8" s="276"/>
      <c r="D8" s="281"/>
      <c r="E8" s="281"/>
      <c r="F8" s="79"/>
      <c r="G8" s="47">
        <f>SUMIF(JournalsA!D$14:D$920,TrialBalanceA!M8,JournalsA!J$14:J$920)+SUMIF(JournalsA!E$14:E$920,TrialBalanceA!M8,JournalsA!J$14:J$920)</f>
        <v>0</v>
      </c>
      <c r="H8" s="288"/>
      <c r="I8" s="255">
        <f t="shared" si="3"/>
        <v>0</v>
      </c>
      <c r="J8" s="75"/>
      <c r="K8" s="48">
        <f t="shared" si="4"/>
        <v>0</v>
      </c>
      <c r="M8" s="140" t="str">
        <f t="shared" si="5"/>
        <v>1000/004</v>
      </c>
      <c r="N8" s="70"/>
      <c r="P8" s="71"/>
      <c r="Q8" s="51"/>
      <c r="R8" s="31"/>
    </row>
    <row r="9" spans="1:18" x14ac:dyDescent="0.2">
      <c r="A9" s="238"/>
      <c r="B9" s="90" t="s">
        <v>841</v>
      </c>
      <c r="C9" s="276"/>
      <c r="D9" s="281"/>
      <c r="E9" s="281"/>
      <c r="F9" s="79"/>
      <c r="G9" s="47">
        <f>SUMIF(JournalsA!D$14:D$920,TrialBalanceA!M9,JournalsA!J$14:J$920)+SUMIF(JournalsA!E$14:E$920,TrialBalanceA!M9,JournalsA!J$14:J$920)</f>
        <v>0</v>
      </c>
      <c r="H9" s="288"/>
      <c r="I9" s="255">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SUMIF(JournalsA!D$14:D$920,TrialBalanceA!M10,JournalsA!J$14:J$920)+SUMIF(JournalsA!E$14:E$920,TrialBalanceA!M10,JournalsA!J$14:J$920)</f>
        <v>0</v>
      </c>
      <c r="H10" s="288"/>
      <c r="I10" s="255">
        <f t="shared" si="0"/>
        <v>0</v>
      </c>
      <c r="J10" s="75"/>
      <c r="K10" s="48">
        <f t="shared" si="1"/>
        <v>0</v>
      </c>
      <c r="M10" s="140" t="str">
        <f t="shared" si="2"/>
        <v>1000/006</v>
      </c>
      <c r="N10" s="70"/>
      <c r="P10" s="71"/>
      <c r="Q10" s="51"/>
      <c r="R10" s="31"/>
    </row>
    <row r="11" spans="1:18" x14ac:dyDescent="0.2">
      <c r="A11" s="238"/>
      <c r="B11" s="90" t="s">
        <v>843</v>
      </c>
      <c r="C11" s="241" t="s">
        <v>334</v>
      </c>
      <c r="D11" s="272"/>
      <c r="E11" s="281"/>
      <c r="F11" s="79"/>
      <c r="G11" s="47">
        <f>SUMIF(JournalsA!D$14:D$920,TrialBalanceA!M11,JournalsA!J$14:J$920)+SUMIF(JournalsA!E$14:E$920,TrialBalanceA!M11,JournalsA!J$14:J$920)</f>
        <v>0</v>
      </c>
      <c r="H11" s="288"/>
      <c r="I11" s="255">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SUMIF(JournalsA!D$14:D$920,TrialBalanceA!M12,JournalsA!J$14:J$920)+SUMIF(JournalsA!E$14:E$920,TrialBalanceA!M12,JournalsA!J$14:J$920)</f>
        <v>0</v>
      </c>
      <c r="H12" s="288"/>
      <c r="I12" s="255">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SUMIF(JournalsA!D$14:D$920,TrialBalanceA!M13,JournalsA!J$14:J$920)+SUMIF(JournalsA!E$14:E$920,TrialBalanceA!M13,JournalsA!J$14:J$920)</f>
        <v>0</v>
      </c>
      <c r="H13" s="288"/>
      <c r="I13" s="255">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SUMIF(JournalsA!D$14:D$920,TrialBalanceA!M14,JournalsA!J$14:J$920)+SUMIF(JournalsA!E$14:E$920,TrialBalanceA!M14,JournalsA!J$14:J$920)</f>
        <v>0</v>
      </c>
      <c r="H14" s="288"/>
      <c r="I14" s="255">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SUMIF(JournalsA!D$14:D$920,TrialBalanceA!M15,JournalsA!J$14:J$920)+SUMIF(JournalsA!E$14:E$920,TrialBalanceA!M15,JournalsA!J$14:J$920)</f>
        <v>0</v>
      </c>
      <c r="H15" s="288"/>
      <c r="I15" s="255">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SUMIF(JournalsA!D$14:D$920,TrialBalanceA!M16,JournalsA!J$14:J$920)+SUMIF(JournalsA!E$14:E$920,TrialBalanceA!M16,JournalsA!J$14:J$920)</f>
        <v>0</v>
      </c>
      <c r="H16" s="288"/>
      <c r="I16" s="255">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SUMIF(JournalsA!D$14:D$920,TrialBalanceA!M17,JournalsA!J$14:J$920)+SUMIF(JournalsA!E$14:E$920,TrialBalanceA!M17,JournalsA!J$14:J$920)</f>
        <v>0</v>
      </c>
      <c r="H17" s="288"/>
      <c r="I17" s="255">
        <f t="shared" si="0"/>
        <v>0</v>
      </c>
      <c r="J17" s="75"/>
      <c r="K17" s="48">
        <f t="shared" si="1"/>
        <v>0</v>
      </c>
      <c r="M17" s="140" t="str">
        <f t="shared" si="2"/>
        <v>2000/010Purchases</v>
      </c>
      <c r="N17" s="70"/>
      <c r="P17" s="71"/>
      <c r="Q17" s="51"/>
      <c r="R17" s="31"/>
    </row>
    <row r="18" spans="1:18" x14ac:dyDescent="0.2">
      <c r="A18" s="238"/>
      <c r="B18" s="10" t="s">
        <v>369</v>
      </c>
      <c r="C18" s="276"/>
      <c r="D18" s="272"/>
      <c r="E18" s="281"/>
      <c r="F18" s="79"/>
      <c r="G18" s="47">
        <f>SUMIF(JournalsA!D$14:D$920,TrialBalanceA!M18,JournalsA!J$14:J$920)+SUMIF(JournalsA!E$14:E$920,TrialBalanceA!M18,JournalsA!J$14:J$920)</f>
        <v>0</v>
      </c>
      <c r="H18" s="288"/>
      <c r="I18" s="255">
        <f t="shared" si="0"/>
        <v>0</v>
      </c>
      <c r="J18" s="75"/>
      <c r="K18" s="48">
        <f t="shared" si="1"/>
        <v>0</v>
      </c>
      <c r="M18" s="140" t="str">
        <f t="shared" si="2"/>
        <v>2000/011</v>
      </c>
      <c r="N18" s="70"/>
      <c r="O18" s="31"/>
      <c r="P18" s="71"/>
      <c r="Q18" s="51"/>
      <c r="R18" s="31"/>
    </row>
    <row r="19" spans="1:18" x14ac:dyDescent="0.2">
      <c r="A19" s="238"/>
      <c r="B19" s="54" t="s">
        <v>370</v>
      </c>
      <c r="C19" s="276"/>
      <c r="D19" s="272"/>
      <c r="E19" s="281"/>
      <c r="F19" s="79"/>
      <c r="G19" s="47">
        <f>SUMIF(JournalsA!D$14:D$920,TrialBalanceA!M19,JournalsA!J$14:J$920)+SUMIF(JournalsA!E$14:E$920,TrialBalanceA!M19,JournalsA!J$14:J$920)</f>
        <v>0</v>
      </c>
      <c r="H19" s="288"/>
      <c r="I19" s="255">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SUMIF(JournalsA!D$14:D$920,TrialBalanceA!M20,JournalsA!J$14:J$920)+SUMIF(JournalsA!E$14:E$920,TrialBalanceA!M20,JournalsA!J$14:J$920)</f>
        <v>0</v>
      </c>
      <c r="H20" s="288"/>
      <c r="I20" s="255">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SUMIF(JournalsA!D$14:D$920,TrialBalanceA!M21,JournalsA!J$14:J$920)+SUMIF(JournalsA!E$14:E$920,TrialBalanceA!M21,JournalsA!J$14:J$920)</f>
        <v>0</v>
      </c>
      <c r="H21" s="288"/>
      <c r="I21" s="255">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SUMIF(JournalsA!D$14:D$920,TrialBalanceA!M22,JournalsA!J$14:J$920)+SUMIF(JournalsA!E$14:E$920,TrialBalanceA!M22,JournalsA!J$14:J$920)</f>
        <v>0</v>
      </c>
      <c r="H22" s="288"/>
      <c r="I22" s="255">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SUMIF(JournalsA!D$14:D$920,TrialBalanceA!M23,JournalsA!J$14:J$920)+SUMIF(JournalsA!E$14:E$920,TrialBalanceA!M23,JournalsA!J$14:J$920)</f>
        <v>0</v>
      </c>
      <c r="H23" s="288"/>
      <c r="I23" s="255">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SUMIF(JournalsA!D$14:D$920,TrialBalanceA!M24,JournalsA!J$14:J$920)+SUMIF(JournalsA!E$14:E$920,TrialBalanceA!M24,JournalsA!J$14:J$920)</f>
        <v>0</v>
      </c>
      <c r="H24" s="288"/>
      <c r="I24" s="255">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SUMIF(JournalsA!D$14:D$920,TrialBalanceA!M25,JournalsA!J$14:J$920)+SUMIF(JournalsA!E$14:E$920,TrialBalanceA!M25,JournalsA!J$14:J$920)</f>
        <v>0</v>
      </c>
      <c r="H25" s="288"/>
      <c r="I25" s="255">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SUMIF(JournalsA!D$14:D$920,TrialBalanceA!M26,JournalsA!J$14:J$920)+SUMIF(JournalsA!E$14:E$920,TrialBalanceA!M26,JournalsA!J$14:J$920)</f>
        <v>0</v>
      </c>
      <c r="H26" s="288"/>
      <c r="I26" s="255">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SUMIF(JournalsA!D$14:D$920,TrialBalanceA!M27,JournalsA!J$14:J$920)+SUMIF(JournalsA!E$14:E$920,TrialBalanceA!M27,JournalsA!J$14:J$920)</f>
        <v>0</v>
      </c>
      <c r="H27" s="288"/>
      <c r="I27" s="255">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",Criteria!H14)</f>
        <v>Insurance claims - Subsidiary One 111 (Pty) Ltd</v>
      </c>
      <c r="D28" s="281"/>
      <c r="E28" s="281"/>
      <c r="F28" s="79"/>
      <c r="G28" s="47">
        <f>SUMIF(JournalsA!D$14:D$920,TrialBalanceA!M28,JournalsA!J$14:J$920)+SUMIF(JournalsA!E$14:E$920,TrialBalanceA!M28,JournalsA!J$14:J$920)</f>
        <v>0</v>
      </c>
      <c r="H28" s="288"/>
      <c r="I28" s="255">
        <f t="shared" si="0"/>
        <v>0</v>
      </c>
      <c r="J28" s="75"/>
      <c r="K28" s="48">
        <f t="shared" si="1"/>
        <v>0</v>
      </c>
      <c r="M28" s="140" t="str">
        <f t="shared" si="2"/>
        <v>2050/001Insurance claims - Subsidiary One 111 (Pty) Ltd</v>
      </c>
      <c r="N28" s="70"/>
      <c r="P28" s="71"/>
      <c r="Q28" s="51"/>
      <c r="R28" s="31"/>
    </row>
    <row r="29" spans="1:18" x14ac:dyDescent="0.2">
      <c r="A29" s="238"/>
      <c r="B29" s="56" t="s">
        <v>301</v>
      </c>
      <c r="C29" s="241" t="s">
        <v>781</v>
      </c>
      <c r="D29" s="281"/>
      <c r="E29" s="281"/>
      <c r="F29" s="79"/>
      <c r="G29" s="47">
        <f>SUMIF(JournalsA!D$14:D$920,TrialBalanceA!M29,JournalsA!J$14:J$920)+SUMIF(JournalsA!E$14:E$920,TrialBalanceA!M29,JournalsA!J$14:J$920)</f>
        <v>0</v>
      </c>
      <c r="H29" s="288"/>
      <c r="I29" s="255">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SUMIF(JournalsA!D$14:D$920,TrialBalanceA!M30,JournalsA!J$14:J$920)+SUMIF(JournalsA!E$14:E$920,TrialBalanceA!M30,JournalsA!J$14:J$920)</f>
        <v>0</v>
      </c>
      <c r="H30" s="288"/>
      <c r="I30" s="255">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SUMIF(JournalsA!D$14:D$920,TrialBalanceA!M31,JournalsA!J$14:J$920)+SUMIF(JournalsA!E$14:E$920,TrialBalanceA!M31,JournalsA!J$14:J$920)</f>
        <v>0</v>
      </c>
      <c r="H31" s="288"/>
      <c r="I31" s="255">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SUMIF(JournalsA!D$14:D$920,TrialBalanceA!M32,JournalsA!J$14:J$920)+SUMIF(JournalsA!E$14:E$920,TrialBalanceA!M32,JournalsA!J$14:J$920)</f>
        <v>0</v>
      </c>
      <c r="H32" s="288"/>
      <c r="I32" s="255">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SUMIF(JournalsA!D$14:D$920,TrialBalanceA!M33,JournalsA!J$14:J$920)+SUMIF(JournalsA!E$14:E$920,TrialBalanceA!M33,JournalsA!J$14:J$920)</f>
        <v>0</v>
      </c>
      <c r="H33" s="288"/>
      <c r="I33" s="255">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SUMIF(JournalsA!D$14:D$920,TrialBalanceA!M34,JournalsA!J$14:J$920)+SUMIF(JournalsA!E$14:E$920,TrialBalanceA!M34,JournalsA!J$14:J$920)</f>
        <v>0</v>
      </c>
      <c r="H34" s="288"/>
      <c r="I34" s="255">
        <f t="shared" si="0"/>
        <v>0</v>
      </c>
      <c r="J34" s="75"/>
      <c r="K34" s="48">
        <f t="shared" si="1"/>
        <v>0</v>
      </c>
      <c r="M34" s="140" t="str">
        <f t="shared" si="2"/>
        <v>2060/000NET (PROFIT)/LOSS OTHER</v>
      </c>
      <c r="N34" s="70"/>
      <c r="P34" s="71"/>
      <c r="Q34" s="51"/>
      <c r="R34" s="31"/>
    </row>
    <row r="35" spans="1:18" x14ac:dyDescent="0.2">
      <c r="A35" s="238"/>
      <c r="B35" s="43" t="s">
        <v>533</v>
      </c>
      <c r="C35" s="241"/>
      <c r="D35" s="285"/>
      <c r="E35" s="281"/>
      <c r="F35" s="79"/>
      <c r="G35" s="47">
        <f>SUMIF(JournalsA!D$14:D$920,TrialBalanceA!M35,JournalsA!J$14:J$920)+SUMIF(JournalsA!E$14:E$920,TrialBalanceA!M35,JournalsA!J$14:J$920)</f>
        <v>0</v>
      </c>
      <c r="H35" s="288"/>
      <c r="I35" s="255">
        <f t="shared" si="0"/>
        <v>0</v>
      </c>
      <c r="J35" s="75"/>
      <c r="K35" s="48">
        <f t="shared" si="1"/>
        <v>0</v>
      </c>
      <c r="M35" s="140" t="str">
        <f t="shared" si="2"/>
        <v>2060/001</v>
      </c>
      <c r="N35" s="70"/>
      <c r="P35" s="71"/>
      <c r="Q35" s="51"/>
      <c r="R35" s="31"/>
    </row>
    <row r="36" spans="1:18" x14ac:dyDescent="0.2">
      <c r="A36" s="238"/>
      <c r="B36" s="43" t="s">
        <v>534</v>
      </c>
      <c r="C36" s="246"/>
      <c r="D36" s="285"/>
      <c r="E36" s="281"/>
      <c r="F36" s="79"/>
      <c r="G36" s="47">
        <f>SUMIF(JournalsA!D$14:D$920,TrialBalanceA!M36,JournalsA!J$14:J$920)+SUMIF(JournalsA!E$14:E$920,TrialBalanceA!M36,JournalsA!J$14:J$920)</f>
        <v>0</v>
      </c>
      <c r="H36" s="288"/>
      <c r="I36" s="255">
        <f t="shared" si="0"/>
        <v>0</v>
      </c>
      <c r="J36" s="75"/>
      <c r="K36" s="48">
        <f t="shared" si="1"/>
        <v>0</v>
      </c>
      <c r="M36" s="140" t="str">
        <f t="shared" si="2"/>
        <v>2060/002</v>
      </c>
      <c r="N36" s="70"/>
      <c r="P36" s="71"/>
      <c r="Q36" s="51"/>
      <c r="R36" s="31"/>
    </row>
    <row r="37" spans="1:18" x14ac:dyDescent="0.2">
      <c r="A37" s="238"/>
      <c r="B37" s="43" t="s">
        <v>535</v>
      </c>
      <c r="C37" s="246"/>
      <c r="D37" s="285"/>
      <c r="E37" s="281"/>
      <c r="F37" s="79"/>
      <c r="G37" s="47">
        <f>SUMIF(JournalsA!D$14:D$920,TrialBalanceA!M37,JournalsA!J$14:J$920)+SUMIF(JournalsA!E$14:E$920,TrialBalanceA!M37,JournalsA!J$14:J$920)</f>
        <v>0</v>
      </c>
      <c r="H37" s="288"/>
      <c r="I37" s="255">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SUMIF(JournalsA!D$14:D$920,TrialBalanceA!M38,JournalsA!J$14:J$920)+SUMIF(JournalsA!E$14:E$920,TrialBalanceA!M38,JournalsA!J$14:J$920)</f>
        <v>0</v>
      </c>
      <c r="H38" s="288"/>
      <c r="I38" s="255">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SUMIF(JournalsA!D$14:D$920,TrialBalanceA!M39,JournalsA!J$14:J$920)+SUMIF(JournalsA!E$14:E$920,TrialBalanceA!M39,JournalsA!J$14:J$920)</f>
        <v>0</v>
      </c>
      <c r="H39" s="288"/>
      <c r="I39" s="255">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SUMIF(JournalsA!D$14:D$920,TrialBalanceA!M40,JournalsA!J$14:J$920)+SUMIF(JournalsA!E$14:E$920,TrialBalanceA!M40,JournalsA!J$14:J$920)</f>
        <v>0</v>
      </c>
      <c r="H40" s="288"/>
      <c r="I40" s="255">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SUMIF(JournalsA!D$14:D$920,TrialBalanceA!M41,JournalsA!J$14:J$920)+SUMIF(JournalsA!E$14:E$920,TrialBalanceA!M41,JournalsA!J$14:J$920)</f>
        <v>0</v>
      </c>
      <c r="H41" s="288"/>
      <c r="I41" s="255">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SUMIF(JournalsA!D$14:D$920,TrialBalanceA!M42,JournalsA!J$14:J$920)+SUMIF(JournalsA!E$14:E$920,TrialBalanceA!M42,JournalsA!J$14:J$920)</f>
        <v>0</v>
      </c>
      <c r="H42" s="288"/>
      <c r="I42" s="255">
        <f t="shared" ref="I42:I73" si="9">ROUND(D42-E42+G42+F42,0)</f>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SUMIF(JournalsA!D$14:D$920,TrialBalanceA!M43,JournalsA!J$14:J$920)+SUMIF(JournalsA!E$14:E$920,TrialBalanceA!M43,JournalsA!J$14:J$920)</f>
        <v>0</v>
      </c>
      <c r="H43" s="288"/>
      <c r="I43" s="255">
        <f t="shared" si="9"/>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SUMIF(JournalsA!D$14:D$920,TrialBalanceA!M44,JournalsA!J$14:J$920)+SUMIF(JournalsA!E$14:E$920,TrialBalanceA!M44,JournalsA!J$14:J$920)</f>
        <v>0</v>
      </c>
      <c r="H44" s="288"/>
      <c r="I44" s="255">
        <f t="shared" si="9"/>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SUMIF(JournalsA!D$14:D$920,TrialBalanceA!M45,JournalsA!J$14:J$920)+SUMIF(JournalsA!E$14:E$920,TrialBalanceA!M45,JournalsA!J$14:J$920)</f>
        <v>0</v>
      </c>
      <c r="H45" s="288"/>
      <c r="I45" s="255">
        <f t="shared" si="9"/>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SUMIF(JournalsA!D$14:D$920,TrialBalanceA!M46,JournalsA!J$14:J$920)+SUMIF(JournalsA!E$14:E$920,TrialBalanceA!M46,JournalsA!J$14:J$920)</f>
        <v>0</v>
      </c>
      <c r="H46" s="288"/>
      <c r="I46" s="255">
        <f t="shared" si="9"/>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SUMIF(JournalsA!D$14:D$920,TrialBalanceA!M47,JournalsA!J$14:J$920)+SUMIF(JournalsA!E$14:E$920,TrialBalanceA!M47,JournalsA!J$14:J$920)</f>
        <v>0</v>
      </c>
      <c r="H47" s="288"/>
      <c r="I47" s="255">
        <f t="shared" si="9"/>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SUMIF(JournalsA!D$14:D$920,TrialBalanceA!M48,JournalsA!J$14:J$920)+SUMIF(JournalsA!E$14:E$920,TrialBalanceA!M48,JournalsA!J$14:J$920)</f>
        <v>0</v>
      </c>
      <c r="H48" s="288"/>
      <c r="I48" s="255">
        <f t="shared" si="9"/>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SUMIF(JournalsA!D$14:D$920,TrialBalanceA!M49,JournalsA!J$14:J$920)+SUMIF(JournalsA!E$14:E$920,TrialBalanceA!M49,JournalsA!J$14:J$920)</f>
        <v>0</v>
      </c>
      <c r="H49" s="288"/>
      <c r="I49" s="255">
        <f t="shared" si="9"/>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SUMIF(JournalsA!D$14:D$920,TrialBalanceA!M50,JournalsA!J$14:J$920)+SUMIF(JournalsA!E$14:E$920,TrialBalanceA!M50,JournalsA!J$14:J$920)</f>
        <v>0</v>
      </c>
      <c r="H50" s="288"/>
      <c r="I50" s="255">
        <f t="shared" si="9"/>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SUMIF(JournalsA!D$14:D$920,TrialBalanceA!M51,JournalsA!J$14:J$920)+SUMIF(JournalsA!E$14:E$920,TrialBalanceA!M51,JournalsA!J$14:J$920)</f>
        <v>0</v>
      </c>
      <c r="H51" s="288"/>
      <c r="I51" s="255">
        <f t="shared" si="9"/>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SUMIF(JournalsA!D$14:D$920,TrialBalanceA!M52,JournalsA!J$14:J$920)+SUMIF(JournalsA!E$14:E$920,TrialBalanceA!M52,JournalsA!J$14:J$920)</f>
        <v>0</v>
      </c>
      <c r="H52" s="288"/>
      <c r="I52" s="255">
        <f t="shared" si="9"/>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SUMIF(JournalsA!D$14:D$920,TrialBalanceA!M53,JournalsA!J$14:J$920)+SUMIF(JournalsA!E$14:E$920,TrialBalanceA!M53,JournalsA!J$14:J$920)</f>
        <v>0</v>
      </c>
      <c r="H53" s="288"/>
      <c r="I53" s="255">
        <f t="shared" si="9"/>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SUMIF(JournalsA!D$14:D$920,TrialBalanceA!M54,JournalsA!J$14:J$920)+SUMIF(JournalsA!E$14:E$920,TrialBalanceA!M54,JournalsA!J$14:J$920)</f>
        <v>0</v>
      </c>
      <c r="H54" s="288"/>
      <c r="I54" s="255">
        <f t="shared" si="9"/>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SUMIF(JournalsA!D$14:D$920,TrialBalanceA!M55,JournalsA!J$14:J$920)+SUMIF(JournalsA!E$14:E$920,TrialBalanceA!M55,JournalsA!J$14:J$920)</f>
        <v>0</v>
      </c>
      <c r="H55" s="288"/>
      <c r="I55" s="255">
        <f t="shared" si="9"/>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SUMIF(JournalsA!D$14:D$920,TrialBalanceA!M56,JournalsA!J$14:J$920)+SUMIF(JournalsA!E$14:E$920,TrialBalanceA!M56,JournalsA!J$14:J$920)</f>
        <v>0</v>
      </c>
      <c r="H56" s="288"/>
      <c r="I56" s="255">
        <f t="shared" si="9"/>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SUMIF(JournalsA!D$14:D$920,TrialBalanceA!M57,JournalsA!J$14:J$920)+SUMIF(JournalsA!E$14:E$920,TrialBalanceA!M57,JournalsA!J$14:J$920)</f>
        <v>0</v>
      </c>
      <c r="H57" s="288"/>
      <c r="I57" s="255">
        <f t="shared" si="9"/>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SUMIF(JournalsA!D$14:D$920,TrialBalanceA!M58,JournalsA!J$14:J$920)+SUMIF(JournalsA!E$14:E$920,TrialBalanceA!M58,JournalsA!J$14:J$920)</f>
        <v>0</v>
      </c>
      <c r="H58" s="288"/>
      <c r="I58" s="255">
        <f t="shared" si="9"/>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SUMIF(JournalsA!D$14:D$920,TrialBalanceA!M59,JournalsA!J$14:J$920)+SUMIF(JournalsA!E$14:E$920,TrialBalanceA!M59,JournalsA!J$14:J$920)</f>
        <v>0</v>
      </c>
      <c r="H59" s="288"/>
      <c r="I59" s="255">
        <f t="shared" si="9"/>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SUMIF(JournalsA!D$14:D$920,TrialBalanceA!M60,JournalsA!J$14:J$920)+SUMIF(JournalsA!E$14:E$920,TrialBalanceA!M60,JournalsA!J$14:J$920)</f>
        <v>0</v>
      </c>
      <c r="H60" s="288"/>
      <c r="I60" s="255">
        <f t="shared" si="9"/>
        <v>0</v>
      </c>
      <c r="J60" s="75"/>
      <c r="K60" s="48">
        <f t="shared" si="1"/>
        <v>0</v>
      </c>
      <c r="M60" s="140" t="str">
        <f t="shared" si="2"/>
        <v>2100/100Rent paid-------------------------------</v>
      </c>
      <c r="N60" s="70"/>
      <c r="P60" s="71"/>
      <c r="Q60" s="51"/>
      <c r="R60" s="31"/>
    </row>
    <row r="61" spans="1:18" x14ac:dyDescent="0.2">
      <c r="A61" s="238"/>
      <c r="B61" s="54" t="s">
        <v>172</v>
      </c>
      <c r="C61" s="276"/>
      <c r="D61" s="281"/>
      <c r="E61" s="281"/>
      <c r="F61" s="79"/>
      <c r="G61" s="47">
        <f>SUMIF(JournalsA!D$14:D$920,TrialBalanceA!M61,JournalsA!J$14:J$920)+SUMIF(JournalsA!E$14:E$920,TrialBalanceA!M61,JournalsA!J$14:J$920)</f>
        <v>0</v>
      </c>
      <c r="H61" s="288"/>
      <c r="I61" s="255">
        <f t="shared" si="9"/>
        <v>0</v>
      </c>
      <c r="J61" s="75"/>
      <c r="K61" s="48">
        <f t="shared" si="1"/>
        <v>0</v>
      </c>
      <c r="M61" s="140" t="str">
        <f t="shared" si="2"/>
        <v>2100/101</v>
      </c>
      <c r="N61" s="70"/>
      <c r="P61" s="71"/>
      <c r="Q61" s="51"/>
      <c r="R61" s="31"/>
    </row>
    <row r="62" spans="1:18" x14ac:dyDescent="0.2">
      <c r="A62" s="238"/>
      <c r="B62" s="54" t="s">
        <v>173</v>
      </c>
      <c r="C62" s="277"/>
      <c r="D62" s="281"/>
      <c r="E62" s="281"/>
      <c r="F62" s="79"/>
      <c r="G62" s="47">
        <f>SUMIF(JournalsA!D$14:D$920,TrialBalanceA!M62,JournalsA!J$14:J$920)+SUMIF(JournalsA!E$14:E$920,TrialBalanceA!M62,JournalsA!J$14:J$920)</f>
        <v>0</v>
      </c>
      <c r="H62" s="288"/>
      <c r="I62" s="255">
        <f t="shared" si="9"/>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SUMIF(JournalsA!D$14:D$920,TrialBalanceA!M63,JournalsA!J$14:J$920)+SUMIF(JournalsA!E$14:E$920,TrialBalanceA!M63,JournalsA!J$14:J$920)</f>
        <v>0</v>
      </c>
      <c r="H63" s="288"/>
      <c r="I63" s="255">
        <f t="shared" si="9"/>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SUMIF(JournalsA!D$14:D$920,TrialBalanceA!M64,JournalsA!J$14:J$920)+SUMIF(JournalsA!E$14:E$920,TrialBalanceA!M64,JournalsA!J$14:J$920)</f>
        <v>0</v>
      </c>
      <c r="H64" s="288"/>
      <c r="I64" s="255">
        <f t="shared" si="9"/>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SUMIF(JournalsA!D$14:D$920,TrialBalanceA!M65,JournalsA!J$14:J$920)+SUMIF(JournalsA!E$14:E$920,TrialBalanceA!M65,JournalsA!J$14:J$920)</f>
        <v>0</v>
      </c>
      <c r="H65" s="288"/>
      <c r="I65" s="255">
        <f t="shared" ref="I65" si="10">ROUND(D65-E65+G65+F65,0)</f>
        <v>0</v>
      </c>
      <c r="J65" s="75"/>
      <c r="K65" s="48">
        <f t="shared" ref="K65" si="11">ROUND(SUM(A65),0)</f>
        <v>0</v>
      </c>
      <c r="M65" s="140" t="str">
        <f t="shared" ref="M65" si="12">CONCATENATE(B65,C65)</f>
        <v>2100/115Research and development cost</v>
      </c>
      <c r="N65" s="70"/>
      <c r="P65" s="71"/>
      <c r="Q65" s="51"/>
      <c r="R65" s="31"/>
    </row>
    <row r="66" spans="1:18" x14ac:dyDescent="0.2">
      <c r="A66" s="238"/>
      <c r="B66" s="54" t="s">
        <v>58</v>
      </c>
      <c r="C66" s="240" t="s">
        <v>59</v>
      </c>
      <c r="D66" s="282"/>
      <c r="E66" s="281"/>
      <c r="F66" s="79"/>
      <c r="G66" s="47">
        <f>SUMIF(JournalsA!D$14:D$920,TrialBalanceA!M66,JournalsA!J$14:J$920)+SUMIF(JournalsA!E$14:E$920,TrialBalanceA!M66,JournalsA!J$14:J$920)</f>
        <v>0</v>
      </c>
      <c r="H66" s="288"/>
      <c r="I66" s="255">
        <f t="shared" si="9"/>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SUMIF(JournalsA!D$14:D$920,TrialBalanceA!M67,JournalsA!J$14:J$920)+SUMIF(JournalsA!E$14:E$920,TrialBalanceA!M67,JournalsA!J$14:J$920)</f>
        <v>0</v>
      </c>
      <c r="H67" s="288"/>
      <c r="I67" s="255">
        <f t="shared" si="9"/>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SUMIF(JournalsA!D$14:D$920,TrialBalanceA!M68,JournalsA!J$14:J$920)+SUMIF(JournalsA!E$14:E$920,TrialBalanceA!M68,JournalsA!J$14:J$920)</f>
        <v>0</v>
      </c>
      <c r="H68" s="288"/>
      <c r="I68" s="255">
        <f t="shared" si="9"/>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SUMIF(JournalsA!D$14:D$920,TrialBalanceA!M69,JournalsA!J$14:J$920)+SUMIF(JournalsA!E$14:E$920,TrialBalanceA!M69,JournalsA!J$14:J$920)</f>
        <v>0</v>
      </c>
      <c r="H69" s="288"/>
      <c r="I69" s="255">
        <f t="shared" si="9"/>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SUMIF(JournalsA!D$14:D$920,TrialBalanceA!M70,JournalsA!J$14:J$920)+SUMIF(JournalsA!E$14:E$920,TrialBalanceA!M70,JournalsA!J$14:J$920)</f>
        <v>0</v>
      </c>
      <c r="H70" s="288"/>
      <c r="I70" s="255">
        <f t="shared" si="9"/>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SUMIF(JournalsA!D$14:D$920,TrialBalanceA!M71,JournalsA!J$14:J$920)+SUMIF(JournalsA!E$14:E$920,TrialBalanceA!M71,JournalsA!J$14:J$920)</f>
        <v>0</v>
      </c>
      <c r="H71" s="288"/>
      <c r="I71" s="255">
        <f t="shared" si="9"/>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SUMIF(JournalsA!D$14:D$920,TrialBalanceA!M72,JournalsA!J$14:J$920)+SUMIF(JournalsA!E$14:E$920,TrialBalanceA!M72,JournalsA!J$14:J$920)</f>
        <v>0</v>
      </c>
      <c r="H72" s="288"/>
      <c r="I72" s="255">
        <f t="shared" si="9"/>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SUMIF(JournalsA!D$14:D$920,TrialBalanceA!M73,JournalsA!J$14:J$920)+SUMIF(JournalsA!E$14:E$920,TrialBalanceA!M73,JournalsA!J$14:J$920)</f>
        <v>0</v>
      </c>
      <c r="H73" s="288"/>
      <c r="I73" s="255">
        <f t="shared" si="9"/>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SUMIF(JournalsA!D$14:D$920,TrialBalanceA!M74,JournalsA!J$14:J$920)+SUMIF(JournalsA!E$14:E$920,TrialBalanceA!M74,JournalsA!J$14:J$920)</f>
        <v>0</v>
      </c>
      <c r="H74" s="288"/>
      <c r="I74" s="255">
        <f t="shared" ref="I74:I102" si="13">ROUND(D74-E74+G74+F74,0)</f>
        <v>0</v>
      </c>
      <c r="J74" s="75"/>
      <c r="K74" s="48">
        <f t="shared" ref="K74:K138" si="14">ROUND(SUM(A74),0)</f>
        <v>0</v>
      </c>
      <c r="M74" s="140" t="str">
        <f t="shared" ref="M74:M138" si="15">CONCATENATE(B74,C74)</f>
        <v>2150/002</v>
      </c>
      <c r="N74" s="70"/>
      <c r="P74" s="71"/>
      <c r="Q74" s="51"/>
      <c r="R74" s="31"/>
    </row>
    <row r="75" spans="1:18" x14ac:dyDescent="0.2">
      <c r="A75" s="238"/>
      <c r="B75" s="90" t="s">
        <v>582</v>
      </c>
      <c r="C75" s="276"/>
      <c r="D75" s="281"/>
      <c r="E75" s="281"/>
      <c r="F75" s="79"/>
      <c r="G75" s="47">
        <f>SUMIF(JournalsA!D$14:D$920,TrialBalanceA!M75,JournalsA!J$14:J$920)+SUMIF(JournalsA!E$14:E$920,TrialBalanceA!M75,JournalsA!J$14:J$920)</f>
        <v>0</v>
      </c>
      <c r="H75" s="288"/>
      <c r="I75" s="255">
        <f t="shared" si="13"/>
        <v>0</v>
      </c>
      <c r="J75" s="75"/>
      <c r="K75" s="48">
        <f t="shared" si="14"/>
        <v>0</v>
      </c>
      <c r="M75" s="140" t="str">
        <f t="shared" si="15"/>
        <v>2150/003</v>
      </c>
      <c r="N75" s="70"/>
      <c r="P75" s="71"/>
      <c r="Q75" s="51"/>
      <c r="R75" s="31"/>
    </row>
    <row r="76" spans="1:18" x14ac:dyDescent="0.2">
      <c r="A76" s="238"/>
      <c r="B76" s="90" t="s">
        <v>583</v>
      </c>
      <c r="C76" s="276"/>
      <c r="D76" s="281"/>
      <c r="E76" s="281"/>
      <c r="F76" s="79"/>
      <c r="G76" s="47">
        <f>SUMIF(JournalsA!D$14:D$920,TrialBalanceA!M76,JournalsA!J$14:J$920)+SUMIF(JournalsA!E$14:E$920,TrialBalanceA!M76,JournalsA!J$14:J$920)</f>
        <v>0</v>
      </c>
      <c r="H76" s="288"/>
      <c r="I76" s="255">
        <f t="shared" si="13"/>
        <v>0</v>
      </c>
      <c r="J76" s="75"/>
      <c r="K76" s="48">
        <f t="shared" si="14"/>
        <v>0</v>
      </c>
      <c r="M76" s="140" t="str">
        <f t="shared" si="15"/>
        <v>2150/004</v>
      </c>
      <c r="N76" s="70"/>
      <c r="P76" s="71"/>
      <c r="Q76" s="51"/>
      <c r="R76" s="31"/>
    </row>
    <row r="77" spans="1:18" x14ac:dyDescent="0.2">
      <c r="A77" s="238"/>
      <c r="B77" s="90" t="s">
        <v>584</v>
      </c>
      <c r="C77" s="276"/>
      <c r="D77" s="281"/>
      <c r="E77" s="281"/>
      <c r="F77" s="79"/>
      <c r="G77" s="47">
        <f>SUMIF(JournalsA!D$14:D$920,TrialBalanceA!M77,JournalsA!J$14:J$920)+SUMIF(JournalsA!E$14:E$920,TrialBalanceA!M77,JournalsA!J$14:J$920)</f>
        <v>0</v>
      </c>
      <c r="H77" s="288"/>
      <c r="I77" s="255">
        <f t="shared" si="13"/>
        <v>0</v>
      </c>
      <c r="J77" s="75"/>
      <c r="K77" s="48">
        <f t="shared" si="14"/>
        <v>0</v>
      </c>
      <c r="M77" s="140" t="str">
        <f t="shared" si="15"/>
        <v>2150/005</v>
      </c>
      <c r="N77" s="70"/>
      <c r="P77" s="71"/>
      <c r="Q77" s="51"/>
      <c r="R77" s="31"/>
    </row>
    <row r="78" spans="1:18" x14ac:dyDescent="0.2">
      <c r="A78" s="238"/>
      <c r="B78" s="90" t="s">
        <v>585</v>
      </c>
      <c r="C78" s="278"/>
      <c r="D78" s="274"/>
      <c r="E78" s="281"/>
      <c r="F78" s="79"/>
      <c r="G78" s="47">
        <f>SUMIF(JournalsA!D$14:D$920,TrialBalanceA!M78,JournalsA!J$14:J$920)+SUMIF(JournalsA!E$14:E$920,TrialBalanceA!M78,JournalsA!J$14:J$920)</f>
        <v>0</v>
      </c>
      <c r="H78" s="288"/>
      <c r="I78" s="255">
        <f t="shared" si="13"/>
        <v>0</v>
      </c>
      <c r="J78" s="75"/>
      <c r="K78" s="48">
        <f t="shared" si="14"/>
        <v>0</v>
      </c>
      <c r="M78" s="140" t="str">
        <f t="shared" si="15"/>
        <v>2150/006</v>
      </c>
      <c r="N78" s="70"/>
      <c r="P78" s="71"/>
      <c r="Q78" s="51"/>
      <c r="R78" s="31"/>
    </row>
    <row r="79" spans="1:18" x14ac:dyDescent="0.2">
      <c r="A79" s="238"/>
      <c r="B79" s="90" t="s">
        <v>586</v>
      </c>
      <c r="C79" s="278"/>
      <c r="D79" s="274"/>
      <c r="E79" s="281"/>
      <c r="F79" s="79"/>
      <c r="G79" s="47">
        <f>SUMIF(JournalsA!D$14:D$920,TrialBalanceA!M79,JournalsA!J$14:J$920)+SUMIF(JournalsA!E$14:E$920,TrialBalanceA!M79,JournalsA!J$14:J$920)</f>
        <v>0</v>
      </c>
      <c r="H79" s="288"/>
      <c r="I79" s="255">
        <f t="shared" si="13"/>
        <v>0</v>
      </c>
      <c r="J79" s="75"/>
      <c r="K79" s="48">
        <f t="shared" si="14"/>
        <v>0</v>
      </c>
      <c r="M79" s="140" t="str">
        <f t="shared" si="15"/>
        <v>2150/007</v>
      </c>
      <c r="N79" s="70"/>
      <c r="P79" s="71"/>
      <c r="Q79" s="51"/>
      <c r="R79" s="31"/>
    </row>
    <row r="80" spans="1:18" x14ac:dyDescent="0.2">
      <c r="A80" s="238"/>
      <c r="B80" s="90" t="s">
        <v>587</v>
      </c>
      <c r="C80" s="276"/>
      <c r="D80" s="274"/>
      <c r="E80" s="281"/>
      <c r="F80" s="79"/>
      <c r="G80" s="47">
        <f>SUMIF(JournalsA!D$14:D$920,TrialBalanceA!M80,JournalsA!J$14:J$920)+SUMIF(JournalsA!E$14:E$920,TrialBalanceA!M80,JournalsA!J$14:J$920)</f>
        <v>0</v>
      </c>
      <c r="H80" s="288"/>
      <c r="I80" s="255">
        <f t="shared" si="13"/>
        <v>0</v>
      </c>
      <c r="J80" s="75"/>
      <c r="K80" s="48">
        <f t="shared" si="14"/>
        <v>0</v>
      </c>
      <c r="M80" s="140" t="str">
        <f t="shared" si="15"/>
        <v>2150/008</v>
      </c>
      <c r="N80" s="70"/>
      <c r="P80" s="71"/>
      <c r="Q80" s="51"/>
      <c r="R80" s="31"/>
    </row>
    <row r="81" spans="1:18" x14ac:dyDescent="0.2">
      <c r="A81" s="238"/>
      <c r="B81" s="90" t="s">
        <v>588</v>
      </c>
      <c r="C81" s="276"/>
      <c r="D81" s="274"/>
      <c r="E81" s="281"/>
      <c r="F81" s="79"/>
      <c r="G81" s="47">
        <f>SUMIF(JournalsA!D$14:D$920,TrialBalanceA!M81,JournalsA!J$14:J$920)+SUMIF(JournalsA!E$14:E$920,TrialBalanceA!M81,JournalsA!J$14:J$920)</f>
        <v>0</v>
      </c>
      <c r="H81" s="288"/>
      <c r="I81" s="255">
        <f t="shared" si="13"/>
        <v>0</v>
      </c>
      <c r="J81" s="75"/>
      <c r="K81" s="48">
        <f t="shared" si="14"/>
        <v>0</v>
      </c>
      <c r="M81" s="140" t="str">
        <f t="shared" si="15"/>
        <v>2150/009</v>
      </c>
      <c r="N81" s="70"/>
      <c r="P81" s="71"/>
      <c r="Q81" s="51"/>
      <c r="R81" s="31"/>
    </row>
    <row r="82" spans="1:18" x14ac:dyDescent="0.2">
      <c r="A82" s="238"/>
      <c r="B82" s="90" t="s">
        <v>589</v>
      </c>
      <c r="C82" s="276"/>
      <c r="D82" s="272"/>
      <c r="E82" s="281"/>
      <c r="F82" s="79"/>
      <c r="G82" s="47">
        <f>SUMIF(JournalsA!D$14:D$920,TrialBalanceA!M82,JournalsA!J$14:J$920)+SUMIF(JournalsA!E$14:E$920,TrialBalanceA!M82,JournalsA!J$14:J$920)</f>
        <v>0</v>
      </c>
      <c r="H82" s="288"/>
      <c r="I82" s="255">
        <f t="shared" si="13"/>
        <v>0</v>
      </c>
      <c r="J82" s="75"/>
      <c r="K82" s="48">
        <f t="shared" si="14"/>
        <v>0</v>
      </c>
      <c r="M82" s="140" t="str">
        <f t="shared" si="15"/>
        <v>2150/010</v>
      </c>
      <c r="N82" s="70"/>
      <c r="P82" s="71"/>
      <c r="Q82" s="51"/>
      <c r="R82" s="31"/>
    </row>
    <row r="83" spans="1:18" x14ac:dyDescent="0.2">
      <c r="A83" s="238"/>
      <c r="B83" s="54" t="s">
        <v>18</v>
      </c>
      <c r="C83" s="239" t="s">
        <v>102</v>
      </c>
      <c r="D83" s="283"/>
      <c r="E83" s="281"/>
      <c r="F83" s="79"/>
      <c r="G83" s="47">
        <f>SUMIF(JournalsA!D$14:D$920,TrialBalanceA!M83,JournalsA!J$14:J$920)+SUMIF(JournalsA!E$14:E$920,TrialBalanceA!M83,JournalsA!J$14:J$920)</f>
        <v>0</v>
      </c>
      <c r="H83" s="288"/>
      <c r="I83" s="255">
        <f t="shared" si="13"/>
        <v>0</v>
      </c>
      <c r="J83" s="75"/>
      <c r="K83" s="48">
        <f t="shared" si="14"/>
        <v>0</v>
      </c>
      <c r="M83" s="140" t="str">
        <f t="shared" si="15"/>
        <v>2500/000OTHER INCOME</v>
      </c>
      <c r="N83" s="70"/>
      <c r="P83" s="71"/>
      <c r="Q83" s="51"/>
      <c r="R83" s="31"/>
    </row>
    <row r="84" spans="1:18" x14ac:dyDescent="0.2">
      <c r="A84" s="238"/>
      <c r="B84" s="54" t="s">
        <v>333</v>
      </c>
      <c r="C84" s="241" t="s">
        <v>713</v>
      </c>
      <c r="D84" s="272"/>
      <c r="E84" s="281"/>
      <c r="F84" s="79"/>
      <c r="G84" s="47">
        <f>SUMIF(JournalsA!D$14:D$920,TrialBalanceA!M84,JournalsA!J$14:J$920)+SUMIF(JournalsA!E$14:E$920,TrialBalanceA!M84,JournalsA!J$14:J$920)</f>
        <v>0</v>
      </c>
      <c r="H84" s="288"/>
      <c r="I84" s="255">
        <f t="shared" si="13"/>
        <v>0</v>
      </c>
      <c r="J84" s="75"/>
      <c r="K84" s="48">
        <f t="shared" si="14"/>
        <v>0</v>
      </c>
      <c r="M84" s="140" t="str">
        <f t="shared" si="15"/>
        <v>2710/000Rent received (not main income)</v>
      </c>
      <c r="N84" s="70"/>
      <c r="P84" s="71"/>
      <c r="Q84" s="51"/>
      <c r="R84" s="31"/>
    </row>
    <row r="85" spans="1:18" x14ac:dyDescent="0.2">
      <c r="A85" s="238"/>
      <c r="B85" s="54" t="s">
        <v>69</v>
      </c>
      <c r="C85" s="239" t="s">
        <v>719</v>
      </c>
      <c r="D85" s="283"/>
      <c r="E85" s="281"/>
      <c r="F85" s="79"/>
      <c r="G85" s="47">
        <f>SUMIF(JournalsA!D$14:D$920,TrialBalanceA!M85,JournalsA!J$14:J$920)+SUMIF(JournalsA!E$14:E$920,TrialBalanceA!M85,JournalsA!J$14:J$920)</f>
        <v>0</v>
      </c>
      <c r="H85" s="288"/>
      <c r="I85" s="255">
        <f t="shared" si="13"/>
        <v>0</v>
      </c>
      <c r="J85" s="75"/>
      <c r="K85" s="48">
        <f t="shared" si="14"/>
        <v>0</v>
      </c>
      <c r="M85" s="140" t="str">
        <f t="shared" si="15"/>
        <v>2750/000Interest received-----------------------</v>
      </c>
      <c r="N85" s="70"/>
      <c r="P85" s="71"/>
      <c r="Q85" s="51"/>
      <c r="R85" s="31"/>
    </row>
    <row r="86" spans="1:18" x14ac:dyDescent="0.2">
      <c r="A86" s="238"/>
      <c r="B86" s="54" t="s">
        <v>70</v>
      </c>
      <c r="C86" s="276"/>
      <c r="D86" s="274"/>
      <c r="E86" s="281"/>
      <c r="F86" s="79"/>
      <c r="G86" s="47">
        <f>SUMIF(JournalsA!D$14:D$920,TrialBalanceA!M86,JournalsA!J$14:J$920)+SUMIF(JournalsA!E$14:E$920,TrialBalanceA!M86,JournalsA!J$14:J$920)</f>
        <v>0</v>
      </c>
      <c r="H86" s="288"/>
      <c r="I86" s="255">
        <f t="shared" si="13"/>
        <v>0</v>
      </c>
      <c r="J86" s="75"/>
      <c r="K86" s="48">
        <f t="shared" si="14"/>
        <v>0</v>
      </c>
      <c r="M86" s="140" t="str">
        <f t="shared" si="15"/>
        <v>2750/001</v>
      </c>
      <c r="N86" s="70"/>
      <c r="P86" s="71"/>
      <c r="Q86" s="51"/>
      <c r="R86" s="31"/>
    </row>
    <row r="87" spans="1:18" x14ac:dyDescent="0.2">
      <c r="A87" s="238"/>
      <c r="B87" s="54" t="s">
        <v>71</v>
      </c>
      <c r="C87" s="278"/>
      <c r="D87" s="274"/>
      <c r="E87" s="281"/>
      <c r="F87" s="79"/>
      <c r="G87" s="47">
        <f>SUMIF(JournalsA!D$14:D$920,TrialBalanceA!M87,JournalsA!J$14:J$920)+SUMIF(JournalsA!E$14:E$920,TrialBalanceA!M87,JournalsA!J$14:J$920)</f>
        <v>0</v>
      </c>
      <c r="H87" s="288"/>
      <c r="I87" s="255">
        <f t="shared" si="13"/>
        <v>0</v>
      </c>
      <c r="J87" s="75"/>
      <c r="K87" s="48">
        <f t="shared" si="14"/>
        <v>0</v>
      </c>
      <c r="M87" s="140" t="str">
        <f t="shared" si="15"/>
        <v>2750/002</v>
      </c>
      <c r="N87" s="70"/>
      <c r="P87" s="71"/>
      <c r="Q87" s="51"/>
      <c r="R87" s="31"/>
    </row>
    <row r="88" spans="1:18" x14ac:dyDescent="0.2">
      <c r="A88" s="238"/>
      <c r="B88" s="54" t="s">
        <v>72</v>
      </c>
      <c r="C88" s="279"/>
      <c r="D88" s="282"/>
      <c r="E88" s="281"/>
      <c r="F88" s="79"/>
      <c r="G88" s="47">
        <f>SUMIF(JournalsA!D$14:D$920,TrialBalanceA!M88,JournalsA!J$14:J$920)+SUMIF(JournalsA!E$14:E$920,TrialBalanceA!M88,JournalsA!J$14:J$920)</f>
        <v>0</v>
      </c>
      <c r="H88" s="288"/>
      <c r="I88" s="255">
        <f t="shared" si="13"/>
        <v>0</v>
      </c>
      <c r="J88" s="75"/>
      <c r="K88" s="48">
        <f t="shared" si="14"/>
        <v>0</v>
      </c>
      <c r="M88" s="140" t="str">
        <f t="shared" si="15"/>
        <v>2750/003</v>
      </c>
      <c r="N88" s="70"/>
      <c r="P88" s="71"/>
      <c r="Q88" s="51"/>
      <c r="R88" s="31"/>
    </row>
    <row r="89" spans="1:18" x14ac:dyDescent="0.2">
      <c r="A89" s="238"/>
      <c r="B89" s="54" t="s">
        <v>73</v>
      </c>
      <c r="C89" s="279"/>
      <c r="D89" s="282"/>
      <c r="E89" s="281"/>
      <c r="F89" s="79"/>
      <c r="G89" s="47">
        <f>SUMIF(JournalsA!D$14:D$920,TrialBalanceA!M89,JournalsA!J$14:J$920)+SUMIF(JournalsA!E$14:E$920,TrialBalanceA!M89,JournalsA!J$14:J$920)</f>
        <v>0</v>
      </c>
      <c r="H89" s="288"/>
      <c r="I89" s="255">
        <f t="shared" si="13"/>
        <v>0</v>
      </c>
      <c r="J89" s="75"/>
      <c r="K89" s="48">
        <f t="shared" si="14"/>
        <v>0</v>
      </c>
      <c r="M89" s="140" t="str">
        <f t="shared" si="15"/>
        <v>2750/004</v>
      </c>
      <c r="N89" s="70"/>
      <c r="P89" s="71"/>
      <c r="Q89" s="51"/>
      <c r="R89" s="31"/>
    </row>
    <row r="90" spans="1:18" x14ac:dyDescent="0.2">
      <c r="A90" s="238"/>
      <c r="B90" s="54" t="s">
        <v>176</v>
      </c>
      <c r="C90" s="239" t="s">
        <v>274</v>
      </c>
      <c r="D90" s="283"/>
      <c r="E90" s="281"/>
      <c r="F90" s="79"/>
      <c r="G90" s="47">
        <f>SUMIF(JournalsA!D$14:D$920,TrialBalanceA!M90,JournalsA!J$14:J$920)+SUMIF(JournalsA!E$14:E$920,TrialBalanceA!M90,JournalsA!J$14:J$920)</f>
        <v>0</v>
      </c>
      <c r="H90" s="288"/>
      <c r="I90" s="255">
        <f t="shared" si="13"/>
        <v>0</v>
      </c>
      <c r="J90" s="75"/>
      <c r="K90" s="48">
        <f t="shared" si="14"/>
        <v>0</v>
      </c>
      <c r="M90" s="140" t="str">
        <f t="shared" si="15"/>
        <v>2800/000Dividends received----------------------</v>
      </c>
      <c r="N90" s="70"/>
      <c r="P90" s="71"/>
      <c r="Q90" s="51"/>
      <c r="R90" s="31"/>
    </row>
    <row r="91" spans="1:18" x14ac:dyDescent="0.2">
      <c r="A91" s="238"/>
      <c r="B91" s="54" t="s">
        <v>275</v>
      </c>
      <c r="C91" s="242" t="s">
        <v>664</v>
      </c>
      <c r="D91" s="282"/>
      <c r="E91" s="281"/>
      <c r="F91" s="79"/>
      <c r="G91" s="47">
        <f>SUMIF(JournalsA!D$14:D$920,TrialBalanceA!M91,JournalsA!J$14:J$920)+SUMIF(JournalsA!E$14:E$920,TrialBalanceA!M91,JournalsA!J$14:J$920)</f>
        <v>0</v>
      </c>
      <c r="H91" s="288"/>
      <c r="I91" s="255">
        <f t="shared" si="13"/>
        <v>0</v>
      </c>
      <c r="J91" s="75"/>
      <c r="K91" s="48">
        <f t="shared" si="14"/>
        <v>0</v>
      </c>
      <c r="M91" s="140" t="str">
        <f t="shared" si="15"/>
        <v>2800/001Div.'s received - SA sources</v>
      </c>
      <c r="N91" s="70"/>
      <c r="P91" s="71"/>
      <c r="Q91" s="51"/>
      <c r="R91" s="31"/>
    </row>
    <row r="92" spans="1:18" x14ac:dyDescent="0.2">
      <c r="A92" s="238"/>
      <c r="B92" s="54" t="s">
        <v>186</v>
      </c>
      <c r="C92" s="242" t="s">
        <v>992</v>
      </c>
      <c r="D92" s="282"/>
      <c r="E92" s="281"/>
      <c r="F92" s="79"/>
      <c r="G92" s="47">
        <f>SUMIF(JournalsA!D$14:D$920,TrialBalanceA!M92,JournalsA!J$14:J$920)+SUMIF(JournalsA!E$14:E$920,TrialBalanceA!M92,JournalsA!J$14:J$920)</f>
        <v>0</v>
      </c>
      <c r="H92" s="288"/>
      <c r="I92" s="255">
        <f t="shared" ref="I92" si="16">ROUND(D92-E92+G92+F92,0)</f>
        <v>0</v>
      </c>
      <c r="J92" s="75"/>
      <c r="K92" s="48">
        <f t="shared" ref="K92" si="17">ROUND(SUM(A92),0)</f>
        <v>0</v>
      </c>
      <c r="M92" s="140" t="str">
        <f t="shared" ref="M92" si="18">CONCATENATE(B92,C92)</f>
        <v>2800/002Div.'s received - Associates</v>
      </c>
      <c r="N92" s="70"/>
      <c r="P92" s="71"/>
      <c r="Q92" s="51"/>
      <c r="R92" s="31"/>
    </row>
    <row r="93" spans="1:18" x14ac:dyDescent="0.2">
      <c r="A93" s="238"/>
      <c r="B93" s="90" t="s">
        <v>991</v>
      </c>
      <c r="C93" s="242" t="s">
        <v>665</v>
      </c>
      <c r="D93" s="282"/>
      <c r="E93" s="281"/>
      <c r="F93" s="79"/>
      <c r="G93" s="47">
        <f>SUMIF(JournalsA!D$14:D$920,TrialBalanceA!M93,JournalsA!J$14:J$920)+SUMIF(JournalsA!E$14:E$920,TrialBalanceA!M93,JournalsA!J$14:J$920)</f>
        <v>0</v>
      </c>
      <c r="H93" s="288"/>
      <c r="I93" s="255">
        <f t="shared" si="13"/>
        <v>0</v>
      </c>
      <c r="J93" s="75"/>
      <c r="K93" s="48">
        <f t="shared" si="14"/>
        <v>0</v>
      </c>
      <c r="M93" s="140" t="str">
        <f t="shared" si="15"/>
        <v>2800/003Div.'s received - Foreign div.'s</v>
      </c>
      <c r="N93" s="70"/>
      <c r="P93" s="71"/>
      <c r="Q93" s="51"/>
      <c r="R93" s="31"/>
    </row>
    <row r="94" spans="1:18" x14ac:dyDescent="0.2">
      <c r="A94" s="238"/>
      <c r="B94" s="54" t="s">
        <v>187</v>
      </c>
      <c r="C94" s="242" t="s">
        <v>625</v>
      </c>
      <c r="D94" s="284"/>
      <c r="E94" s="281"/>
      <c r="F94" s="79"/>
      <c r="G94" s="47">
        <f>SUMIF(JournalsA!D$14:D$920,TrialBalanceA!M94,JournalsA!J$14:J$920)+SUMIF(JournalsA!E$14:E$920,TrialBalanceA!M94,JournalsA!J$14:J$920)</f>
        <v>0</v>
      </c>
      <c r="H94" s="288"/>
      <c r="I94" s="255">
        <f t="shared" si="13"/>
        <v>0</v>
      </c>
      <c r="J94" s="75"/>
      <c r="K94" s="48">
        <f t="shared" si="14"/>
        <v>0</v>
      </c>
      <c r="M94" s="140" t="str">
        <f t="shared" si="15"/>
        <v>2810/000(Profit)/Loss on sale of fixed assets</v>
      </c>
      <c r="N94" s="70"/>
      <c r="P94" s="71"/>
      <c r="Q94" s="51"/>
      <c r="R94" s="31"/>
    </row>
    <row r="95" spans="1:18" x14ac:dyDescent="0.2">
      <c r="A95" s="238"/>
      <c r="B95" s="54" t="s">
        <v>188</v>
      </c>
      <c r="C95" s="240" t="s">
        <v>189</v>
      </c>
      <c r="D95" s="282"/>
      <c r="E95" s="281"/>
      <c r="F95" s="79"/>
      <c r="G95" s="47">
        <f>SUMIF(JournalsA!D$14:D$920,TrialBalanceA!M95,JournalsA!J$14:J$920)+SUMIF(JournalsA!E$14:E$920,TrialBalanceA!M95,JournalsA!J$14:J$920)</f>
        <v>0</v>
      </c>
      <c r="H95" s="288"/>
      <c r="I95" s="255">
        <f t="shared" si="13"/>
        <v>0</v>
      </c>
      <c r="J95" s="75"/>
      <c r="K95" s="48">
        <f t="shared" si="14"/>
        <v>0</v>
      </c>
      <c r="M95" s="140" t="str">
        <f t="shared" si="15"/>
        <v>2820/000Bad debts recovered</v>
      </c>
      <c r="N95" s="70"/>
      <c r="P95" s="71"/>
      <c r="Q95" s="51"/>
      <c r="R95" s="31"/>
    </row>
    <row r="96" spans="1:18" x14ac:dyDescent="0.2">
      <c r="A96" s="238"/>
      <c r="B96" s="54" t="s">
        <v>190</v>
      </c>
      <c r="C96" s="240" t="s">
        <v>191</v>
      </c>
      <c r="D96" s="282"/>
      <c r="E96" s="281"/>
      <c r="F96" s="79"/>
      <c r="G96" s="47">
        <f>SUMIF(JournalsA!D$14:D$920,TrialBalanceA!M96,JournalsA!J$14:J$920)+SUMIF(JournalsA!E$14:E$920,TrialBalanceA!M96,JournalsA!J$14:J$920)</f>
        <v>0</v>
      </c>
      <c r="H96" s="288"/>
      <c r="I96" s="255">
        <f t="shared" si="13"/>
        <v>0</v>
      </c>
      <c r="J96" s="75"/>
      <c r="K96" s="48">
        <f t="shared" si="14"/>
        <v>0</v>
      </c>
      <c r="M96" s="140" t="str">
        <f t="shared" si="15"/>
        <v>2830/000Other income</v>
      </c>
      <c r="N96" s="70"/>
      <c r="P96" s="51"/>
      <c r="Q96" s="51"/>
      <c r="R96" s="31"/>
    </row>
    <row r="97" spans="1:18" x14ac:dyDescent="0.2">
      <c r="A97" s="238"/>
      <c r="B97" s="90" t="s">
        <v>934</v>
      </c>
      <c r="C97" s="242" t="s">
        <v>935</v>
      </c>
      <c r="D97" s="282"/>
      <c r="E97" s="281"/>
      <c r="F97" s="79"/>
      <c r="G97" s="47">
        <f>SUMIF(JournalsA!D$14:D$920,TrialBalanceA!M97,JournalsA!J$14:J$920)+SUMIF(JournalsA!E$14:E$920,TrialBalanceA!M97,JournalsA!J$14:J$920)</f>
        <v>0</v>
      </c>
      <c r="H97" s="288"/>
      <c r="I97" s="255">
        <f t="shared" ref="I97" si="19">ROUND(D97-E97+G97+F97,0)</f>
        <v>0</v>
      </c>
      <c r="J97" s="75"/>
      <c r="K97" s="48">
        <f t="shared" ref="K97" si="20">ROUND(SUM(A97),0)</f>
        <v>0</v>
      </c>
      <c r="M97" s="140" t="str">
        <f t="shared" ref="M97" si="21">CONCATENATE(B97,C97)</f>
        <v>2840/000Revaluation of investment property</v>
      </c>
      <c r="N97" s="70"/>
      <c r="P97" s="51"/>
      <c r="Q97" s="51"/>
      <c r="R97" s="31"/>
    </row>
    <row r="98" spans="1:18" x14ac:dyDescent="0.2">
      <c r="A98" s="238"/>
      <c r="B98" s="54" t="s">
        <v>192</v>
      </c>
      <c r="C98" s="239" t="s">
        <v>834</v>
      </c>
      <c r="D98" s="283"/>
      <c r="E98" s="281"/>
      <c r="F98" s="79"/>
      <c r="G98" s="47">
        <f>SUMIF(JournalsA!D$14:D$920,TrialBalanceA!M98,JournalsA!J$14:J$920)+SUMIF(JournalsA!E$14:E$920,TrialBalanceA!M98,JournalsA!J$14:J$920)</f>
        <v>0</v>
      </c>
      <c r="H98" s="288"/>
      <c r="I98" s="255">
        <f t="shared" si="13"/>
        <v>0</v>
      </c>
      <c r="J98" s="75"/>
      <c r="K98" s="48">
        <f t="shared" si="14"/>
        <v>0</v>
      </c>
      <c r="M98" s="140" t="str">
        <f t="shared" si="15"/>
        <v>3000/000ADMINISTRATIVE EXPENSES</v>
      </c>
      <c r="N98" s="70"/>
      <c r="P98" s="71"/>
      <c r="Q98" s="51"/>
      <c r="R98" s="31"/>
    </row>
    <row r="99" spans="1:18" x14ac:dyDescent="0.2">
      <c r="A99" s="238"/>
      <c r="B99" s="54" t="s">
        <v>193</v>
      </c>
      <c r="C99" s="240" t="s">
        <v>194</v>
      </c>
      <c r="D99" s="282"/>
      <c r="E99" s="281"/>
      <c r="F99" s="79"/>
      <c r="G99" s="47">
        <f>SUMIF(JournalsA!D$14:D$920,TrialBalanceA!M99,JournalsA!J$14:J$920)+SUMIF(JournalsA!E$14:E$920,TrialBalanceA!M99,JournalsA!J$14:J$920)</f>
        <v>0</v>
      </c>
      <c r="H99" s="288"/>
      <c r="I99" s="255">
        <f t="shared" si="13"/>
        <v>0</v>
      </c>
      <c r="J99" s="75"/>
      <c r="K99" s="48">
        <f t="shared" si="14"/>
        <v>0</v>
      </c>
      <c r="M99" s="140" t="str">
        <f t="shared" si="15"/>
        <v>3000/011Audit fees for current year</v>
      </c>
      <c r="N99" s="70"/>
      <c r="P99" s="51"/>
      <c r="Q99" s="51"/>
      <c r="R99" s="31"/>
    </row>
    <row r="100" spans="1:18" x14ac:dyDescent="0.2">
      <c r="A100" s="238"/>
      <c r="B100" s="54" t="s">
        <v>195</v>
      </c>
      <c r="C100" s="246" t="s">
        <v>331</v>
      </c>
      <c r="D100" s="272"/>
      <c r="E100" s="281"/>
      <c r="F100" s="79"/>
      <c r="G100" s="47">
        <f>SUMIF(JournalsA!D$14:D$920,TrialBalanceA!M100,JournalsA!J$14:J$920)+SUMIF(JournalsA!E$14:E$920,TrialBalanceA!M100,JournalsA!J$14:J$920)</f>
        <v>0</v>
      </c>
      <c r="H100" s="288"/>
      <c r="I100" s="255">
        <f t="shared" si="13"/>
        <v>0</v>
      </c>
      <c r="J100" s="75"/>
      <c r="K100" s="48">
        <f t="shared" si="14"/>
        <v>0</v>
      </c>
      <c r="M100" s="140" t="str">
        <f t="shared" si="15"/>
        <v>3000/012Under provision previous year</v>
      </c>
      <c r="N100" s="70"/>
      <c r="P100" s="71"/>
      <c r="Q100" s="51"/>
      <c r="R100" s="31"/>
    </row>
    <row r="101" spans="1:18" x14ac:dyDescent="0.2">
      <c r="A101" s="238"/>
      <c r="B101" s="54" t="s">
        <v>196</v>
      </c>
      <c r="C101" s="240" t="s">
        <v>197</v>
      </c>
      <c r="D101" s="282"/>
      <c r="E101" s="281"/>
      <c r="F101" s="79"/>
      <c r="G101" s="47">
        <f>SUMIF(JournalsA!D$14:D$920,TrialBalanceA!M101,JournalsA!J$14:J$920)+SUMIF(JournalsA!E$14:E$920,TrialBalanceA!M101,JournalsA!J$14:J$920)</f>
        <v>0</v>
      </c>
      <c r="H101" s="288"/>
      <c r="I101" s="255">
        <f t="shared" si="13"/>
        <v>0</v>
      </c>
      <c r="J101" s="75"/>
      <c r="K101" s="48">
        <f t="shared" si="14"/>
        <v>0</v>
      </c>
      <c r="M101" s="140" t="str">
        <f t="shared" si="15"/>
        <v>3000/013Overprovision previous year</v>
      </c>
      <c r="N101" s="70"/>
      <c r="P101" s="71"/>
      <c r="Q101" s="51"/>
      <c r="R101" s="31"/>
    </row>
    <row r="102" spans="1:18" x14ac:dyDescent="0.2">
      <c r="A102" s="238"/>
      <c r="B102" s="54" t="s">
        <v>198</v>
      </c>
      <c r="C102" s="240" t="s">
        <v>199</v>
      </c>
      <c r="D102" s="282"/>
      <c r="E102" s="281"/>
      <c r="F102" s="79"/>
      <c r="G102" s="47">
        <f>SUMIF(JournalsA!D$14:D$920,TrialBalanceA!M102,JournalsA!J$14:J$920)+SUMIF(JournalsA!E$14:E$920,TrialBalanceA!M102,JournalsA!J$14:J$920)</f>
        <v>0</v>
      </c>
      <c r="H102" s="288"/>
      <c r="I102" s="255">
        <f t="shared" si="13"/>
        <v>0</v>
      </c>
      <c r="J102" s="75"/>
      <c r="K102" s="48">
        <f t="shared" si="14"/>
        <v>0</v>
      </c>
      <c r="M102" s="140" t="str">
        <f t="shared" si="15"/>
        <v>3000/014Accounting fees</v>
      </c>
      <c r="N102" s="70"/>
      <c r="P102" s="71"/>
      <c r="Q102" s="51"/>
      <c r="R102" s="31"/>
    </row>
    <row r="103" spans="1:18" x14ac:dyDescent="0.2">
      <c r="A103" s="238"/>
      <c r="B103" s="54" t="s">
        <v>200</v>
      </c>
      <c r="C103" s="240" t="s">
        <v>201</v>
      </c>
      <c r="D103" s="282"/>
      <c r="E103" s="281"/>
      <c r="F103" s="79"/>
      <c r="G103" s="47">
        <f>SUMIF(JournalsA!D$14:D$920,TrialBalanceA!M103,JournalsA!J$14:J$920)+SUMIF(JournalsA!E$14:E$920,TrialBalanceA!M103,JournalsA!J$14:J$920)</f>
        <v>0</v>
      </c>
      <c r="H103" s="288"/>
      <c r="I103" s="255">
        <f>ROUND(D103-E103+G103+F103,0)</f>
        <v>0</v>
      </c>
      <c r="J103" s="75"/>
      <c r="K103" s="48">
        <f t="shared" si="14"/>
        <v>0</v>
      </c>
      <c r="M103" s="140" t="str">
        <f t="shared" si="15"/>
        <v>3000/020Bank charges</v>
      </c>
      <c r="N103" s="70"/>
      <c r="P103" s="71"/>
      <c r="Q103" s="51"/>
      <c r="R103" s="31"/>
    </row>
    <row r="104" spans="1:18" x14ac:dyDescent="0.2">
      <c r="A104" s="238"/>
      <c r="B104" s="54" t="s">
        <v>202</v>
      </c>
      <c r="C104" s="240" t="s">
        <v>203</v>
      </c>
      <c r="D104" s="282"/>
      <c r="E104" s="281"/>
      <c r="F104" s="79"/>
      <c r="G104" s="47">
        <f>SUMIF(JournalsA!D$14:D$920,TrialBalanceA!M104,JournalsA!J$14:J$920)+SUMIF(JournalsA!E$14:E$920,TrialBalanceA!M104,JournalsA!J$14:J$920)</f>
        <v>0</v>
      </c>
      <c r="H104" s="288"/>
      <c r="I104" s="255">
        <f t="shared" ref="I104:I136" si="22">ROUND(D104-E104+G104+F104,0)</f>
        <v>0</v>
      </c>
      <c r="J104" s="75"/>
      <c r="K104" s="48">
        <f t="shared" si="14"/>
        <v>0</v>
      </c>
      <c r="M104" s="140" t="str">
        <f t="shared" si="15"/>
        <v>3000/030Bad debts</v>
      </c>
      <c r="N104" s="70"/>
      <c r="P104" s="71"/>
      <c r="Q104" s="51"/>
      <c r="R104" s="31"/>
    </row>
    <row r="105" spans="1:18" x14ac:dyDescent="0.2">
      <c r="A105" s="238"/>
      <c r="B105" s="54" t="s">
        <v>204</v>
      </c>
      <c r="C105" s="240" t="s">
        <v>240</v>
      </c>
      <c r="D105" s="282"/>
      <c r="E105" s="281"/>
      <c r="F105" s="79"/>
      <c r="G105" s="47">
        <f>SUMIF(JournalsA!D$14:D$920,TrialBalanceA!M105,JournalsA!J$14:J$920)+SUMIF(JournalsA!E$14:E$920,TrialBalanceA!M105,JournalsA!J$14:J$920)</f>
        <v>0</v>
      </c>
      <c r="H105" s="288"/>
      <c r="I105" s="255">
        <f t="shared" si="22"/>
        <v>0</v>
      </c>
      <c r="J105" s="75"/>
      <c r="K105" s="48">
        <f t="shared" si="14"/>
        <v>0</v>
      </c>
      <c r="M105" s="140" t="str">
        <f t="shared" si="15"/>
        <v>3000/040Cleaning</v>
      </c>
      <c r="N105" s="70"/>
      <c r="P105" s="71"/>
      <c r="Q105" s="51"/>
      <c r="R105" s="31"/>
    </row>
    <row r="106" spans="1:18" x14ac:dyDescent="0.2">
      <c r="A106" s="238"/>
      <c r="B106" s="54" t="s">
        <v>205</v>
      </c>
      <c r="C106" s="240" t="s">
        <v>206</v>
      </c>
      <c r="D106" s="282"/>
      <c r="E106" s="281"/>
      <c r="F106" s="79"/>
      <c r="G106" s="47">
        <f>SUMIF(JournalsA!D$14:D$920,TrialBalanceA!M106,JournalsA!J$14:J$920)+SUMIF(JournalsA!E$14:E$920,TrialBalanceA!M106,JournalsA!J$14:J$920)</f>
        <v>0</v>
      </c>
      <c r="H106" s="288"/>
      <c r="I106" s="255">
        <f t="shared" si="22"/>
        <v>0</v>
      </c>
      <c r="J106" s="75"/>
      <c r="K106" s="48">
        <f t="shared" si="14"/>
        <v>0</v>
      </c>
      <c r="M106" s="140" t="str">
        <f t="shared" si="15"/>
        <v>3000/050Computer expenses</v>
      </c>
      <c r="N106" s="70"/>
      <c r="P106" s="71"/>
      <c r="Q106" s="51"/>
      <c r="R106" s="31"/>
    </row>
    <row r="107" spans="1:18" x14ac:dyDescent="0.2">
      <c r="A107" s="238"/>
      <c r="B107" s="90" t="s">
        <v>645</v>
      </c>
      <c r="C107" s="242" t="s">
        <v>680</v>
      </c>
      <c r="D107" s="282"/>
      <c r="E107" s="281"/>
      <c r="F107" s="79"/>
      <c r="G107" s="47">
        <f>SUMIF(JournalsA!D$14:D$920,TrialBalanceA!M107,JournalsA!J$14:J$920)+SUMIF(JournalsA!E$14:E$920,TrialBalanceA!M107,JournalsA!J$14:J$920)</f>
        <v>0</v>
      </c>
      <c r="H107" s="288"/>
      <c r="I107" s="255">
        <f t="shared" ref="I107" si="23">ROUND(D107-E107+G107+F107,0)</f>
        <v>0</v>
      </c>
      <c r="J107" s="75"/>
      <c r="K107" s="48">
        <f t="shared" ref="K107" si="24">ROUND(SUM(A107),0)</f>
        <v>0</v>
      </c>
      <c r="M107" s="140" t="str">
        <f t="shared" ref="M107" si="25">CONCATENATE(B107,C107)</f>
        <v>3000/055Consulting and professional fees</v>
      </c>
      <c r="N107" s="70"/>
      <c r="P107" s="71"/>
      <c r="Q107" s="51"/>
      <c r="R107" s="31"/>
    </row>
    <row r="108" spans="1:18" x14ac:dyDescent="0.2">
      <c r="A108" s="238"/>
      <c r="B108" s="90" t="s">
        <v>1211</v>
      </c>
      <c r="C108" s="242" t="s">
        <v>1212</v>
      </c>
      <c r="D108" s="282"/>
      <c r="E108" s="281"/>
      <c r="F108" s="79"/>
      <c r="G108" s="47">
        <f>SUMIF(JournalsA!D$14:D$920,TrialBalanceA!M108,JournalsA!J$14:J$920)+SUMIF(JournalsA!E$14:E$920,TrialBalanceA!M108,JournalsA!J$14:J$920)</f>
        <v>0</v>
      </c>
      <c r="H108" s="288"/>
      <c r="I108" s="255">
        <f t="shared" ref="I108" si="26">ROUND(D108-E108+G108+F108,0)</f>
        <v>0</v>
      </c>
      <c r="J108" s="75"/>
      <c r="K108" s="48">
        <f t="shared" ref="K108" si="27">ROUND(SUM(A108),0)</f>
        <v>0</v>
      </c>
      <c r="M108" s="140" t="str">
        <f t="shared" ref="M108" si="28">CONCATENATE(B108,C108)</f>
        <v>3000/058Defined contribution plan expense</v>
      </c>
      <c r="N108" s="70"/>
      <c r="P108" s="71"/>
      <c r="Q108" s="51"/>
      <c r="R108" s="31"/>
    </row>
    <row r="109" spans="1:18" x14ac:dyDescent="0.2">
      <c r="A109" s="238"/>
      <c r="B109" s="54" t="s">
        <v>207</v>
      </c>
      <c r="C109" s="239" t="s">
        <v>387</v>
      </c>
      <c r="D109" s="283"/>
      <c r="E109" s="281"/>
      <c r="F109" s="79"/>
      <c r="G109" s="47">
        <f>SUMIF(JournalsA!D$14:D$920,TrialBalanceA!M109,JournalsA!J$14:J$920)+SUMIF(JournalsA!E$14:E$920,TrialBalanceA!M109,JournalsA!J$14:J$920)</f>
        <v>0</v>
      </c>
      <c r="H109" s="288"/>
      <c r="I109" s="255">
        <f t="shared" si="22"/>
        <v>0</v>
      </c>
      <c r="J109" s="75"/>
      <c r="K109" s="48">
        <f t="shared" si="14"/>
        <v>0</v>
      </c>
      <c r="M109" s="140" t="str">
        <f t="shared" si="15"/>
        <v>3000/060Depreciation----------------------------</v>
      </c>
      <c r="N109" s="70"/>
      <c r="P109" s="71"/>
      <c r="Q109" s="51"/>
      <c r="R109" s="31"/>
    </row>
    <row r="110" spans="1:18" x14ac:dyDescent="0.2">
      <c r="A110" s="238"/>
      <c r="B110" s="90" t="s">
        <v>208</v>
      </c>
      <c r="C110" s="241" t="s">
        <v>48</v>
      </c>
      <c r="D110" s="281"/>
      <c r="E110" s="281"/>
      <c r="F110" s="79"/>
      <c r="G110" s="47">
        <f>SUMIF(JournalsA!D$14:D$920,TrialBalanceA!M110,JournalsA!J$14:J$920)+SUMIF(JournalsA!E$14:E$920,TrialBalanceA!M110,JournalsA!J$14:J$920)</f>
        <v>0</v>
      </c>
      <c r="H110" s="288"/>
      <c r="I110" s="255">
        <f t="shared" si="22"/>
        <v>0</v>
      </c>
      <c r="J110" s="75"/>
      <c r="K110" s="48">
        <f t="shared" si="14"/>
        <v>0</v>
      </c>
      <c r="M110" s="140" t="str">
        <f t="shared" si="15"/>
        <v>3000/061Depr - Electronic equipment</v>
      </c>
      <c r="N110" s="70"/>
      <c r="P110" s="71"/>
      <c r="Q110" s="51"/>
      <c r="R110" s="31"/>
    </row>
    <row r="111" spans="1:18" x14ac:dyDescent="0.2">
      <c r="A111" s="238"/>
      <c r="B111" s="90" t="s">
        <v>335</v>
      </c>
      <c r="C111" s="242" t="s">
        <v>718</v>
      </c>
      <c r="D111" s="282"/>
      <c r="E111" s="281"/>
      <c r="F111" s="79"/>
      <c r="G111" s="47">
        <f>SUMIF(JournalsA!D$14:D$920,TrialBalanceA!M111,JournalsA!J$14:J$920)+SUMIF(JournalsA!E$14:E$920,TrialBalanceA!M111,JournalsA!J$14:J$920)</f>
        <v>0</v>
      </c>
      <c r="H111" s="288"/>
      <c r="I111" s="255">
        <f t="shared" si="22"/>
        <v>0</v>
      </c>
      <c r="J111" s="75"/>
      <c r="K111" s="48">
        <f t="shared" si="14"/>
        <v>0</v>
      </c>
      <c r="M111" s="140" t="str">
        <f t="shared" si="15"/>
        <v>3000/063Depr - Furniture and fittings</v>
      </c>
      <c r="N111" s="70"/>
      <c r="P111" s="71"/>
      <c r="Q111" s="51"/>
      <c r="R111" s="31"/>
    </row>
    <row r="112" spans="1:18" x14ac:dyDescent="0.2">
      <c r="A112" s="238"/>
      <c r="B112" s="54" t="s">
        <v>336</v>
      </c>
      <c r="C112" s="239" t="s">
        <v>574</v>
      </c>
      <c r="D112" s="283"/>
      <c r="E112" s="281"/>
      <c r="F112" s="79"/>
      <c r="G112" s="47">
        <f>SUMIF(JournalsA!D$14:D$920,TrialBalanceA!M112,JournalsA!J$14:J$920)+SUMIF(JournalsA!E$14:E$920,TrialBalanceA!M112,JournalsA!J$14:J$920)</f>
        <v>0</v>
      </c>
      <c r="H112" s="288"/>
      <c r="I112" s="255">
        <f t="shared" si="22"/>
        <v>0</v>
      </c>
      <c r="J112" s="75"/>
      <c r="K112" s="48">
        <f t="shared" si="14"/>
        <v>0</v>
      </c>
      <c r="M112" s="140" t="str">
        <f t="shared" si="15"/>
        <v>3000/070Directors' remuneration-----------------</v>
      </c>
      <c r="N112" s="70"/>
      <c r="P112" s="71"/>
      <c r="Q112" s="51"/>
      <c r="R112" s="31"/>
    </row>
    <row r="113" spans="1:18" x14ac:dyDescent="0.2">
      <c r="A113" s="238"/>
      <c r="B113" s="54" t="s">
        <v>337</v>
      </c>
      <c r="C113" s="276" t="str">
        <f>Criteria!E38</f>
        <v>A Director</v>
      </c>
      <c r="D113" s="281"/>
      <c r="E113" s="281"/>
      <c r="F113" s="79"/>
      <c r="G113" s="47">
        <f>SUMIF(JournalsA!D$14:D$920,TrialBalanceA!M113,JournalsA!J$14:J$920)+SUMIF(JournalsA!E$14:E$920,TrialBalanceA!M113,JournalsA!J$14:J$920)</f>
        <v>0</v>
      </c>
      <c r="H113" s="288"/>
      <c r="I113" s="255">
        <f t="shared" si="22"/>
        <v>0</v>
      </c>
      <c r="J113" s="75"/>
      <c r="K113" s="48">
        <f t="shared" si="14"/>
        <v>0</v>
      </c>
      <c r="M113" s="140" t="str">
        <f t="shared" si="15"/>
        <v>3000/071A Director</v>
      </c>
      <c r="N113" s="70"/>
      <c r="P113" s="71"/>
      <c r="Q113" s="51"/>
      <c r="R113" s="31"/>
    </row>
    <row r="114" spans="1:18" x14ac:dyDescent="0.2">
      <c r="A114" s="238"/>
      <c r="B114" s="54" t="s">
        <v>338</v>
      </c>
      <c r="C114" s="276" t="str">
        <f>Criteria!E39</f>
        <v>B Director</v>
      </c>
      <c r="D114" s="281"/>
      <c r="E114" s="281"/>
      <c r="F114" s="79"/>
      <c r="G114" s="47">
        <f>SUMIF(JournalsA!D$14:D$920,TrialBalanceA!M114,JournalsA!J$14:J$920)+SUMIF(JournalsA!E$14:E$920,TrialBalanceA!M114,JournalsA!J$14:J$920)</f>
        <v>0</v>
      </c>
      <c r="H114" s="288"/>
      <c r="I114" s="255">
        <f t="shared" si="22"/>
        <v>0</v>
      </c>
      <c r="J114" s="75"/>
      <c r="K114" s="48">
        <f t="shared" si="14"/>
        <v>0</v>
      </c>
      <c r="M114" s="140" t="str">
        <f t="shared" si="15"/>
        <v>3000/072B Director</v>
      </c>
      <c r="N114" s="70"/>
      <c r="P114" s="71"/>
      <c r="Q114" s="51"/>
      <c r="R114" s="31"/>
    </row>
    <row r="115" spans="1:18" x14ac:dyDescent="0.2">
      <c r="A115" s="238"/>
      <c r="B115" s="54" t="s">
        <v>339</v>
      </c>
      <c r="C115" s="276">
        <f>Criteria!E40</f>
        <v>0</v>
      </c>
      <c r="D115" s="281"/>
      <c r="E115" s="281"/>
      <c r="F115" s="79"/>
      <c r="G115" s="47">
        <f>SUMIF(JournalsA!D$14:D$920,TrialBalanceA!M115,JournalsA!J$14:J$920)+SUMIF(JournalsA!E$14:E$920,TrialBalanceA!M115,JournalsA!J$14:J$920)</f>
        <v>0</v>
      </c>
      <c r="H115" s="288"/>
      <c r="I115" s="255">
        <f t="shared" si="22"/>
        <v>0</v>
      </c>
      <c r="J115" s="75"/>
      <c r="K115" s="48">
        <f t="shared" si="14"/>
        <v>0</v>
      </c>
      <c r="M115" s="140" t="str">
        <f t="shared" si="15"/>
        <v>3000/0730</v>
      </c>
      <c r="N115" s="70"/>
      <c r="P115" s="71"/>
      <c r="Q115" s="51"/>
      <c r="R115" s="31"/>
    </row>
    <row r="116" spans="1:18" x14ac:dyDescent="0.2">
      <c r="A116" s="238"/>
      <c r="B116" s="54" t="s">
        <v>340</v>
      </c>
      <c r="C116" s="276">
        <f>Criteria!E41</f>
        <v>0</v>
      </c>
      <c r="D116" s="281"/>
      <c r="E116" s="281"/>
      <c r="F116" s="79"/>
      <c r="G116" s="47">
        <f>SUMIF(JournalsA!D$14:D$920,TrialBalanceA!M116,JournalsA!J$14:J$920)+SUMIF(JournalsA!E$14:E$920,TrialBalanceA!M116,JournalsA!J$14:J$920)</f>
        <v>0</v>
      </c>
      <c r="H116" s="288"/>
      <c r="I116" s="255">
        <f t="shared" si="22"/>
        <v>0</v>
      </c>
      <c r="J116" s="75"/>
      <c r="K116" s="48">
        <f t="shared" si="14"/>
        <v>0</v>
      </c>
      <c r="M116" s="140" t="str">
        <f t="shared" si="15"/>
        <v>3000/0740</v>
      </c>
      <c r="N116" s="70"/>
      <c r="P116" s="71"/>
      <c r="Q116" s="51"/>
      <c r="R116" s="31"/>
    </row>
    <row r="117" spans="1:18" x14ac:dyDescent="0.2">
      <c r="A117" s="238"/>
      <c r="B117" s="54" t="s">
        <v>341</v>
      </c>
      <c r="C117" s="276">
        <f>Criteria!E42</f>
        <v>0</v>
      </c>
      <c r="D117" s="282"/>
      <c r="E117" s="281"/>
      <c r="F117" s="79"/>
      <c r="G117" s="47">
        <f>SUMIF(JournalsA!D$14:D$920,TrialBalanceA!M117,JournalsA!J$14:J$920)+SUMIF(JournalsA!E$14:E$920,TrialBalanceA!M117,JournalsA!J$14:J$920)</f>
        <v>0</v>
      </c>
      <c r="H117" s="288"/>
      <c r="I117" s="255">
        <f t="shared" si="22"/>
        <v>0</v>
      </c>
      <c r="J117" s="75"/>
      <c r="K117" s="48">
        <f t="shared" si="14"/>
        <v>0</v>
      </c>
      <c r="M117" s="140" t="str">
        <f t="shared" si="15"/>
        <v>3000/0750</v>
      </c>
      <c r="N117" s="70"/>
      <c r="P117" s="71"/>
      <c r="Q117" s="51"/>
      <c r="R117" s="31"/>
    </row>
    <row r="118" spans="1:18" x14ac:dyDescent="0.2">
      <c r="A118" s="238"/>
      <c r="B118" s="54" t="s">
        <v>342</v>
      </c>
      <c r="C118" s="240" t="s">
        <v>241</v>
      </c>
      <c r="D118" s="282"/>
      <c r="E118" s="281"/>
      <c r="F118" s="79"/>
      <c r="G118" s="47">
        <f>SUMIF(JournalsA!D$14:D$920,TrialBalanceA!M118,JournalsA!J$14:J$920)+SUMIF(JournalsA!E$14:E$920,TrialBalanceA!M118,JournalsA!J$14:J$920)</f>
        <v>0</v>
      </c>
      <c r="H118" s="288"/>
      <c r="I118" s="255">
        <f t="shared" si="22"/>
        <v>0</v>
      </c>
      <c r="J118" s="75"/>
      <c r="K118" s="48">
        <f t="shared" si="14"/>
        <v>0</v>
      </c>
      <c r="M118" s="140" t="str">
        <f t="shared" si="15"/>
        <v>3000/080Donations</v>
      </c>
      <c r="N118" s="70"/>
      <c r="P118" s="71"/>
      <c r="Q118" s="51"/>
      <c r="R118" s="31"/>
    </row>
    <row r="119" spans="1:18" x14ac:dyDescent="0.2">
      <c r="A119" s="238"/>
      <c r="B119" s="54" t="s">
        <v>343</v>
      </c>
      <c r="C119" s="240" t="s">
        <v>344</v>
      </c>
      <c r="D119" s="282"/>
      <c r="E119" s="281"/>
      <c r="F119" s="79"/>
      <c r="G119" s="47">
        <f>SUMIF(JournalsA!D$14:D$920,TrialBalanceA!M119,JournalsA!J$14:J$920)+SUMIF(JournalsA!E$14:E$920,TrialBalanceA!M119,JournalsA!J$14:J$920)</f>
        <v>0</v>
      </c>
      <c r="H119" s="288"/>
      <c r="I119" s="255">
        <f t="shared" si="22"/>
        <v>0</v>
      </c>
      <c r="J119" s="75"/>
      <c r="K119" s="48">
        <f t="shared" si="14"/>
        <v>0</v>
      </c>
      <c r="M119" s="140" t="str">
        <f t="shared" si="15"/>
        <v>3000/090Entertainment expenses</v>
      </c>
      <c r="N119" s="70"/>
      <c r="P119" s="71"/>
      <c r="Q119" s="51"/>
      <c r="R119" s="31"/>
    </row>
    <row r="120" spans="1:18" x14ac:dyDescent="0.2">
      <c r="A120" s="238"/>
      <c r="B120" s="56" t="s">
        <v>56</v>
      </c>
      <c r="C120" s="246" t="s">
        <v>305</v>
      </c>
      <c r="D120" s="272"/>
      <c r="E120" s="281"/>
      <c r="F120" s="79"/>
      <c r="G120" s="47">
        <f>SUMIF(JournalsA!D$14:D$920,TrialBalanceA!M120,JournalsA!J$14:J$920)+SUMIF(JournalsA!E$14:E$920,TrialBalanceA!M120,JournalsA!J$14:J$920)</f>
        <v>0</v>
      </c>
      <c r="H120" s="288"/>
      <c r="I120" s="255">
        <f t="shared" si="22"/>
        <v>0</v>
      </c>
      <c r="J120" s="75"/>
      <c r="K120" s="48">
        <f t="shared" si="14"/>
        <v>0</v>
      </c>
      <c r="M120" s="140" t="str">
        <f t="shared" si="15"/>
        <v>3000/095Fines</v>
      </c>
      <c r="N120" s="70"/>
      <c r="P120" s="71"/>
      <c r="Q120" s="51"/>
      <c r="R120" s="31"/>
    </row>
    <row r="121" spans="1:18" x14ac:dyDescent="0.2">
      <c r="A121" s="238"/>
      <c r="B121" s="54" t="s">
        <v>345</v>
      </c>
      <c r="C121" s="240" t="s">
        <v>346</v>
      </c>
      <c r="D121" s="282"/>
      <c r="E121" s="281"/>
      <c r="F121" s="79"/>
      <c r="G121" s="47">
        <f>SUMIF(JournalsA!D$14:D$920,TrialBalanceA!M121,JournalsA!J$14:J$920)+SUMIF(JournalsA!E$14:E$920,TrialBalanceA!M121,JournalsA!J$14:J$920)</f>
        <v>0</v>
      </c>
      <c r="H121" s="288"/>
      <c r="I121" s="255">
        <f t="shared" si="22"/>
        <v>0</v>
      </c>
      <c r="J121" s="75"/>
      <c r="K121" s="48">
        <f t="shared" si="14"/>
        <v>0</v>
      </c>
      <c r="M121" s="140" t="str">
        <f t="shared" si="15"/>
        <v>3000/100General expenses</v>
      </c>
      <c r="N121" s="70"/>
      <c r="P121" s="71"/>
      <c r="Q121" s="51"/>
      <c r="R121" s="31"/>
    </row>
    <row r="122" spans="1:18" x14ac:dyDescent="0.2">
      <c r="A122" s="238"/>
      <c r="B122" s="54" t="s">
        <v>276</v>
      </c>
      <c r="C122" s="241" t="s">
        <v>715</v>
      </c>
      <c r="D122" s="272"/>
      <c r="E122" s="281"/>
      <c r="F122" s="79"/>
      <c r="G122" s="47">
        <f>SUMIF(JournalsA!D$14:D$920,TrialBalanceA!M122,JournalsA!J$14:J$920)+SUMIF(JournalsA!E$14:E$920,TrialBalanceA!M122,JournalsA!J$14:J$920)</f>
        <v>0</v>
      </c>
      <c r="H122" s="288"/>
      <c r="I122" s="255">
        <f t="shared" si="22"/>
        <v>0</v>
      </c>
      <c r="J122" s="75"/>
      <c r="K122" s="48">
        <f t="shared" si="14"/>
        <v>0</v>
      </c>
      <c r="M122" s="140" t="str">
        <f t="shared" si="15"/>
        <v>3000/110Legal expenses - tax deductible</v>
      </c>
      <c r="N122" s="70"/>
      <c r="P122" s="71"/>
      <c r="Q122" s="51"/>
      <c r="R122" s="31"/>
    </row>
    <row r="123" spans="1:18" x14ac:dyDescent="0.2">
      <c r="A123" s="238"/>
      <c r="B123" s="54" t="s">
        <v>420</v>
      </c>
      <c r="C123" s="241" t="s">
        <v>716</v>
      </c>
      <c r="D123" s="272"/>
      <c r="E123" s="281"/>
      <c r="F123" s="79"/>
      <c r="G123" s="47">
        <f>SUMIF(JournalsA!D$14:D$920,TrialBalanceA!M123,JournalsA!J$14:J$920)+SUMIF(JournalsA!E$14:E$920,TrialBalanceA!M123,JournalsA!J$14:J$920)</f>
        <v>0</v>
      </c>
      <c r="H123" s="288"/>
      <c r="I123" s="255">
        <f t="shared" si="22"/>
        <v>0</v>
      </c>
      <c r="J123" s="75"/>
      <c r="K123" s="48">
        <f t="shared" si="14"/>
        <v>0</v>
      </c>
      <c r="M123" s="140" t="str">
        <f t="shared" si="15"/>
        <v>3000/111Legal expenses - non deductible</v>
      </c>
      <c r="N123" s="70"/>
      <c r="P123" s="71"/>
      <c r="Q123" s="51"/>
      <c r="R123" s="31"/>
    </row>
    <row r="124" spans="1:18" x14ac:dyDescent="0.2">
      <c r="A124" s="238"/>
      <c r="B124" s="54" t="s">
        <v>277</v>
      </c>
      <c r="C124" s="240" t="s">
        <v>278</v>
      </c>
      <c r="D124" s="282"/>
      <c r="E124" s="281"/>
      <c r="F124" s="79"/>
      <c r="G124" s="47">
        <f>SUMIF(JournalsA!D$14:D$920,TrialBalanceA!M124,JournalsA!J$14:J$920)+SUMIF(JournalsA!E$14:E$920,TrialBalanceA!M124,JournalsA!J$14:J$920)</f>
        <v>0</v>
      </c>
      <c r="H124" s="288"/>
      <c r="I124" s="255">
        <f t="shared" si="22"/>
        <v>0</v>
      </c>
      <c r="J124" s="75"/>
      <c r="K124" s="48">
        <f t="shared" si="14"/>
        <v>0</v>
      </c>
      <c r="M124" s="140" t="str">
        <f t="shared" si="15"/>
        <v>3000/120Printing and stationary</v>
      </c>
      <c r="N124" s="70"/>
      <c r="P124" s="71"/>
      <c r="Q124" s="51"/>
      <c r="R124" s="31"/>
    </row>
    <row r="125" spans="1:18" x14ac:dyDescent="0.2">
      <c r="A125" s="238"/>
      <c r="B125" s="54" t="s">
        <v>279</v>
      </c>
      <c r="C125" s="240" t="s">
        <v>242</v>
      </c>
      <c r="D125" s="282"/>
      <c r="E125" s="281"/>
      <c r="F125" s="79"/>
      <c r="G125" s="47">
        <f>SUMIF(JournalsA!D$14:D$920,TrialBalanceA!M125,JournalsA!J$14:J$920)+SUMIF(JournalsA!E$14:E$920,TrialBalanceA!M125,JournalsA!J$14:J$920)</f>
        <v>0</v>
      </c>
      <c r="H125" s="288"/>
      <c r="I125" s="255">
        <f t="shared" si="22"/>
        <v>0</v>
      </c>
      <c r="J125" s="75"/>
      <c r="K125" s="48">
        <f t="shared" si="14"/>
        <v>0</v>
      </c>
      <c r="M125" s="140" t="str">
        <f t="shared" si="15"/>
        <v>3000/130Refreshments</v>
      </c>
      <c r="N125" s="70"/>
      <c r="P125" s="71"/>
      <c r="Q125" s="51"/>
      <c r="R125" s="31"/>
    </row>
    <row r="126" spans="1:18" x14ac:dyDescent="0.2">
      <c r="A126" s="238"/>
      <c r="B126" s="54" t="s">
        <v>280</v>
      </c>
      <c r="C126" s="240" t="s">
        <v>59</v>
      </c>
      <c r="D126" s="282"/>
      <c r="E126" s="281"/>
      <c r="F126" s="79"/>
      <c r="G126" s="47">
        <f>SUMIF(JournalsA!D$14:D$920,TrialBalanceA!M126,JournalsA!J$14:J$920)+SUMIF(JournalsA!E$14:E$920,TrialBalanceA!M126,JournalsA!J$14:J$920)</f>
        <v>0</v>
      </c>
      <c r="H126" s="288"/>
      <c r="I126" s="255">
        <f t="shared" si="22"/>
        <v>0</v>
      </c>
      <c r="J126" s="75"/>
      <c r="K126" s="48">
        <f t="shared" si="14"/>
        <v>0</v>
      </c>
      <c r="M126" s="140" t="str">
        <f t="shared" si="15"/>
        <v>3000/140Salaries</v>
      </c>
      <c r="N126" s="70"/>
      <c r="P126" s="71"/>
      <c r="Q126" s="51"/>
      <c r="R126" s="31"/>
    </row>
    <row r="127" spans="1:18" x14ac:dyDescent="0.2">
      <c r="A127" s="238"/>
      <c r="B127" s="90" t="s">
        <v>281</v>
      </c>
      <c r="C127" s="240" t="s">
        <v>63</v>
      </c>
      <c r="D127" s="282"/>
      <c r="E127" s="281"/>
      <c r="F127" s="79"/>
      <c r="G127" s="47">
        <f>SUMIF(JournalsA!D$14:D$920,TrialBalanceA!M127,JournalsA!J$14:J$920)+SUMIF(JournalsA!E$14:E$920,TrialBalanceA!M127,JournalsA!J$14:J$920)</f>
        <v>0</v>
      </c>
      <c r="H127" s="288"/>
      <c r="I127" s="255">
        <f t="shared" si="22"/>
        <v>0</v>
      </c>
      <c r="J127" s="75"/>
      <c r="K127" s="48">
        <f t="shared" si="14"/>
        <v>0</v>
      </c>
      <c r="M127" s="140" t="str">
        <f t="shared" si="15"/>
        <v>3000/141Casual wages</v>
      </c>
      <c r="N127" s="70"/>
      <c r="P127" s="71"/>
      <c r="Q127" s="51"/>
      <c r="R127" s="31"/>
    </row>
    <row r="128" spans="1:18" x14ac:dyDescent="0.2">
      <c r="A128" s="238"/>
      <c r="B128" s="54" t="s">
        <v>282</v>
      </c>
      <c r="C128" s="240" t="s">
        <v>243</v>
      </c>
      <c r="D128" s="282"/>
      <c r="E128" s="281"/>
      <c r="F128" s="79"/>
      <c r="G128" s="47">
        <f>SUMIF(JournalsA!D$14:D$920,TrialBalanceA!M128,JournalsA!J$14:J$920)+SUMIF(JournalsA!E$14:E$920,TrialBalanceA!M128,JournalsA!J$14:J$920)</f>
        <v>0</v>
      </c>
      <c r="H128" s="288"/>
      <c r="I128" s="255">
        <f t="shared" si="22"/>
        <v>0</v>
      </c>
      <c r="J128" s="75"/>
      <c r="K128" s="48">
        <f t="shared" si="14"/>
        <v>0</v>
      </c>
      <c r="M128" s="140" t="str">
        <f t="shared" si="15"/>
        <v>3000/150Security</v>
      </c>
      <c r="N128" s="70"/>
      <c r="P128" s="71"/>
      <c r="Q128" s="51"/>
      <c r="R128" s="31"/>
    </row>
    <row r="129" spans="1:18" x14ac:dyDescent="0.2">
      <c r="A129" s="238"/>
      <c r="B129" s="54" t="s">
        <v>283</v>
      </c>
      <c r="C129" s="242" t="s">
        <v>682</v>
      </c>
      <c r="D129" s="284"/>
      <c r="E129" s="281"/>
      <c r="F129" s="79"/>
      <c r="G129" s="47">
        <f>SUMIF(JournalsA!D$14:D$920,TrialBalanceA!M129,JournalsA!J$14:J$920)+SUMIF(JournalsA!E$14:E$920,TrialBalanceA!M129,JournalsA!J$14:J$920)</f>
        <v>0</v>
      </c>
      <c r="H129" s="288"/>
      <c r="I129" s="255">
        <f t="shared" si="22"/>
        <v>0</v>
      </c>
      <c r="J129" s="75"/>
      <c r="K129" s="48">
        <f t="shared" si="14"/>
        <v>0</v>
      </c>
      <c r="M129" s="140" t="str">
        <f t="shared" si="15"/>
        <v>3000/160Subscriptions and membership fees</v>
      </c>
      <c r="N129" s="70"/>
      <c r="P129" s="71"/>
      <c r="Q129" s="51"/>
      <c r="R129" s="31"/>
    </row>
    <row r="130" spans="1:18" x14ac:dyDescent="0.2">
      <c r="A130" s="238"/>
      <c r="B130" s="54" t="s">
        <v>308</v>
      </c>
      <c r="C130" s="242" t="s">
        <v>717</v>
      </c>
      <c r="D130" s="282"/>
      <c r="E130" s="281"/>
      <c r="F130" s="79"/>
      <c r="G130" s="47">
        <f>SUMIF(JournalsA!D$14:D$920,TrialBalanceA!M130,JournalsA!J$14:J$920)+SUMIF(JournalsA!E$14:E$920,TrialBalanceA!M130,JournalsA!J$14:J$920)</f>
        <v>0</v>
      </c>
      <c r="H130" s="288"/>
      <c r="I130" s="255">
        <f t="shared" si="22"/>
        <v>0</v>
      </c>
      <c r="J130" s="75"/>
      <c r="K130" s="48">
        <f t="shared" si="14"/>
        <v>0</v>
      </c>
      <c r="M130" s="140" t="str">
        <f t="shared" si="15"/>
        <v>3000/170Penalties and interest - SARS</v>
      </c>
      <c r="N130" s="70"/>
      <c r="P130" s="71"/>
      <c r="Q130" s="51"/>
      <c r="R130" s="31"/>
    </row>
    <row r="131" spans="1:18" x14ac:dyDescent="0.2">
      <c r="A131" s="238"/>
      <c r="B131" s="54" t="s">
        <v>254</v>
      </c>
      <c r="C131" s="276"/>
      <c r="D131" s="281"/>
      <c r="E131" s="281"/>
      <c r="F131" s="79"/>
      <c r="G131" s="47">
        <f>SUMIF(JournalsA!D$14:D$920,TrialBalanceA!M131,JournalsA!J$14:J$920)+SUMIF(JournalsA!E$14:E$920,TrialBalanceA!M131,JournalsA!J$14:J$920)</f>
        <v>0</v>
      </c>
      <c r="H131" s="288"/>
      <c r="I131" s="255">
        <f t="shared" si="22"/>
        <v>0</v>
      </c>
      <c r="J131" s="75"/>
      <c r="K131" s="48">
        <f t="shared" si="14"/>
        <v>0</v>
      </c>
      <c r="M131" s="140" t="str">
        <f t="shared" si="15"/>
        <v>3000/180</v>
      </c>
      <c r="N131" s="70"/>
      <c r="P131" s="71"/>
      <c r="Q131" s="51"/>
      <c r="R131" s="31"/>
    </row>
    <row r="132" spans="1:18" x14ac:dyDescent="0.2">
      <c r="A132" s="238"/>
      <c r="B132" s="54" t="s">
        <v>255</v>
      </c>
      <c r="C132" s="276"/>
      <c r="D132" s="281"/>
      <c r="E132" s="281"/>
      <c r="F132" s="79"/>
      <c r="G132" s="47">
        <f>SUMIF(JournalsA!D$14:D$920,TrialBalanceA!M132,JournalsA!J$14:J$920)+SUMIF(JournalsA!E$14:E$920,TrialBalanceA!M132,JournalsA!J$14:J$920)</f>
        <v>0</v>
      </c>
      <c r="H132" s="288"/>
      <c r="I132" s="255">
        <f t="shared" si="22"/>
        <v>0</v>
      </c>
      <c r="J132" s="75"/>
      <c r="K132" s="48">
        <f t="shared" si="14"/>
        <v>0</v>
      </c>
      <c r="M132" s="140" t="str">
        <f t="shared" si="15"/>
        <v>3000/190</v>
      </c>
      <c r="N132" s="70"/>
      <c r="P132" s="71"/>
      <c r="Q132" s="51"/>
      <c r="R132" s="31"/>
    </row>
    <row r="133" spans="1:18" x14ac:dyDescent="0.2">
      <c r="A133" s="238"/>
      <c r="B133" s="54" t="s">
        <v>256</v>
      </c>
      <c r="C133" s="276"/>
      <c r="D133" s="272"/>
      <c r="E133" s="281"/>
      <c r="F133" s="79"/>
      <c r="G133" s="47">
        <f>SUMIF(JournalsA!D$14:D$920,TrialBalanceA!M133,JournalsA!J$14:J$920)+SUMIF(JournalsA!E$14:E$920,TrialBalanceA!M133,JournalsA!J$14:J$920)</f>
        <v>0</v>
      </c>
      <c r="H133" s="288"/>
      <c r="I133" s="255">
        <f t="shared" si="22"/>
        <v>0</v>
      </c>
      <c r="J133" s="75"/>
      <c r="K133" s="48">
        <f t="shared" si="14"/>
        <v>0</v>
      </c>
      <c r="M133" s="140" t="str">
        <f t="shared" si="15"/>
        <v>3000/200</v>
      </c>
      <c r="N133" s="70"/>
      <c r="P133" s="71"/>
      <c r="Q133" s="51"/>
      <c r="R133" s="31"/>
    </row>
    <row r="134" spans="1:18" x14ac:dyDescent="0.2">
      <c r="A134" s="238"/>
      <c r="B134" s="54" t="s">
        <v>257</v>
      </c>
      <c r="C134" s="277"/>
      <c r="D134" s="272"/>
      <c r="E134" s="281"/>
      <c r="F134" s="79"/>
      <c r="G134" s="47">
        <f>SUMIF(JournalsA!D$14:D$920,TrialBalanceA!M134,JournalsA!J$14:J$920)+SUMIF(JournalsA!E$14:E$920,TrialBalanceA!M134,JournalsA!J$14:J$920)</f>
        <v>0</v>
      </c>
      <c r="H134" s="288"/>
      <c r="I134" s="255">
        <f t="shared" si="22"/>
        <v>0</v>
      </c>
      <c r="J134" s="75"/>
      <c r="K134" s="48">
        <f t="shared" si="14"/>
        <v>0</v>
      </c>
      <c r="M134" s="140" t="str">
        <f t="shared" si="15"/>
        <v>3000/210</v>
      </c>
      <c r="N134" s="70"/>
      <c r="P134" s="71"/>
      <c r="Q134" s="51"/>
      <c r="R134" s="31"/>
    </row>
    <row r="135" spans="1:18" x14ac:dyDescent="0.2">
      <c r="A135" s="238"/>
      <c r="B135" s="54" t="s">
        <v>258</v>
      </c>
      <c r="C135" s="276"/>
      <c r="D135" s="272"/>
      <c r="E135" s="281"/>
      <c r="F135" s="79"/>
      <c r="G135" s="47">
        <f>SUMIF(JournalsA!D$14:D$920,TrialBalanceA!M135,JournalsA!J$14:J$920)+SUMIF(JournalsA!E$14:E$920,TrialBalanceA!M135,JournalsA!J$14:J$920)</f>
        <v>0</v>
      </c>
      <c r="H135" s="288"/>
      <c r="I135" s="255">
        <f t="shared" si="22"/>
        <v>0</v>
      </c>
      <c r="J135" s="75"/>
      <c r="K135" s="48">
        <f t="shared" si="14"/>
        <v>0</v>
      </c>
      <c r="M135" s="140" t="str">
        <f t="shared" si="15"/>
        <v>3000/220</v>
      </c>
      <c r="N135" s="70"/>
      <c r="P135" s="71"/>
      <c r="Q135" s="51"/>
      <c r="R135" s="31"/>
    </row>
    <row r="136" spans="1:18" x14ac:dyDescent="0.2">
      <c r="A136" s="238"/>
      <c r="B136" s="90" t="s">
        <v>502</v>
      </c>
      <c r="C136" s="277"/>
      <c r="D136" s="272"/>
      <c r="E136" s="281"/>
      <c r="F136" s="79"/>
      <c r="G136" s="47">
        <f>SUMIF(JournalsA!D$14:D$920,TrialBalanceA!M136,JournalsA!J$14:J$920)+SUMIF(JournalsA!E$14:E$920,TrialBalanceA!M136,JournalsA!J$14:J$920)</f>
        <v>0</v>
      </c>
      <c r="H136" s="288"/>
      <c r="I136" s="255">
        <f t="shared" si="22"/>
        <v>0</v>
      </c>
      <c r="J136" s="75"/>
      <c r="K136" s="48">
        <f t="shared" si="14"/>
        <v>0</v>
      </c>
      <c r="M136" s="140" t="str">
        <f t="shared" si="15"/>
        <v>3000/230</v>
      </c>
      <c r="N136" s="70"/>
      <c r="P136" s="71"/>
      <c r="Q136" s="51"/>
      <c r="R136" s="31"/>
    </row>
    <row r="137" spans="1:18" x14ac:dyDescent="0.2">
      <c r="A137" s="238"/>
      <c r="B137" s="90" t="s">
        <v>503</v>
      </c>
      <c r="C137" s="277"/>
      <c r="D137" s="272"/>
      <c r="E137" s="281"/>
      <c r="F137" s="79"/>
      <c r="G137" s="47">
        <f>SUMIF(JournalsA!D$14:D$920,TrialBalanceA!M137,JournalsA!J$14:J$920)+SUMIF(JournalsA!E$14:E$920,TrialBalanceA!M137,JournalsA!J$14:J$920)</f>
        <v>0</v>
      </c>
      <c r="H137" s="288"/>
      <c r="I137" s="255">
        <f t="shared" ref="I137:I171" si="29">ROUND(D137-E137+G137+F137,0)</f>
        <v>0</v>
      </c>
      <c r="J137" s="75"/>
      <c r="K137" s="48">
        <f t="shared" si="14"/>
        <v>0</v>
      </c>
      <c r="M137" s="140" t="str">
        <f t="shared" si="15"/>
        <v>3000/240</v>
      </c>
      <c r="N137" s="70"/>
      <c r="P137" s="71"/>
      <c r="Q137" s="51"/>
      <c r="R137" s="31"/>
    </row>
    <row r="138" spans="1:18" x14ac:dyDescent="0.2">
      <c r="A138" s="238"/>
      <c r="B138" s="90" t="s">
        <v>504</v>
      </c>
      <c r="C138" s="277"/>
      <c r="D138" s="272"/>
      <c r="E138" s="281"/>
      <c r="F138" s="79"/>
      <c r="G138" s="47">
        <f>SUMIF(JournalsA!D$14:D$920,TrialBalanceA!M138,JournalsA!J$14:J$920)+SUMIF(JournalsA!E$14:E$920,TrialBalanceA!M138,JournalsA!J$14:J$920)</f>
        <v>0</v>
      </c>
      <c r="H138" s="288"/>
      <c r="I138" s="255">
        <f t="shared" si="29"/>
        <v>0</v>
      </c>
      <c r="J138" s="75"/>
      <c r="K138" s="48">
        <f t="shared" si="14"/>
        <v>0</v>
      </c>
      <c r="M138" s="140" t="str">
        <f t="shared" si="15"/>
        <v>3000/250</v>
      </c>
      <c r="N138" s="70"/>
      <c r="P138" s="71"/>
      <c r="Q138" s="51"/>
      <c r="R138" s="31"/>
    </row>
    <row r="139" spans="1:18" x14ac:dyDescent="0.2">
      <c r="A139" s="238"/>
      <c r="B139" s="90" t="s">
        <v>505</v>
      </c>
      <c r="C139" s="277"/>
      <c r="D139" s="272"/>
      <c r="E139" s="281"/>
      <c r="F139" s="79"/>
      <c r="G139" s="47">
        <f>SUMIF(JournalsA!D$14:D$920,TrialBalanceA!M139,JournalsA!J$14:J$920)+SUMIF(JournalsA!E$14:E$920,TrialBalanceA!M139,JournalsA!J$14:J$920)</f>
        <v>0</v>
      </c>
      <c r="H139" s="288"/>
      <c r="I139" s="255">
        <f t="shared" si="29"/>
        <v>0</v>
      </c>
      <c r="J139" s="75"/>
      <c r="K139" s="48">
        <f t="shared" ref="K139:K207" si="30">ROUND(SUM(A139),0)</f>
        <v>0</v>
      </c>
      <c r="M139" s="140" t="str">
        <f t="shared" ref="M139:M207" si="31">CONCATENATE(B139,C139)</f>
        <v>3000/260</v>
      </c>
      <c r="N139" s="70"/>
      <c r="P139" s="71"/>
      <c r="Q139" s="51"/>
      <c r="R139" s="31"/>
    </row>
    <row r="140" spans="1:18" x14ac:dyDescent="0.2">
      <c r="A140" s="238"/>
      <c r="B140" s="90" t="s">
        <v>506</v>
      </c>
      <c r="C140" s="241" t="s">
        <v>881</v>
      </c>
      <c r="D140" s="281"/>
      <c r="E140" s="281"/>
      <c r="F140" s="79"/>
      <c r="G140" s="47">
        <f>SUMIF(JournalsA!D$14:D$920,TrialBalanceA!M140,JournalsA!J$14:J$920)+SUMIF(JournalsA!E$14:E$920,TrialBalanceA!M140,JournalsA!J$14:J$920)</f>
        <v>0</v>
      </c>
      <c r="H140" s="288"/>
      <c r="I140" s="255">
        <f t="shared" si="29"/>
        <v>0</v>
      </c>
      <c r="J140" s="75"/>
      <c r="K140" s="48">
        <f t="shared" si="30"/>
        <v>0</v>
      </c>
      <c r="M140" s="140" t="str">
        <f t="shared" si="31"/>
        <v>3000/270Amortisation of prepaid lease agreement</v>
      </c>
      <c r="N140" s="70"/>
      <c r="P140" s="71"/>
      <c r="Q140" s="51"/>
      <c r="R140" s="31"/>
    </row>
    <row r="141" spans="1:18" x14ac:dyDescent="0.2">
      <c r="A141" s="238"/>
      <c r="B141" s="90" t="s">
        <v>882</v>
      </c>
      <c r="C141" s="242" t="s">
        <v>883</v>
      </c>
      <c r="D141" s="281"/>
      <c r="E141" s="281"/>
      <c r="F141" s="79"/>
      <c r="G141" s="47">
        <f>SUMIF(JournalsA!D$14:D$920,TrialBalanceA!M141,JournalsA!J$14:J$920)+SUMIF(JournalsA!E$14:E$920,TrialBalanceA!M141,JournalsA!J$14:J$920)</f>
        <v>0</v>
      </c>
      <c r="H141" s="288"/>
      <c r="I141" s="255">
        <f t="shared" ref="I141" si="32">ROUND(D141-E141+G141+F141,0)</f>
        <v>0</v>
      </c>
      <c r="J141" s="75"/>
      <c r="K141" s="48">
        <f t="shared" ref="K141" si="33">ROUND(SUM(A141),0)</f>
        <v>0</v>
      </c>
      <c r="M141" s="140" t="str">
        <f t="shared" ref="M141" si="34">CONCATENATE(B141,C141)</f>
        <v>3000/280Amortisation of goodwill</v>
      </c>
      <c r="N141" s="70"/>
      <c r="P141" s="71"/>
      <c r="Q141" s="51"/>
      <c r="R141" s="31"/>
    </row>
    <row r="142" spans="1:18" x14ac:dyDescent="0.2">
      <c r="A142" s="238"/>
      <c r="B142" s="54" t="s">
        <v>284</v>
      </c>
      <c r="C142" s="239" t="s">
        <v>103</v>
      </c>
      <c r="D142" s="283"/>
      <c r="E142" s="281"/>
      <c r="F142" s="79"/>
      <c r="G142" s="47">
        <f>SUMIF(JournalsA!D$14:D$920,TrialBalanceA!M142,JournalsA!J$14:J$920)+SUMIF(JournalsA!E$14:E$920,TrialBalanceA!M142,JournalsA!J$14:J$920)</f>
        <v>0</v>
      </c>
      <c r="H142" s="288"/>
      <c r="I142" s="255">
        <f t="shared" si="29"/>
        <v>0</v>
      </c>
      <c r="J142" s="75"/>
      <c r="K142" s="48">
        <f t="shared" si="30"/>
        <v>0</v>
      </c>
      <c r="M142" s="140" t="str">
        <f t="shared" si="31"/>
        <v>4700/000FINANCE COSTS</v>
      </c>
      <c r="N142" s="70"/>
      <c r="P142" s="71"/>
      <c r="Q142" s="51"/>
      <c r="R142" s="31"/>
    </row>
    <row r="143" spans="1:18" x14ac:dyDescent="0.2">
      <c r="A143" s="238"/>
      <c r="B143" s="54" t="s">
        <v>285</v>
      </c>
      <c r="C143" s="239" t="s">
        <v>286</v>
      </c>
      <c r="D143" s="283"/>
      <c r="E143" s="281"/>
      <c r="F143" s="79"/>
      <c r="G143" s="47">
        <f>SUMIF(JournalsA!D$14:D$920,TrialBalanceA!M143,JournalsA!J$14:J$920)+SUMIF(JournalsA!E$14:E$920,TrialBalanceA!M143,JournalsA!J$14:J$920)</f>
        <v>0</v>
      </c>
      <c r="H143" s="288"/>
      <c r="I143" s="255">
        <f t="shared" si="29"/>
        <v>0</v>
      </c>
      <c r="J143" s="75"/>
      <c r="K143" s="48">
        <f t="shared" si="30"/>
        <v>0</v>
      </c>
      <c r="M143" s="140" t="str">
        <f t="shared" si="31"/>
        <v>4700/010Interest paid---------------------------</v>
      </c>
      <c r="N143" s="70"/>
      <c r="P143" s="71"/>
      <c r="Q143" s="51"/>
      <c r="R143" s="31"/>
    </row>
    <row r="144" spans="1:18" x14ac:dyDescent="0.2">
      <c r="A144" s="238"/>
      <c r="B144" s="54" t="s">
        <v>287</v>
      </c>
      <c r="C144" s="276"/>
      <c r="D144" s="281"/>
      <c r="E144" s="281"/>
      <c r="F144" s="79"/>
      <c r="G144" s="47">
        <f>SUMIF(JournalsA!D$14:D$920,TrialBalanceA!M144,JournalsA!J$14:J$920)+SUMIF(JournalsA!E$14:E$920,TrialBalanceA!M144,JournalsA!J$14:J$920)</f>
        <v>0</v>
      </c>
      <c r="H144" s="288"/>
      <c r="I144" s="255">
        <f t="shared" si="29"/>
        <v>0</v>
      </c>
      <c r="J144" s="75"/>
      <c r="K144" s="48">
        <f t="shared" si="30"/>
        <v>0</v>
      </c>
      <c r="M144" s="140" t="str">
        <f t="shared" si="31"/>
        <v>4700/011</v>
      </c>
      <c r="N144" s="70"/>
      <c r="P144" s="71"/>
      <c r="Q144" s="51"/>
      <c r="R144" s="31"/>
    </row>
    <row r="145" spans="1:18" x14ac:dyDescent="0.2">
      <c r="A145" s="238"/>
      <c r="B145" s="54" t="s">
        <v>288</v>
      </c>
      <c r="C145" s="277"/>
      <c r="D145" s="281"/>
      <c r="E145" s="281"/>
      <c r="F145" s="79"/>
      <c r="G145" s="47">
        <f>SUMIF(JournalsA!D$14:D$920,TrialBalanceA!M145,JournalsA!J$14:J$920)+SUMIF(JournalsA!E$14:E$920,TrialBalanceA!M145,JournalsA!J$14:J$920)</f>
        <v>0</v>
      </c>
      <c r="H145" s="288"/>
      <c r="I145" s="255">
        <f t="shared" si="29"/>
        <v>0</v>
      </c>
      <c r="J145" s="75"/>
      <c r="K145" s="48">
        <f t="shared" si="30"/>
        <v>0</v>
      </c>
      <c r="M145" s="140" t="str">
        <f t="shared" si="31"/>
        <v>4700/012</v>
      </c>
      <c r="N145" s="70"/>
      <c r="P145" s="71"/>
      <c r="Q145" s="51"/>
      <c r="R145" s="31"/>
    </row>
    <row r="146" spans="1:18" x14ac:dyDescent="0.2">
      <c r="A146" s="238"/>
      <c r="B146" s="54" t="s">
        <v>289</v>
      </c>
      <c r="C146" s="277"/>
      <c r="D146" s="281"/>
      <c r="E146" s="281"/>
      <c r="F146" s="79"/>
      <c r="G146" s="47">
        <f>SUMIF(JournalsA!D$14:D$920,TrialBalanceA!M146,JournalsA!J$14:J$920)+SUMIF(JournalsA!E$14:E$920,TrialBalanceA!M146,JournalsA!J$14:J$920)</f>
        <v>0</v>
      </c>
      <c r="H146" s="288"/>
      <c r="I146" s="255">
        <f t="shared" si="29"/>
        <v>0</v>
      </c>
      <c r="J146" s="75"/>
      <c r="K146" s="48">
        <f t="shared" si="30"/>
        <v>0</v>
      </c>
      <c r="M146" s="140" t="str">
        <f t="shared" si="31"/>
        <v>4700/013</v>
      </c>
      <c r="N146" s="70"/>
      <c r="P146" s="71"/>
      <c r="Q146" s="51"/>
      <c r="R146" s="31"/>
    </row>
    <row r="147" spans="1:18" x14ac:dyDescent="0.2">
      <c r="A147" s="238"/>
      <c r="B147" s="54" t="s">
        <v>290</v>
      </c>
      <c r="C147" s="277"/>
      <c r="D147" s="281"/>
      <c r="E147" s="281"/>
      <c r="F147" s="79"/>
      <c r="G147" s="47">
        <f>SUMIF(JournalsA!D$14:D$920,TrialBalanceA!M147,JournalsA!J$14:J$920)+SUMIF(JournalsA!E$14:E$920,TrialBalanceA!M147,JournalsA!J$14:J$920)</f>
        <v>0</v>
      </c>
      <c r="H147" s="288"/>
      <c r="I147" s="255">
        <f t="shared" si="29"/>
        <v>0</v>
      </c>
      <c r="J147" s="75"/>
      <c r="K147" s="48">
        <f t="shared" si="30"/>
        <v>0</v>
      </c>
      <c r="M147" s="140" t="str">
        <f t="shared" si="31"/>
        <v>4700/014</v>
      </c>
      <c r="N147" s="70"/>
      <c r="P147" s="71"/>
      <c r="Q147" s="51"/>
      <c r="R147" s="31"/>
    </row>
    <row r="148" spans="1:18" x14ac:dyDescent="0.2">
      <c r="A148" s="238"/>
      <c r="B148" s="54" t="s">
        <v>481</v>
      </c>
      <c r="C148" s="277"/>
      <c r="D148" s="281"/>
      <c r="E148" s="281"/>
      <c r="F148" s="79"/>
      <c r="G148" s="47">
        <f>SUMIF(JournalsA!D$14:D$920,TrialBalanceA!M148,JournalsA!J$14:J$920)+SUMIF(JournalsA!E$14:E$920,TrialBalanceA!M148,JournalsA!J$14:J$920)</f>
        <v>0</v>
      </c>
      <c r="H148" s="288"/>
      <c r="I148" s="255">
        <f t="shared" si="29"/>
        <v>0</v>
      </c>
      <c r="J148" s="75"/>
      <c r="K148" s="48">
        <f t="shared" si="30"/>
        <v>0</v>
      </c>
      <c r="M148" s="140" t="str">
        <f t="shared" si="31"/>
        <v>4700/015</v>
      </c>
      <c r="N148" s="70"/>
      <c r="P148" s="71"/>
      <c r="Q148" s="51"/>
      <c r="R148" s="31"/>
    </row>
    <row r="149" spans="1:18" x14ac:dyDescent="0.2">
      <c r="A149" s="238"/>
      <c r="B149" s="54" t="s">
        <v>488</v>
      </c>
      <c r="C149" s="277"/>
      <c r="D149" s="281"/>
      <c r="E149" s="281"/>
      <c r="F149" s="79"/>
      <c r="G149" s="47">
        <f>SUMIF(JournalsA!D$14:D$920,TrialBalanceA!M149,JournalsA!J$14:J$920)+SUMIF(JournalsA!E$14:E$920,TrialBalanceA!M149,JournalsA!J$14:J$920)</f>
        <v>0</v>
      </c>
      <c r="H149" s="288"/>
      <c r="I149" s="255">
        <f t="shared" si="29"/>
        <v>0</v>
      </c>
      <c r="J149" s="75"/>
      <c r="K149" s="48">
        <f t="shared" si="30"/>
        <v>0</v>
      </c>
      <c r="M149" s="140" t="str">
        <f t="shared" si="31"/>
        <v>4700/016</v>
      </c>
      <c r="N149" s="70"/>
      <c r="P149" s="71"/>
      <c r="Q149" s="51"/>
      <c r="R149" s="31"/>
    </row>
    <row r="150" spans="1:18" x14ac:dyDescent="0.2">
      <c r="A150" s="238"/>
      <c r="B150" s="90" t="s">
        <v>537</v>
      </c>
      <c r="C150" s="277"/>
      <c r="D150" s="281"/>
      <c r="E150" s="281"/>
      <c r="F150" s="79"/>
      <c r="G150" s="47">
        <f>SUMIF(JournalsA!D$14:D$920,TrialBalanceA!M150,JournalsA!J$14:J$920)+SUMIF(JournalsA!E$14:E$920,TrialBalanceA!M150,JournalsA!J$14:J$920)</f>
        <v>0</v>
      </c>
      <c r="H150" s="288"/>
      <c r="I150" s="255">
        <f t="shared" ref="I150:I152" si="35">ROUND(D150-E150+G150+F150,0)</f>
        <v>0</v>
      </c>
      <c r="J150" s="75"/>
      <c r="K150" s="48">
        <f t="shared" ref="K150:K152" si="36">ROUND(SUM(A150),0)</f>
        <v>0</v>
      </c>
      <c r="M150" s="140" t="str">
        <f t="shared" ref="M150:M152" si="37">CONCATENATE(B150,C150)</f>
        <v>4700/017</v>
      </c>
      <c r="N150" s="70"/>
      <c r="P150" s="71"/>
      <c r="Q150" s="51"/>
      <c r="R150" s="31"/>
    </row>
    <row r="151" spans="1:18" x14ac:dyDescent="0.2">
      <c r="A151" s="238"/>
      <c r="B151" s="90" t="s">
        <v>616</v>
      </c>
      <c r="C151" s="277"/>
      <c r="D151" s="281"/>
      <c r="E151" s="281"/>
      <c r="F151" s="79"/>
      <c r="G151" s="47">
        <f>SUMIF(JournalsA!D$14:D$920,TrialBalanceA!M151,JournalsA!J$14:J$920)+SUMIF(JournalsA!E$14:E$920,TrialBalanceA!M151,JournalsA!J$14:J$920)</f>
        <v>0</v>
      </c>
      <c r="H151" s="288"/>
      <c r="I151" s="255">
        <f t="shared" si="35"/>
        <v>0</v>
      </c>
      <c r="J151" s="75"/>
      <c r="K151" s="48">
        <f t="shared" si="36"/>
        <v>0</v>
      </c>
      <c r="M151" s="140" t="str">
        <f t="shared" si="37"/>
        <v>4700/018</v>
      </c>
      <c r="N151" s="70"/>
      <c r="P151" s="71"/>
      <c r="Q151" s="51"/>
      <c r="R151" s="31"/>
    </row>
    <row r="152" spans="1:18" x14ac:dyDescent="0.2">
      <c r="A152" s="238"/>
      <c r="B152" s="90" t="s">
        <v>617</v>
      </c>
      <c r="C152" s="277"/>
      <c r="D152" s="281"/>
      <c r="E152" s="281"/>
      <c r="F152" s="79"/>
      <c r="G152" s="47">
        <f>SUMIF(JournalsA!D$14:D$920,TrialBalanceA!M152,JournalsA!J$14:J$920)+SUMIF(JournalsA!E$14:E$920,TrialBalanceA!M152,JournalsA!J$14:J$920)</f>
        <v>0</v>
      </c>
      <c r="H152" s="288"/>
      <c r="I152" s="255">
        <f t="shared" si="35"/>
        <v>0</v>
      </c>
      <c r="J152" s="75"/>
      <c r="K152" s="48">
        <f t="shared" si="36"/>
        <v>0</v>
      </c>
      <c r="M152" s="140" t="str">
        <f t="shared" si="37"/>
        <v>4700/019</v>
      </c>
      <c r="N152" s="70"/>
      <c r="P152" s="71"/>
      <c r="Q152" s="51"/>
      <c r="R152" s="31"/>
    </row>
    <row r="153" spans="1:18" x14ac:dyDescent="0.2">
      <c r="A153" s="238"/>
      <c r="B153" s="90" t="s">
        <v>291</v>
      </c>
      <c r="C153" s="277"/>
      <c r="D153" s="281"/>
      <c r="E153" s="281"/>
      <c r="F153" s="79"/>
      <c r="G153" s="47">
        <f>SUMIF(JournalsA!D$14:D$920,TrialBalanceA!M153,JournalsA!J$14:J$920)+SUMIF(JournalsA!E$14:E$920,TrialBalanceA!M153,JournalsA!J$14:J$920)</f>
        <v>0</v>
      </c>
      <c r="H153" s="288"/>
      <c r="I153" s="255">
        <f t="shared" si="29"/>
        <v>0</v>
      </c>
      <c r="J153" s="75"/>
      <c r="K153" s="48">
        <f t="shared" si="30"/>
        <v>0</v>
      </c>
      <c r="M153" s="140" t="str">
        <f t="shared" si="31"/>
        <v>4700/020</v>
      </c>
      <c r="N153" s="70"/>
      <c r="P153" s="71"/>
      <c r="Q153" s="51"/>
      <c r="R153" s="31"/>
    </row>
    <row r="154" spans="1:18" x14ac:dyDescent="0.2">
      <c r="A154" s="238"/>
      <c r="B154" s="90" t="s">
        <v>618</v>
      </c>
      <c r="C154" s="240" t="str">
        <f>CONCATENATE("Finance leases - ",Criteria!H14)</f>
        <v>Finance leases - Subsidiary One 111 (Pty) Ltd</v>
      </c>
      <c r="D154" s="282"/>
      <c r="E154" s="281"/>
      <c r="F154" s="79"/>
      <c r="G154" s="47">
        <f>SUMIF(JournalsA!D$14:D$920,TrialBalanceA!M154,JournalsA!J$14:J$920)+SUMIF(JournalsA!E$14:E$920,TrialBalanceA!M154,JournalsA!J$14:J$920)</f>
        <v>0</v>
      </c>
      <c r="H154" s="288"/>
      <c r="I154" s="255">
        <f t="shared" si="29"/>
        <v>0</v>
      </c>
      <c r="J154" s="75"/>
      <c r="K154" s="48">
        <f t="shared" si="30"/>
        <v>0</v>
      </c>
      <c r="M154" s="140" t="str">
        <f t="shared" si="31"/>
        <v>4700/021Finance leases - Subsidiary One 111 (Pty) Ltd</v>
      </c>
      <c r="N154" s="70"/>
      <c r="P154" s="71"/>
      <c r="Q154" s="51"/>
      <c r="R154" s="31"/>
    </row>
    <row r="155" spans="1:18" x14ac:dyDescent="0.2">
      <c r="A155" s="238"/>
      <c r="B155" s="54" t="s">
        <v>421</v>
      </c>
      <c r="C155" s="239" t="s">
        <v>326</v>
      </c>
      <c r="D155" s="283"/>
      <c r="E155" s="281"/>
      <c r="F155" s="79"/>
      <c r="G155" s="47">
        <f>SUMIF(JournalsA!D$14:D$920,TrialBalanceA!M155,JournalsA!J$14:J$920)+SUMIF(JournalsA!E$14:E$920,TrialBalanceA!M155,JournalsA!J$14:J$920)</f>
        <v>0</v>
      </c>
      <c r="H155" s="288"/>
      <c r="I155" s="255">
        <f t="shared" si="29"/>
        <v>0</v>
      </c>
      <c r="J155" s="75"/>
      <c r="K155" s="48">
        <f t="shared" si="30"/>
        <v>0</v>
      </c>
      <c r="M155" s="140" t="str">
        <f t="shared" si="31"/>
        <v>4750/000OTHER</v>
      </c>
      <c r="N155" s="70"/>
      <c r="P155" s="71"/>
      <c r="Q155" s="51"/>
      <c r="R155" s="31"/>
    </row>
    <row r="156" spans="1:18" x14ac:dyDescent="0.2">
      <c r="A156" s="238"/>
      <c r="B156" s="54" t="s">
        <v>422</v>
      </c>
      <c r="C156" s="241" t="s">
        <v>921</v>
      </c>
      <c r="D156" s="281"/>
      <c r="E156" s="281"/>
      <c r="F156" s="79"/>
      <c r="G156" s="47">
        <f>SUMIF(JournalsA!D$14:D$920,TrialBalanceA!M156,JournalsA!J$14:J$920)+SUMIF(JournalsA!E$14:E$920,TrialBalanceA!M156,JournalsA!J$14:J$920)</f>
        <v>0</v>
      </c>
      <c r="H156" s="288"/>
      <c r="I156" s="255">
        <f t="shared" si="29"/>
        <v>0</v>
      </c>
      <c r="J156" s="75"/>
      <c r="K156" s="48">
        <f t="shared" si="30"/>
        <v>0</v>
      </c>
      <c r="M156" s="140" t="str">
        <f t="shared" si="31"/>
        <v>4750/010Impairment losses</v>
      </c>
      <c r="N156" s="70"/>
      <c r="P156" s="71"/>
      <c r="Q156" s="51"/>
      <c r="R156" s="31"/>
    </row>
    <row r="157" spans="1:18" x14ac:dyDescent="0.2">
      <c r="A157" s="238"/>
      <c r="B157" s="54" t="s">
        <v>292</v>
      </c>
      <c r="C157" s="239" t="s">
        <v>293</v>
      </c>
      <c r="D157" s="283"/>
      <c r="E157" s="281"/>
      <c r="F157" s="79"/>
      <c r="G157" s="47">
        <f>SUMIF(JournalsA!D$14:D$920,TrialBalanceA!M157,JournalsA!J$14:J$920)+SUMIF(JournalsA!E$14:E$920,TrialBalanceA!M157,JournalsA!J$14:J$920)</f>
        <v>0</v>
      </c>
      <c r="H157" s="288"/>
      <c r="I157" s="255">
        <f t="shared" si="29"/>
        <v>0</v>
      </c>
      <c r="J157" s="75"/>
      <c r="K157" s="48">
        <f t="shared" si="30"/>
        <v>0</v>
      </c>
      <c r="M157" s="140" t="str">
        <f t="shared" si="31"/>
        <v>4800/000NORMAL TAXATION</v>
      </c>
      <c r="N157" s="70"/>
      <c r="P157" s="71"/>
      <c r="Q157" s="51"/>
      <c r="R157" s="31"/>
    </row>
    <row r="158" spans="1:18" x14ac:dyDescent="0.2">
      <c r="A158" s="238"/>
      <c r="B158" s="54" t="s">
        <v>294</v>
      </c>
      <c r="C158" s="240" t="s">
        <v>295</v>
      </c>
      <c r="D158" s="282"/>
      <c r="E158" s="281"/>
      <c r="F158" s="79"/>
      <c r="G158" s="47">
        <f>SUMIF(JournalsA!D$14:D$920,TrialBalanceA!M158,JournalsA!J$14:J$920)+SUMIF(JournalsA!E$14:E$920,TrialBalanceA!M158,JournalsA!J$14:J$920)</f>
        <v>0</v>
      </c>
      <c r="H158" s="288"/>
      <c r="I158" s="255">
        <f t="shared" si="29"/>
        <v>0</v>
      </c>
      <c r="J158" s="75"/>
      <c r="K158" s="48">
        <f t="shared" si="30"/>
        <v>0</v>
      </c>
      <c r="M158" s="140" t="str">
        <f t="shared" si="31"/>
        <v>4800/001Tax provided this year</v>
      </c>
      <c r="N158" s="70"/>
      <c r="P158" s="71"/>
      <c r="Q158" s="51"/>
      <c r="R158" s="31"/>
    </row>
    <row r="159" spans="1:18" x14ac:dyDescent="0.2">
      <c r="A159" s="238"/>
      <c r="B159" s="54" t="s">
        <v>296</v>
      </c>
      <c r="C159" s="240" t="s">
        <v>297</v>
      </c>
      <c r="D159" s="282"/>
      <c r="E159" s="281"/>
      <c r="F159" s="79"/>
      <c r="G159" s="47">
        <f>SUMIF(JournalsA!D$14:D$920,TrialBalanceA!M159,JournalsA!J$14:J$920)+SUMIF(JournalsA!E$14:E$920,TrialBalanceA!M159,JournalsA!J$14:J$920)</f>
        <v>0</v>
      </c>
      <c r="H159" s="288"/>
      <c r="I159" s="255">
        <f t="shared" si="29"/>
        <v>0</v>
      </c>
      <c r="J159" s="75"/>
      <c r="K159" s="48">
        <f t="shared" si="30"/>
        <v>0</v>
      </c>
      <c r="M159" s="140" t="str">
        <f t="shared" si="31"/>
        <v>4800/002Tax adjustment previous year</v>
      </c>
      <c r="N159" s="70"/>
      <c r="P159" s="71"/>
      <c r="Q159" s="51"/>
      <c r="R159" s="31"/>
    </row>
    <row r="160" spans="1:18" x14ac:dyDescent="0.2">
      <c r="A160" s="238"/>
      <c r="B160" s="54" t="s">
        <v>177</v>
      </c>
      <c r="C160" s="239" t="s">
        <v>178</v>
      </c>
      <c r="D160" s="283"/>
      <c r="E160" s="281"/>
      <c r="F160" s="79"/>
      <c r="G160" s="47">
        <f>SUMIF(JournalsA!D$14:D$920,TrialBalanceA!M160,JournalsA!J$14:J$920)+SUMIF(JournalsA!E$14:E$920,TrialBalanceA!M160,JournalsA!J$14:J$920)</f>
        <v>0</v>
      </c>
      <c r="H160" s="288"/>
      <c r="I160" s="255">
        <f t="shared" si="29"/>
        <v>0</v>
      </c>
      <c r="J160" s="75"/>
      <c r="K160" s="48">
        <f t="shared" si="30"/>
        <v>0</v>
      </c>
      <c r="M160" s="140" t="str">
        <f t="shared" si="31"/>
        <v>4820/000DEFERRED TAX</v>
      </c>
      <c r="N160" s="70"/>
      <c r="P160" s="71"/>
      <c r="Q160" s="51"/>
      <c r="R160" s="31"/>
    </row>
    <row r="161" spans="1:18" x14ac:dyDescent="0.2">
      <c r="A161" s="238"/>
      <c r="B161" s="54" t="s">
        <v>179</v>
      </c>
      <c r="C161" s="240" t="s">
        <v>180</v>
      </c>
      <c r="D161" s="282"/>
      <c r="E161" s="281"/>
      <c r="F161" s="79"/>
      <c r="G161" s="47">
        <f>SUMIF(JournalsA!D$14:D$920,TrialBalanceA!M161,JournalsA!J$14:J$920)+SUMIF(JournalsA!E$14:E$920,TrialBalanceA!M161,JournalsA!J$14:J$920)</f>
        <v>0</v>
      </c>
      <c r="H161" s="288"/>
      <c r="I161" s="255">
        <f t="shared" si="29"/>
        <v>0</v>
      </c>
      <c r="J161" s="75"/>
      <c r="K161" s="48">
        <f t="shared" si="30"/>
        <v>0</v>
      </c>
      <c r="M161" s="140" t="str">
        <f t="shared" si="31"/>
        <v>4820/001Deferred tax this year</v>
      </c>
      <c r="N161" s="70"/>
      <c r="P161" s="71"/>
      <c r="Q161" s="51"/>
      <c r="R161" s="31"/>
    </row>
    <row r="162" spans="1:18" x14ac:dyDescent="0.2">
      <c r="A162" s="238"/>
      <c r="B162" s="90" t="s">
        <v>181</v>
      </c>
      <c r="C162" s="242" t="s">
        <v>954</v>
      </c>
      <c r="D162" s="282"/>
      <c r="E162" s="281"/>
      <c r="F162" s="79"/>
      <c r="G162" s="47">
        <f>SUMIF(JournalsA!D$14:D$920,TrialBalanceA!M162,JournalsA!J$14:J$920)+SUMIF(JournalsA!E$14:E$920,TrialBalanceA!M162,JournalsA!J$14:J$920)</f>
        <v>0</v>
      </c>
      <c r="H162" s="288"/>
      <c r="I162" s="255">
        <f t="shared" ref="I162" si="38">ROUND(D162-E162+G162+F162,0)</f>
        <v>0</v>
      </c>
      <c r="J162" s="75"/>
      <c r="K162" s="48">
        <f t="shared" ref="K162" si="39">ROUND(SUM(A162),0)</f>
        <v>0</v>
      </c>
      <c r="M162" s="140" t="str">
        <f t="shared" ref="M162" si="40">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SUMIF(JournalsA!D$14:D$920,TrialBalanceA!M163,JournalsA!J$14:J$920)+SUMIF(JournalsA!E$14:E$920,TrialBalanceA!M163,JournalsA!J$14:J$920)</f>
        <v>0</v>
      </c>
      <c r="H163" s="288"/>
      <c r="I163" s="255">
        <f t="shared" si="29"/>
        <v>0</v>
      </c>
      <c r="J163" s="75"/>
      <c r="K163" s="48">
        <f t="shared" si="30"/>
        <v>0</v>
      </c>
      <c r="M163" s="140" t="str">
        <f t="shared" si="31"/>
        <v>4820/003Deferred tax adjustment previous year</v>
      </c>
      <c r="N163" s="70"/>
      <c r="P163" s="71"/>
      <c r="Q163" s="51"/>
      <c r="R163" s="31"/>
    </row>
    <row r="164" spans="1:18" x14ac:dyDescent="0.2">
      <c r="A164" s="238"/>
      <c r="B164" s="54" t="s">
        <v>183</v>
      </c>
      <c r="C164" s="242" t="s">
        <v>457</v>
      </c>
      <c r="D164" s="282"/>
      <c r="E164" s="281"/>
      <c r="F164" s="79"/>
      <c r="G164" s="47">
        <f>SUMIF(JournalsA!D$14:D$920,TrialBalanceA!M164,JournalsA!J$14:J$920)+SUMIF(JournalsA!E$14:E$920,TrialBalanceA!M164,JournalsA!J$14:J$920)</f>
        <v>0</v>
      </c>
      <c r="H164" s="288"/>
      <c r="I164" s="255">
        <f t="shared" si="29"/>
        <v>0</v>
      </c>
      <c r="J164" s="75"/>
      <c r="K164" s="48">
        <f t="shared" si="30"/>
        <v>0</v>
      </c>
      <c r="M164" s="140" t="str">
        <f t="shared" si="31"/>
        <v>4850/000Dividends declared</v>
      </c>
      <c r="N164" s="70"/>
      <c r="P164" s="71"/>
      <c r="Q164" s="51"/>
      <c r="R164" s="31"/>
    </row>
    <row r="165" spans="1:18" x14ac:dyDescent="0.2">
      <c r="A165" s="238"/>
      <c r="B165" s="54" t="s">
        <v>184</v>
      </c>
      <c r="C165" s="240" t="s">
        <v>209</v>
      </c>
      <c r="D165" s="282"/>
      <c r="E165" s="281"/>
      <c r="F165" s="79"/>
      <c r="G165" s="47">
        <f>SUMIF(JournalsA!D$14:D$920,TrialBalanceA!M165,JournalsA!J$14:J$920)+SUMIF(JournalsA!E$14:E$920,TrialBalanceA!M165,JournalsA!J$14:J$920)</f>
        <v>0</v>
      </c>
      <c r="H165" s="288"/>
      <c r="I165" s="255">
        <f t="shared" si="29"/>
        <v>0</v>
      </c>
      <c r="J165" s="75"/>
      <c r="K165" s="48">
        <f t="shared" si="30"/>
        <v>0</v>
      </c>
      <c r="M165" s="140" t="str">
        <f t="shared" si="31"/>
        <v>4860/000Dividends paid</v>
      </c>
      <c r="N165" s="70"/>
      <c r="P165" s="71"/>
      <c r="Q165" s="51"/>
      <c r="R165" s="31"/>
    </row>
    <row r="166" spans="1:18" x14ac:dyDescent="0.2">
      <c r="A166" s="238"/>
      <c r="B166" s="54" t="s">
        <v>212</v>
      </c>
      <c r="C166" s="240"/>
      <c r="D166" s="282"/>
      <c r="E166" s="272"/>
      <c r="F166" s="79"/>
      <c r="G166" s="47"/>
      <c r="H166" s="288"/>
      <c r="I166" s="255">
        <f t="shared" si="29"/>
        <v>0</v>
      </c>
      <c r="J166" s="75"/>
      <c r="K166" s="48">
        <f t="shared" si="30"/>
        <v>0</v>
      </c>
      <c r="M166" s="140">
        <v>0</v>
      </c>
      <c r="N166" s="70"/>
      <c r="P166" s="71"/>
      <c r="Q166" s="51"/>
      <c r="R166" s="31"/>
    </row>
    <row r="167" spans="1:18" x14ac:dyDescent="0.2">
      <c r="A167" s="238"/>
      <c r="B167" s="54" t="s">
        <v>212</v>
      </c>
      <c r="C167" s="240" t="s">
        <v>212</v>
      </c>
      <c r="D167" s="282"/>
      <c r="E167" s="272"/>
      <c r="F167" s="79"/>
      <c r="G167" s="47"/>
      <c r="H167" s="288"/>
      <c r="I167" s="255">
        <f t="shared" si="29"/>
        <v>0</v>
      </c>
      <c r="J167" s="75"/>
      <c r="K167" s="48">
        <f t="shared" si="30"/>
        <v>0</v>
      </c>
      <c r="M167" s="140">
        <v>0</v>
      </c>
      <c r="N167" s="70"/>
      <c r="P167" s="71"/>
      <c r="Q167" s="51"/>
      <c r="R167" s="31"/>
    </row>
    <row r="168" spans="1:18" x14ac:dyDescent="0.2">
      <c r="A168" s="238"/>
      <c r="B168" s="54" t="s">
        <v>212</v>
      </c>
      <c r="C168" s="240"/>
      <c r="D168" s="282"/>
      <c r="E168" s="272"/>
      <c r="F168" s="79"/>
      <c r="G168" s="47"/>
      <c r="H168" s="288"/>
      <c r="I168" s="255">
        <f t="shared" si="29"/>
        <v>0</v>
      </c>
      <c r="J168" s="75"/>
      <c r="K168" s="48">
        <f t="shared" si="30"/>
        <v>0</v>
      </c>
      <c r="M168" s="140">
        <v>0</v>
      </c>
      <c r="N168" s="70"/>
      <c r="P168" s="71"/>
      <c r="Q168" s="51"/>
      <c r="R168" s="31"/>
    </row>
    <row r="169" spans="1:18" x14ac:dyDescent="0.2">
      <c r="A169" s="238"/>
      <c r="B169" s="54" t="s">
        <v>471</v>
      </c>
      <c r="C169" s="239" t="s">
        <v>461</v>
      </c>
      <c r="D169" s="283"/>
      <c r="E169" s="272"/>
      <c r="F169" s="79"/>
      <c r="G169" s="47">
        <f>SUMIF(JournalsA!D$14:D$920,TrialBalanceA!M169,JournalsA!J$14:J$920)+SUMIF(JournalsA!E$14:E$920,TrialBalanceA!M169,JournalsA!J$14:J$920)</f>
        <v>0</v>
      </c>
      <c r="H169" s="288"/>
      <c r="I169" s="255">
        <f t="shared" si="29"/>
        <v>0</v>
      </c>
      <c r="J169" s="75"/>
      <c r="K169" s="48">
        <f t="shared" si="30"/>
        <v>0</v>
      </c>
      <c r="M169" s="140" t="str">
        <f t="shared" si="31"/>
        <v>5100/000SHARE CAPITAL</v>
      </c>
      <c r="N169" s="70"/>
      <c r="P169" s="71"/>
      <c r="Q169" s="51"/>
      <c r="R169" s="31"/>
    </row>
    <row r="170" spans="1:18" x14ac:dyDescent="0.2">
      <c r="A170" s="238"/>
      <c r="B170" s="54" t="s">
        <v>472</v>
      </c>
      <c r="C170" s="242" t="s">
        <v>720</v>
      </c>
      <c r="D170" s="282"/>
      <c r="E170" s="272"/>
      <c r="F170" s="79">
        <f>SUM(K170:K171)</f>
        <v>0</v>
      </c>
      <c r="G170" s="47">
        <f>SUMIF(JournalsA!D$14:D$920,TrialBalanceA!M170,JournalsA!J$14:J$920)+SUMIF(JournalsA!E$14:E$920,TrialBalanceA!M170,JournalsA!J$14:J$920)</f>
        <v>0</v>
      </c>
      <c r="H170" s="288"/>
      <c r="I170" s="255">
        <f t="shared" si="29"/>
        <v>0</v>
      </c>
      <c r="J170" s="75"/>
      <c r="K170" s="48">
        <f t="shared" si="30"/>
        <v>0</v>
      </c>
      <c r="M170" s="140" t="str">
        <f t="shared" si="31"/>
        <v>5100/001Share capital - balance b/fwd</v>
      </c>
      <c r="N170" s="70"/>
      <c r="P170" s="71"/>
      <c r="Q170" s="51"/>
      <c r="R170" s="31"/>
    </row>
    <row r="171" spans="1:18" x14ac:dyDescent="0.2">
      <c r="A171" s="238"/>
      <c r="B171" s="54" t="s">
        <v>473</v>
      </c>
      <c r="C171" s="242" t="s">
        <v>721</v>
      </c>
      <c r="D171" s="282"/>
      <c r="E171" s="272"/>
      <c r="F171" s="79"/>
      <c r="G171" s="47">
        <f>SUMIF(JournalsA!D$14:D$920,TrialBalanceA!M171,JournalsA!J$14:J$920)+SUMIF(JournalsA!E$14:E$920,TrialBalanceA!M171,JournalsA!J$14:J$920)</f>
        <v>0</v>
      </c>
      <c r="H171" s="288"/>
      <c r="I171" s="255">
        <f t="shared" si="29"/>
        <v>0</v>
      </c>
      <c r="J171" s="75"/>
      <c r="K171" s="48">
        <f t="shared" si="30"/>
        <v>0</v>
      </c>
      <c r="M171" s="140" t="str">
        <f t="shared" si="31"/>
        <v>5100/002Share capital - additions</v>
      </c>
      <c r="N171" s="70"/>
      <c r="P171" s="71"/>
      <c r="Q171" s="51"/>
      <c r="R171" s="31"/>
    </row>
    <row r="172" spans="1:18" x14ac:dyDescent="0.2">
      <c r="A172" s="238"/>
      <c r="B172" s="86" t="s">
        <v>474</v>
      </c>
      <c r="C172" s="280" t="s">
        <v>465</v>
      </c>
      <c r="D172" s="284"/>
      <c r="E172" s="272"/>
      <c r="F172" s="79"/>
      <c r="G172" s="47">
        <f>SUMIF(JournalsA!D$14:D$920,TrialBalanceA!M172,JournalsA!J$14:J$920)+SUMIF(JournalsA!E$14:E$920,TrialBalanceA!M172,JournalsA!J$14:J$920)</f>
        <v>0</v>
      </c>
      <c r="H172" s="288"/>
      <c r="I172" s="255">
        <f t="shared" ref="I172:I205" si="41">ROUND(D172-E172+G172+F172,0)</f>
        <v>0</v>
      </c>
      <c r="J172" s="75"/>
      <c r="K172" s="48">
        <f t="shared" si="30"/>
        <v>0</v>
      </c>
      <c r="M172" s="140" t="str">
        <f t="shared" si="31"/>
        <v>5110/000SHARE PREMIUM</v>
      </c>
      <c r="N172" s="70"/>
      <c r="P172" s="71"/>
      <c r="Q172" s="51"/>
      <c r="R172" s="31"/>
    </row>
    <row r="173" spans="1:18" x14ac:dyDescent="0.2">
      <c r="A173" s="238"/>
      <c r="B173" s="86" t="s">
        <v>475</v>
      </c>
      <c r="C173" s="242" t="s">
        <v>722</v>
      </c>
      <c r="D173" s="286"/>
      <c r="E173" s="272"/>
      <c r="F173" s="79">
        <f>SUM(K173:K175)</f>
        <v>0</v>
      </c>
      <c r="G173" s="47">
        <f>SUMIF(JournalsA!D$14:D$920,TrialBalanceA!M173,JournalsA!J$14:J$920)+SUMIF(JournalsA!E$14:E$920,TrialBalanceA!M173,JournalsA!J$14:J$920)</f>
        <v>0</v>
      </c>
      <c r="H173" s="288"/>
      <c r="I173" s="255">
        <f t="shared" si="41"/>
        <v>0</v>
      </c>
      <c r="J173" s="75"/>
      <c r="K173" s="48">
        <f t="shared" si="30"/>
        <v>0</v>
      </c>
      <c r="M173" s="140" t="str">
        <f t="shared" si="31"/>
        <v>5110/001Share premium - balance b/fwd</v>
      </c>
      <c r="N173" s="70"/>
      <c r="P173" s="71"/>
      <c r="Q173" s="51"/>
      <c r="R173" s="31"/>
    </row>
    <row r="174" spans="1:18" x14ac:dyDescent="0.2">
      <c r="A174" s="238"/>
      <c r="B174" s="86" t="s">
        <v>476</v>
      </c>
      <c r="C174" s="242" t="s">
        <v>723</v>
      </c>
      <c r="D174" s="286"/>
      <c r="E174" s="272"/>
      <c r="F174" s="79"/>
      <c r="G174" s="47">
        <f>SUMIF(JournalsA!D$14:D$920,TrialBalanceA!M174,JournalsA!J$14:J$920)+SUMIF(JournalsA!E$14:E$920,TrialBalanceA!M174,JournalsA!J$14:J$920)</f>
        <v>0</v>
      </c>
      <c r="H174" s="288"/>
      <c r="I174" s="255">
        <f t="shared" si="41"/>
        <v>0</v>
      </c>
      <c r="J174" s="75"/>
      <c r="K174" s="48">
        <f t="shared" si="30"/>
        <v>0</v>
      </c>
      <c r="M174" s="140" t="str">
        <f t="shared" si="31"/>
        <v>5110/002Share premium - additions</v>
      </c>
      <c r="N174" s="70"/>
      <c r="P174" s="71"/>
      <c r="Q174" s="51"/>
      <c r="R174" s="31"/>
    </row>
    <row r="175" spans="1:18" x14ac:dyDescent="0.2">
      <c r="A175" s="238"/>
      <c r="B175" s="86" t="s">
        <v>477</v>
      </c>
      <c r="C175" s="248" t="s">
        <v>478</v>
      </c>
      <c r="D175" s="286"/>
      <c r="E175" s="272"/>
      <c r="F175" s="79"/>
      <c r="G175" s="47">
        <f>SUMIF(JournalsA!D$14:D$920,TrialBalanceA!M175,JournalsA!J$14:J$920)+SUMIF(JournalsA!E$14:E$920,TrialBalanceA!M175,JournalsA!J$14:J$920)</f>
        <v>0</v>
      </c>
      <c r="H175" s="288"/>
      <c r="I175" s="255">
        <f t="shared" si="41"/>
        <v>0</v>
      </c>
      <c r="J175" s="75"/>
      <c r="K175" s="48">
        <f t="shared" si="30"/>
        <v>0</v>
      </c>
      <c r="M175" s="140" t="str">
        <f t="shared" si="31"/>
        <v>5110/003Share premium - transfer</v>
      </c>
      <c r="N175" s="70"/>
      <c r="P175" s="71"/>
      <c r="Q175" s="51"/>
      <c r="R175" s="31"/>
    </row>
    <row r="176" spans="1:18" x14ac:dyDescent="0.2">
      <c r="A176" s="238"/>
      <c r="B176" s="54" t="s">
        <v>431</v>
      </c>
      <c r="C176" s="239" t="s">
        <v>850</v>
      </c>
      <c r="D176" s="284"/>
      <c r="E176" s="272"/>
      <c r="F176" s="79"/>
      <c r="G176" s="47">
        <f>SUMIF(JournalsA!D$14:D$920,TrialBalanceA!M176,JournalsA!J$14:J$920)+SUMIF(JournalsA!E$14:E$920,TrialBalanceA!M176,JournalsA!J$14:J$920)</f>
        <v>0</v>
      </c>
      <c r="H176" s="288"/>
      <c r="I176" s="255">
        <f t="shared" si="41"/>
        <v>0</v>
      </c>
      <c r="J176" s="75"/>
      <c r="K176" s="48">
        <f t="shared" si="30"/>
        <v>0</v>
      </c>
      <c r="M176" s="140" t="str">
        <f t="shared" si="31"/>
        <v>5120/000REVALUATION RESERVE</v>
      </c>
      <c r="N176" s="70"/>
      <c r="P176" s="71"/>
      <c r="Q176" s="51"/>
      <c r="R176" s="31"/>
    </row>
    <row r="177" spans="1:18" x14ac:dyDescent="0.2">
      <c r="A177" s="238"/>
      <c r="B177" s="54" t="s">
        <v>432</v>
      </c>
      <c r="C177" s="242" t="s">
        <v>851</v>
      </c>
      <c r="D177" s="282"/>
      <c r="E177" s="272"/>
      <c r="F177" s="79">
        <f>SUM(K177:K179)</f>
        <v>0</v>
      </c>
      <c r="G177" s="47">
        <f>SUMIF(JournalsA!D$14:D$920,TrialBalanceA!M177,JournalsA!J$14:J$920)+SUMIF(JournalsA!E$14:E$920,TrialBalanceA!M177,JournalsA!J$14:J$920)</f>
        <v>0</v>
      </c>
      <c r="H177" s="288"/>
      <c r="I177" s="255">
        <f t="shared" si="41"/>
        <v>0</v>
      </c>
      <c r="J177" s="75"/>
      <c r="K177" s="48">
        <f t="shared" si="30"/>
        <v>0</v>
      </c>
      <c r="M177" s="140" t="str">
        <f t="shared" si="31"/>
        <v>5120/001Revaluation reserve - balance b/fwd</v>
      </c>
      <c r="N177" s="70"/>
      <c r="P177" s="71"/>
      <c r="Q177" s="51"/>
      <c r="R177" s="31"/>
    </row>
    <row r="178" spans="1:18" x14ac:dyDescent="0.2">
      <c r="A178" s="238"/>
      <c r="B178" s="54" t="s">
        <v>433</v>
      </c>
      <c r="C178" s="242" t="s">
        <v>852</v>
      </c>
      <c r="D178" s="282"/>
      <c r="E178" s="272"/>
      <c r="F178" s="79"/>
      <c r="G178" s="47">
        <f>SUMIF(JournalsA!D$14:D$920,TrialBalanceA!M178,JournalsA!J$14:J$920)+SUMIF(JournalsA!E$14:E$920,TrialBalanceA!M178,JournalsA!J$14:J$920)</f>
        <v>0</v>
      </c>
      <c r="H178" s="288"/>
      <c r="I178" s="255">
        <f t="shared" si="41"/>
        <v>0</v>
      </c>
      <c r="J178" s="75"/>
      <c r="K178" s="48">
        <f t="shared" si="30"/>
        <v>0</v>
      </c>
      <c r="M178" s="140" t="str">
        <f t="shared" si="31"/>
        <v>5120/002Revaluation reserve - additions</v>
      </c>
      <c r="N178" s="70"/>
      <c r="P178" s="71"/>
      <c r="Q178" s="51"/>
      <c r="R178" s="31"/>
    </row>
    <row r="179" spans="1:18" x14ac:dyDescent="0.2">
      <c r="A179" s="238"/>
      <c r="B179" s="54" t="s">
        <v>434</v>
      </c>
      <c r="C179" s="242" t="s">
        <v>853</v>
      </c>
      <c r="D179" s="282"/>
      <c r="E179" s="272"/>
      <c r="F179" s="79"/>
      <c r="G179" s="47">
        <f>SUMIF(JournalsA!D$14:D$920,TrialBalanceA!M179,JournalsA!J$14:J$920)+SUMIF(JournalsA!E$14:E$920,TrialBalanceA!M179,JournalsA!J$14:J$920)</f>
        <v>0</v>
      </c>
      <c r="H179" s="288"/>
      <c r="I179" s="255">
        <f t="shared" si="41"/>
        <v>0</v>
      </c>
      <c r="J179" s="75"/>
      <c r="K179" s="48">
        <f t="shared" si="30"/>
        <v>0</v>
      </c>
      <c r="M179" s="140" t="str">
        <f t="shared" si="31"/>
        <v>5120/003Revaluation reserve - transfer</v>
      </c>
      <c r="N179" s="70"/>
      <c r="P179" s="71"/>
      <c r="Q179" s="51"/>
      <c r="R179" s="31"/>
    </row>
    <row r="180" spans="1:18" x14ac:dyDescent="0.2">
      <c r="A180" s="238"/>
      <c r="B180" s="54" t="s">
        <v>79</v>
      </c>
      <c r="C180" s="239" t="s">
        <v>232</v>
      </c>
      <c r="D180" s="284"/>
      <c r="E180" s="272"/>
      <c r="F180" s="79"/>
      <c r="G180" s="47">
        <f>SUMIF(JournalsA!D$14:D$920,TrialBalanceA!M180,JournalsA!J$14:J$920)+SUMIF(JournalsA!E$14:E$920,TrialBalanceA!M180,JournalsA!J$14:J$920)</f>
        <v>0</v>
      </c>
      <c r="H180" s="288"/>
      <c r="I180" s="255">
        <f t="shared" si="41"/>
        <v>0</v>
      </c>
      <c r="J180" s="75"/>
      <c r="K180" s="48">
        <f t="shared" si="30"/>
        <v>0</v>
      </c>
      <c r="M180" s="140" t="str">
        <f t="shared" si="31"/>
        <v>5130/000OTHER RESERVES</v>
      </c>
      <c r="N180" s="70"/>
      <c r="P180" s="71"/>
      <c r="Q180" s="51"/>
      <c r="R180" s="31"/>
    </row>
    <row r="181" spans="1:18" x14ac:dyDescent="0.2">
      <c r="A181" s="238"/>
      <c r="B181" s="54" t="s">
        <v>233</v>
      </c>
      <c r="C181" s="242" t="s">
        <v>724</v>
      </c>
      <c r="D181" s="282"/>
      <c r="E181" s="272"/>
      <c r="F181" s="79">
        <f>SUM(K181:K183)</f>
        <v>0</v>
      </c>
      <c r="G181" s="47">
        <f>SUMIF(JournalsA!D$14:D$920,TrialBalanceA!M181,JournalsA!J$14:J$920)+SUMIF(JournalsA!E$14:E$920,TrialBalanceA!M181,JournalsA!J$14:J$920)</f>
        <v>0</v>
      </c>
      <c r="H181" s="288"/>
      <c r="I181" s="255">
        <f t="shared" si="41"/>
        <v>0</v>
      </c>
      <c r="J181" s="75"/>
      <c r="K181" s="48">
        <f t="shared" si="30"/>
        <v>0</v>
      </c>
      <c r="M181" s="140" t="str">
        <f t="shared" si="31"/>
        <v>5130/001Other reserves - balance b/fwd</v>
      </c>
      <c r="N181" s="70"/>
      <c r="P181" s="71"/>
      <c r="Q181" s="51"/>
      <c r="R181" s="31"/>
    </row>
    <row r="182" spans="1:18" x14ac:dyDescent="0.2">
      <c r="A182" s="238"/>
      <c r="B182" s="54" t="s">
        <v>234</v>
      </c>
      <c r="C182" s="242" t="s">
        <v>725</v>
      </c>
      <c r="D182" s="282"/>
      <c r="E182" s="272"/>
      <c r="F182" s="79"/>
      <c r="G182" s="47">
        <f>SUMIF(JournalsA!D$14:D$920,TrialBalanceA!M182,JournalsA!J$14:J$920)+SUMIF(JournalsA!E$14:E$920,TrialBalanceA!M182,JournalsA!J$14:J$920)</f>
        <v>0</v>
      </c>
      <c r="H182" s="288"/>
      <c r="I182" s="255">
        <f t="shared" si="41"/>
        <v>0</v>
      </c>
      <c r="J182" s="75"/>
      <c r="K182" s="48">
        <f t="shared" si="30"/>
        <v>0</v>
      </c>
      <c r="M182" s="140" t="str">
        <f t="shared" si="31"/>
        <v>5130/002Other reserves - additions</v>
      </c>
      <c r="N182" s="70"/>
      <c r="P182" s="71"/>
      <c r="Q182" s="51"/>
      <c r="R182" s="31"/>
    </row>
    <row r="183" spans="1:18" x14ac:dyDescent="0.2">
      <c r="A183" s="238"/>
      <c r="B183" s="54" t="s">
        <v>306</v>
      </c>
      <c r="C183" s="240" t="s">
        <v>359</v>
      </c>
      <c r="D183" s="282"/>
      <c r="E183" s="272"/>
      <c r="F183" s="79"/>
      <c r="G183" s="47">
        <f>SUMIF(JournalsA!D$14:D$920,TrialBalanceA!M183,JournalsA!J$14:J$920)+SUMIF(JournalsA!E$14:E$920,TrialBalanceA!M183,JournalsA!J$14:J$920)</f>
        <v>0</v>
      </c>
      <c r="H183" s="288"/>
      <c r="I183" s="255">
        <f t="shared" si="41"/>
        <v>0</v>
      </c>
      <c r="J183" s="75"/>
      <c r="K183" s="48">
        <f t="shared" si="30"/>
        <v>0</v>
      </c>
      <c r="M183" s="140" t="str">
        <f t="shared" si="31"/>
        <v>5130/003Other reserves - transfer</v>
      </c>
      <c r="N183" s="70"/>
      <c r="P183" s="71"/>
      <c r="Q183" s="51"/>
      <c r="R183" s="31"/>
    </row>
    <row r="184" spans="1:18" x14ac:dyDescent="0.2">
      <c r="A184" s="238"/>
      <c r="B184" s="54" t="s">
        <v>360</v>
      </c>
      <c r="C184" s="239" t="s">
        <v>726</v>
      </c>
      <c r="D184" s="283"/>
      <c r="E184" s="272"/>
      <c r="F184" s="79">
        <f>K184+SUM(K5:K165)</f>
        <v>0</v>
      </c>
      <c r="G184" s="47">
        <f>SUMIF(JournalsA!D$14:D$920,TrialBalanceA!M184,JournalsA!J$14:J$920)+SUMIF(JournalsA!E$14:E$920,TrialBalanceA!M184,JournalsA!J$14:J$920)</f>
        <v>0</v>
      </c>
      <c r="H184" s="288"/>
      <c r="I184" s="255">
        <f t="shared" si="41"/>
        <v>0</v>
      </c>
      <c r="J184" s="75"/>
      <c r="K184" s="48">
        <f t="shared" si="30"/>
        <v>0</v>
      </c>
      <c r="M184" s="140" t="str">
        <f t="shared" si="31"/>
        <v>5200/000(Retained income) / Accumulated loss</v>
      </c>
      <c r="N184" s="70"/>
      <c r="P184" s="71"/>
      <c r="Q184" s="51"/>
      <c r="R184" s="31"/>
    </row>
    <row r="185" spans="1:18" x14ac:dyDescent="0.2">
      <c r="A185" s="238"/>
      <c r="B185" s="54" t="s">
        <v>116</v>
      </c>
      <c r="C185" s="239" t="s">
        <v>117</v>
      </c>
      <c r="D185" s="283"/>
      <c r="E185" s="272"/>
      <c r="F185" s="79"/>
      <c r="G185" s="47">
        <f>SUMIF(JournalsA!D$14:D$920,TrialBalanceA!M185,JournalsA!J$14:J$920)+SUMIF(JournalsA!E$14:E$920,TrialBalanceA!M185,JournalsA!J$14:J$920)</f>
        <v>0</v>
      </c>
      <c r="H185" s="288"/>
      <c r="I185" s="255">
        <f t="shared" si="41"/>
        <v>0</v>
      </c>
      <c r="J185" s="75"/>
      <c r="K185" s="48">
        <f t="shared" si="30"/>
        <v>0</v>
      </c>
      <c r="M185" s="140" t="str">
        <f t="shared" si="31"/>
        <v>5500/000LONG TERM  INTEREST LIABILITIES</v>
      </c>
      <c r="N185" s="70"/>
      <c r="P185" s="71"/>
      <c r="Q185" s="51"/>
      <c r="R185" s="31"/>
    </row>
    <row r="186" spans="1:18" x14ac:dyDescent="0.2">
      <c r="A186" s="238"/>
      <c r="B186" s="54" t="s">
        <v>118</v>
      </c>
      <c r="C186" s="276">
        <f>TrialBalance!C186</f>
        <v>0</v>
      </c>
      <c r="D186" s="281"/>
      <c r="E186" s="272"/>
      <c r="F186" s="79">
        <f>K186</f>
        <v>0</v>
      </c>
      <c r="G186" s="47">
        <f>SUMIF(JournalsA!D$14:D$920,TrialBalanceA!M186,JournalsA!J$14:J$920)+SUMIF(JournalsA!E$14:E$920,TrialBalanceA!M186,JournalsA!J$14:J$920)</f>
        <v>0</v>
      </c>
      <c r="H186" s="288"/>
      <c r="I186" s="255">
        <f t="shared" si="41"/>
        <v>0</v>
      </c>
      <c r="J186" s="75"/>
      <c r="K186" s="48">
        <f t="shared" si="30"/>
        <v>0</v>
      </c>
      <c r="M186" s="140" t="str">
        <f t="shared" si="31"/>
        <v>5500/0010</v>
      </c>
      <c r="N186" s="70"/>
      <c r="P186" s="71"/>
      <c r="Q186" s="51"/>
      <c r="R186" s="31"/>
    </row>
    <row r="187" spans="1:18" x14ac:dyDescent="0.2">
      <c r="A187" s="238"/>
      <c r="B187" s="54" t="s">
        <v>119</v>
      </c>
      <c r="C187" s="276">
        <f>TrialBalance!C187</f>
        <v>0</v>
      </c>
      <c r="D187" s="282"/>
      <c r="E187" s="272"/>
      <c r="F187" s="79">
        <f>K187</f>
        <v>0</v>
      </c>
      <c r="G187" s="47">
        <f>SUMIF(JournalsA!D$14:D$920,TrialBalanceA!M187,JournalsA!J$14:J$920)+SUMIF(JournalsA!E$14:E$920,TrialBalanceA!M187,JournalsA!J$14:J$920)</f>
        <v>0</v>
      </c>
      <c r="H187" s="288"/>
      <c r="I187" s="255">
        <f t="shared" si="41"/>
        <v>0</v>
      </c>
      <c r="J187" s="75"/>
      <c r="K187" s="48">
        <f t="shared" si="30"/>
        <v>0</v>
      </c>
      <c r="M187" s="140" t="str">
        <f t="shared" si="31"/>
        <v>5500/0020</v>
      </c>
      <c r="N187" s="70"/>
      <c r="P187" s="71"/>
      <c r="Q187" s="51"/>
      <c r="R187" s="31"/>
    </row>
    <row r="188" spans="1:18" x14ac:dyDescent="0.2">
      <c r="A188" s="238"/>
      <c r="B188" s="54" t="s">
        <v>120</v>
      </c>
      <c r="C188" s="276">
        <f>TrialBalance!C188</f>
        <v>0</v>
      </c>
      <c r="D188" s="282"/>
      <c r="E188" s="272"/>
      <c r="F188" s="79">
        <f>K188</f>
        <v>0</v>
      </c>
      <c r="G188" s="47">
        <f>SUMIF(JournalsA!D$14:D$920,TrialBalanceA!M188,JournalsA!J$14:J$920)+SUMIF(JournalsA!E$14:E$920,TrialBalanceA!M188,JournalsA!J$14:J$920)</f>
        <v>0</v>
      </c>
      <c r="H188" s="288"/>
      <c r="I188" s="255">
        <f t="shared" si="41"/>
        <v>0</v>
      </c>
      <c r="J188" s="75"/>
      <c r="K188" s="48">
        <f t="shared" si="30"/>
        <v>0</v>
      </c>
      <c r="M188" s="140" t="str">
        <f t="shared" si="31"/>
        <v>5500/0030</v>
      </c>
      <c r="N188" s="70"/>
      <c r="P188" s="71"/>
      <c r="Q188" s="51"/>
      <c r="R188" s="31"/>
    </row>
    <row r="189" spans="1:18" x14ac:dyDescent="0.2">
      <c r="A189" s="238"/>
      <c r="B189" s="54" t="s">
        <v>121</v>
      </c>
      <c r="C189" s="276">
        <f>TrialBalance!C189</f>
        <v>0</v>
      </c>
      <c r="D189" s="282"/>
      <c r="E189" s="272"/>
      <c r="F189" s="79">
        <f>K189</f>
        <v>0</v>
      </c>
      <c r="G189" s="47">
        <f>SUMIF(JournalsA!D$14:D$920,TrialBalanceA!M189,JournalsA!J$14:J$920)+SUMIF(JournalsA!E$14:E$920,TrialBalanceA!M189,JournalsA!J$14:J$920)</f>
        <v>0</v>
      </c>
      <c r="H189" s="288"/>
      <c r="I189" s="255">
        <f t="shared" si="41"/>
        <v>0</v>
      </c>
      <c r="J189" s="75"/>
      <c r="K189" s="48">
        <f t="shared" si="30"/>
        <v>0</v>
      </c>
      <c r="M189" s="140" t="str">
        <f t="shared" si="31"/>
        <v>5500/0040</v>
      </c>
      <c r="N189" s="70"/>
      <c r="P189" s="71"/>
      <c r="Q189" s="51"/>
      <c r="R189" s="31"/>
    </row>
    <row r="190" spans="1:18" x14ac:dyDescent="0.2">
      <c r="A190" s="238"/>
      <c r="B190" s="54" t="s">
        <v>122</v>
      </c>
      <c r="C190" s="276">
        <f>TrialBalance!C190</f>
        <v>0</v>
      </c>
      <c r="D190" s="282"/>
      <c r="E190" s="272"/>
      <c r="F190" s="79">
        <f>K190</f>
        <v>0</v>
      </c>
      <c r="G190" s="47">
        <f>SUMIF(JournalsA!D$14:D$920,TrialBalanceA!M190,JournalsA!J$14:J$920)+SUMIF(JournalsA!E$14:E$920,TrialBalanceA!M190,JournalsA!J$14:J$920)</f>
        <v>0</v>
      </c>
      <c r="H190" s="288"/>
      <c r="I190" s="255">
        <f t="shared" si="41"/>
        <v>0</v>
      </c>
      <c r="J190" s="75"/>
      <c r="K190" s="48">
        <f t="shared" si="30"/>
        <v>0</v>
      </c>
      <c r="M190" s="140" t="str">
        <f t="shared" si="31"/>
        <v>5500/0050</v>
      </c>
      <c r="N190" s="70"/>
      <c r="P190" s="71"/>
      <c r="Q190" s="51"/>
      <c r="R190" s="31"/>
    </row>
    <row r="191" spans="1:18" x14ac:dyDescent="0.2">
      <c r="A191" s="238"/>
      <c r="B191" s="90" t="s">
        <v>563</v>
      </c>
      <c r="C191" s="276">
        <f>TrialBalance!C191</f>
        <v>0</v>
      </c>
      <c r="D191" s="282"/>
      <c r="E191" s="272"/>
      <c r="F191" s="79">
        <f t="shared" ref="F191:F216" si="42">K191</f>
        <v>0</v>
      </c>
      <c r="G191" s="47">
        <f>SUMIF(JournalsA!D$14:D$920,TrialBalanceA!M191,JournalsA!J$14:J$920)+SUMIF(JournalsA!E$14:E$920,TrialBalanceA!M191,JournalsA!J$14:J$920)</f>
        <v>0</v>
      </c>
      <c r="H191" s="288"/>
      <c r="I191" s="255">
        <f t="shared" si="41"/>
        <v>0</v>
      </c>
      <c r="J191" s="75"/>
      <c r="K191" s="48">
        <f t="shared" si="30"/>
        <v>0</v>
      </c>
      <c r="M191" s="140" t="str">
        <f t="shared" si="31"/>
        <v>5500/0060</v>
      </c>
      <c r="N191" s="70"/>
      <c r="P191" s="71"/>
      <c r="Q191" s="51"/>
      <c r="R191" s="31"/>
    </row>
    <row r="192" spans="1:18" x14ac:dyDescent="0.2">
      <c r="A192" s="238"/>
      <c r="B192" s="90" t="s">
        <v>564</v>
      </c>
      <c r="C192" s="276">
        <f>TrialBalance!C192</f>
        <v>0</v>
      </c>
      <c r="D192" s="282"/>
      <c r="E192" s="272"/>
      <c r="F192" s="79">
        <f t="shared" si="42"/>
        <v>0</v>
      </c>
      <c r="G192" s="47">
        <f>SUMIF(JournalsA!D$14:D$920,TrialBalanceA!M192,JournalsA!J$14:J$920)+SUMIF(JournalsA!E$14:E$920,TrialBalanceA!M192,JournalsA!J$14:J$920)</f>
        <v>0</v>
      </c>
      <c r="H192" s="288"/>
      <c r="I192" s="255">
        <f t="shared" si="41"/>
        <v>0</v>
      </c>
      <c r="J192" s="75"/>
      <c r="K192" s="48">
        <f t="shared" si="30"/>
        <v>0</v>
      </c>
      <c r="M192" s="140" t="str">
        <f t="shared" si="31"/>
        <v>5500/0070</v>
      </c>
      <c r="N192" s="70"/>
      <c r="P192" s="71"/>
      <c r="Q192" s="51"/>
      <c r="R192" s="31"/>
    </row>
    <row r="193" spans="1:18" x14ac:dyDescent="0.2">
      <c r="A193" s="238"/>
      <c r="B193" s="90" t="s">
        <v>565</v>
      </c>
      <c r="C193" s="276">
        <f>TrialBalance!C193</f>
        <v>0</v>
      </c>
      <c r="D193" s="282"/>
      <c r="E193" s="272"/>
      <c r="F193" s="79">
        <f t="shared" si="42"/>
        <v>0</v>
      </c>
      <c r="G193" s="47">
        <f>SUMIF(JournalsA!D$14:D$920,TrialBalanceA!M193,JournalsA!J$14:J$920)+SUMIF(JournalsA!E$14:E$920,TrialBalanceA!M193,JournalsA!J$14:J$920)</f>
        <v>0</v>
      </c>
      <c r="H193" s="288"/>
      <c r="I193" s="255">
        <f t="shared" si="41"/>
        <v>0</v>
      </c>
      <c r="J193" s="75"/>
      <c r="K193" s="48">
        <f t="shared" si="30"/>
        <v>0</v>
      </c>
      <c r="M193" s="140" t="str">
        <f t="shared" si="31"/>
        <v>5500/0080</v>
      </c>
      <c r="N193" s="70"/>
      <c r="P193" s="71"/>
      <c r="Q193" s="51"/>
      <c r="R193" s="31"/>
    </row>
    <row r="194" spans="1:18" x14ac:dyDescent="0.2">
      <c r="A194" s="238"/>
      <c r="B194" s="90" t="s">
        <v>566</v>
      </c>
      <c r="C194" s="276">
        <f>TrialBalance!C194</f>
        <v>0</v>
      </c>
      <c r="D194" s="284"/>
      <c r="E194" s="272"/>
      <c r="F194" s="79">
        <f t="shared" si="42"/>
        <v>0</v>
      </c>
      <c r="G194" s="47">
        <f>SUMIF(JournalsA!D$14:D$920,TrialBalanceA!M194,JournalsA!J$14:J$920)+SUMIF(JournalsA!E$14:E$920,TrialBalanceA!M194,JournalsA!J$14:J$920)</f>
        <v>0</v>
      </c>
      <c r="H194" s="288"/>
      <c r="I194" s="255">
        <f t="shared" si="41"/>
        <v>0</v>
      </c>
      <c r="J194" s="75"/>
      <c r="K194" s="48">
        <f t="shared" si="30"/>
        <v>0</v>
      </c>
      <c r="M194" s="140" t="str">
        <f t="shared" si="31"/>
        <v>5500/0090</v>
      </c>
      <c r="N194" s="70"/>
      <c r="P194" s="71"/>
      <c r="Q194" s="51"/>
      <c r="R194" s="31"/>
    </row>
    <row r="195" spans="1:18" x14ac:dyDescent="0.2">
      <c r="A195" s="238"/>
      <c r="B195" s="90" t="s">
        <v>567</v>
      </c>
      <c r="C195" s="276">
        <f>TrialBalance!C195</f>
        <v>0</v>
      </c>
      <c r="D195" s="284"/>
      <c r="E195" s="272"/>
      <c r="F195" s="79">
        <f t="shared" si="42"/>
        <v>0</v>
      </c>
      <c r="G195" s="47">
        <f>SUMIF(JournalsA!D$14:D$920,TrialBalanceA!M195,JournalsA!J$14:J$920)+SUMIF(JournalsA!E$14:E$920,TrialBalanceA!M195,JournalsA!J$14:J$920)</f>
        <v>0</v>
      </c>
      <c r="H195" s="288"/>
      <c r="I195" s="255">
        <f t="shared" si="41"/>
        <v>0</v>
      </c>
      <c r="J195" s="75"/>
      <c r="K195" s="48">
        <f t="shared" si="30"/>
        <v>0</v>
      </c>
      <c r="M195" s="140" t="str">
        <f t="shared" si="31"/>
        <v>5500/0100</v>
      </c>
      <c r="N195" s="70"/>
      <c r="P195" s="71"/>
      <c r="Q195" s="51"/>
      <c r="R195" s="31"/>
    </row>
    <row r="196" spans="1:18" x14ac:dyDescent="0.2">
      <c r="A196" s="238"/>
      <c r="B196" s="90" t="s">
        <v>568</v>
      </c>
      <c r="C196" s="276">
        <f>TrialBalance!C196</f>
        <v>0</v>
      </c>
      <c r="D196" s="282"/>
      <c r="E196" s="272"/>
      <c r="F196" s="79">
        <f t="shared" si="42"/>
        <v>0</v>
      </c>
      <c r="G196" s="47">
        <f>SUMIF(JournalsA!D$14:D$920,TrialBalanceA!M196,JournalsA!J$14:J$920)+SUMIF(JournalsA!E$14:E$920,TrialBalanceA!M196,JournalsA!J$14:J$920)</f>
        <v>0</v>
      </c>
      <c r="H196" s="288"/>
      <c r="I196" s="255">
        <f t="shared" si="41"/>
        <v>0</v>
      </c>
      <c r="J196" s="75"/>
      <c r="K196" s="48">
        <f t="shared" si="30"/>
        <v>0</v>
      </c>
      <c r="M196" s="140" t="str">
        <f t="shared" si="31"/>
        <v>5500/0110</v>
      </c>
      <c r="N196" s="70"/>
      <c r="P196" s="71"/>
      <c r="Q196" s="51"/>
      <c r="R196" s="31"/>
    </row>
    <row r="197" spans="1:18" x14ac:dyDescent="0.2">
      <c r="A197" s="238"/>
      <c r="B197" s="90" t="s">
        <v>569</v>
      </c>
      <c r="C197" s="276">
        <f>TrialBalance!C197</f>
        <v>0</v>
      </c>
      <c r="D197" s="282"/>
      <c r="E197" s="282"/>
      <c r="F197" s="79">
        <f t="shared" si="42"/>
        <v>0</v>
      </c>
      <c r="G197" s="47">
        <f>SUMIF(JournalsA!D$14:D$920,TrialBalanceA!M197,JournalsA!J$14:J$920)+SUMIF(JournalsA!E$14:E$920,TrialBalanceA!M197,JournalsA!J$14:J$920)</f>
        <v>0</v>
      </c>
      <c r="H197" s="288"/>
      <c r="I197" s="255">
        <f t="shared" si="41"/>
        <v>0</v>
      </c>
      <c r="J197" s="75"/>
      <c r="K197" s="48">
        <f t="shared" si="30"/>
        <v>0</v>
      </c>
      <c r="M197" s="140" t="str">
        <f t="shared" si="31"/>
        <v>5500/0120</v>
      </c>
      <c r="N197" s="70"/>
      <c r="P197" s="71"/>
      <c r="Q197" s="51"/>
      <c r="R197" s="31"/>
    </row>
    <row r="198" spans="1:18" x14ac:dyDescent="0.2">
      <c r="A198" s="238"/>
      <c r="B198" s="90" t="s">
        <v>570</v>
      </c>
      <c r="C198" s="276">
        <f>TrialBalance!C198</f>
        <v>0</v>
      </c>
      <c r="D198" s="282"/>
      <c r="E198" s="282"/>
      <c r="F198" s="79">
        <f t="shared" ref="F198:F199" si="43">K198</f>
        <v>0</v>
      </c>
      <c r="G198" s="47">
        <f>SUMIF(JournalsA!D$14:D$920,TrialBalanceA!M198,JournalsA!J$14:J$920)+SUMIF(JournalsA!E$14:E$920,TrialBalanceA!M198,JournalsA!J$14:J$920)</f>
        <v>0</v>
      </c>
      <c r="H198" s="288"/>
      <c r="I198" s="255">
        <f t="shared" ref="I198:I199" si="44">ROUND(D198-E198+G198+F198,0)</f>
        <v>0</v>
      </c>
      <c r="J198" s="75"/>
      <c r="K198" s="48">
        <f t="shared" ref="K198:K199" si="45">ROUND(SUM(A198),0)</f>
        <v>0</v>
      </c>
      <c r="M198" s="140" t="str">
        <f t="shared" ref="M198:M199" si="46">CONCATENATE(B198,C198)</f>
        <v>5500/0130</v>
      </c>
      <c r="N198" s="70"/>
      <c r="P198" s="71"/>
      <c r="Q198" s="51"/>
      <c r="R198" s="31"/>
    </row>
    <row r="199" spans="1:18" x14ac:dyDescent="0.2">
      <c r="A199" s="238"/>
      <c r="B199" s="90" t="s">
        <v>619</v>
      </c>
      <c r="C199" s="276">
        <f>TrialBalance!C199</f>
        <v>0</v>
      </c>
      <c r="D199" s="282"/>
      <c r="E199" s="282"/>
      <c r="F199" s="79">
        <f t="shared" si="43"/>
        <v>0</v>
      </c>
      <c r="G199" s="47">
        <f>SUMIF(JournalsA!D$14:D$920,TrialBalanceA!M199,JournalsA!J$14:J$920)+SUMIF(JournalsA!E$14:E$920,TrialBalanceA!M199,JournalsA!J$14:J$920)</f>
        <v>0</v>
      </c>
      <c r="H199" s="288"/>
      <c r="I199" s="255">
        <f t="shared" si="44"/>
        <v>0</v>
      </c>
      <c r="J199" s="75"/>
      <c r="K199" s="48">
        <f t="shared" si="45"/>
        <v>0</v>
      </c>
      <c r="M199" s="140" t="str">
        <f t="shared" si="46"/>
        <v>5500/0140</v>
      </c>
      <c r="N199" s="70"/>
      <c r="P199" s="71"/>
      <c r="Q199" s="51"/>
      <c r="R199" s="31"/>
    </row>
    <row r="200" spans="1:18" x14ac:dyDescent="0.2">
      <c r="A200" s="238"/>
      <c r="B200" s="90" t="s">
        <v>620</v>
      </c>
      <c r="C200" s="276">
        <f>TrialBalance!C200</f>
        <v>0</v>
      </c>
      <c r="D200" s="284"/>
      <c r="E200" s="272"/>
      <c r="F200" s="79">
        <f t="shared" si="42"/>
        <v>0</v>
      </c>
      <c r="G200" s="47">
        <f>SUMIF(JournalsA!D$14:D$920,TrialBalanceA!M200,JournalsA!J$14:J$920)+SUMIF(JournalsA!E$14:E$920,TrialBalanceA!M200,JournalsA!J$14:J$920)</f>
        <v>0</v>
      </c>
      <c r="H200" s="288"/>
      <c r="I200" s="255">
        <f t="shared" si="41"/>
        <v>0</v>
      </c>
      <c r="J200" s="75"/>
      <c r="K200" s="48">
        <f t="shared" si="30"/>
        <v>0</v>
      </c>
      <c r="M200" s="140" t="str">
        <f t="shared" si="31"/>
        <v>5500/0150</v>
      </c>
      <c r="N200" s="70"/>
      <c r="P200" s="71"/>
      <c r="Q200" s="51"/>
      <c r="R200" s="31"/>
    </row>
    <row r="201" spans="1:18" x14ac:dyDescent="0.2">
      <c r="A201" s="238"/>
      <c r="B201" s="54" t="s">
        <v>123</v>
      </c>
      <c r="C201" s="240" t="s">
        <v>237</v>
      </c>
      <c r="D201" s="282"/>
      <c r="E201" s="272"/>
      <c r="F201" s="79">
        <f t="shared" si="42"/>
        <v>0</v>
      </c>
      <c r="G201" s="47">
        <f>SUMIF(JournalsA!D$14:D$920,TrialBalanceA!M201,JournalsA!J$14:J$920)+SUMIF(JournalsA!E$14:E$920,TrialBalanceA!M201,JournalsA!J$14:J$920)</f>
        <v>0</v>
      </c>
      <c r="H201" s="288"/>
      <c r="I201" s="255">
        <f t="shared" si="41"/>
        <v>0</v>
      </c>
      <c r="J201" s="75"/>
      <c r="K201" s="48">
        <f t="shared" si="30"/>
        <v>0</v>
      </c>
      <c r="M201" s="140" t="str">
        <f t="shared" si="31"/>
        <v>5520/000Short term portion of long term loans</v>
      </c>
      <c r="N201" s="70"/>
      <c r="P201" s="71"/>
      <c r="Q201" s="51"/>
      <c r="R201" s="31"/>
    </row>
    <row r="202" spans="1:18" x14ac:dyDescent="0.2">
      <c r="A202" s="238"/>
      <c r="B202" s="54" t="s">
        <v>125</v>
      </c>
      <c r="C202" s="239" t="s">
        <v>126</v>
      </c>
      <c r="D202" s="283"/>
      <c r="E202" s="272"/>
      <c r="F202" s="79">
        <f t="shared" si="42"/>
        <v>0</v>
      </c>
      <c r="G202" s="47">
        <f>SUMIF(JournalsA!D$14:D$920,TrialBalanceA!M202,JournalsA!J$14:J$920)+SUMIF(JournalsA!E$14:E$920,TrialBalanceA!M202,JournalsA!J$14:J$920)</f>
        <v>0</v>
      </c>
      <c r="H202" s="288"/>
      <c r="I202" s="255">
        <f t="shared" si="41"/>
        <v>0</v>
      </c>
      <c r="J202" s="75"/>
      <c r="K202" s="48">
        <f t="shared" si="30"/>
        <v>0</v>
      </c>
      <c r="M202" s="140" t="str">
        <f t="shared" si="31"/>
        <v>5550/000LONG TERM INTEREST FREE LOANS</v>
      </c>
      <c r="N202" s="70"/>
      <c r="P202" s="71"/>
      <c r="Q202" s="51"/>
      <c r="R202" s="31"/>
    </row>
    <row r="203" spans="1:18" x14ac:dyDescent="0.2">
      <c r="A203" s="238"/>
      <c r="B203" s="54" t="s">
        <v>127</v>
      </c>
      <c r="C203" s="276">
        <f>TrialBalance!C203</f>
        <v>0</v>
      </c>
      <c r="D203" s="284"/>
      <c r="E203" s="284"/>
      <c r="F203" s="79">
        <f t="shared" si="42"/>
        <v>0</v>
      </c>
      <c r="G203" s="47">
        <f>SUMIF(JournalsA!D$14:D$920,TrialBalanceA!M203,JournalsA!J$14:J$920)+SUMIF(JournalsA!E$14:E$920,TrialBalanceA!M203,JournalsA!J$14:J$920)</f>
        <v>0</v>
      </c>
      <c r="H203" s="288"/>
      <c r="I203" s="255">
        <f t="shared" si="41"/>
        <v>0</v>
      </c>
      <c r="J203" s="91"/>
      <c r="K203" s="48">
        <f t="shared" si="30"/>
        <v>0</v>
      </c>
      <c r="M203" s="140" t="str">
        <f t="shared" si="31"/>
        <v>5550/0010</v>
      </c>
      <c r="N203" s="70"/>
      <c r="P203" s="71"/>
      <c r="Q203" s="51"/>
      <c r="R203" s="31"/>
    </row>
    <row r="204" spans="1:18" x14ac:dyDescent="0.2">
      <c r="A204" s="238"/>
      <c r="B204" s="54" t="s">
        <v>128</v>
      </c>
      <c r="C204" s="276">
        <f>TrialBalance!C204</f>
        <v>0</v>
      </c>
      <c r="D204" s="284"/>
      <c r="E204" s="282"/>
      <c r="F204" s="79">
        <f t="shared" si="42"/>
        <v>0</v>
      </c>
      <c r="G204" s="47">
        <f>SUMIF(JournalsA!D$14:D$920,TrialBalanceA!M204,JournalsA!J$14:J$920)+SUMIF(JournalsA!E$14:E$920,TrialBalanceA!M204,JournalsA!J$14:J$920)</f>
        <v>0</v>
      </c>
      <c r="H204" s="288"/>
      <c r="I204" s="255">
        <f t="shared" si="41"/>
        <v>0</v>
      </c>
      <c r="J204" s="75"/>
      <c r="K204" s="48">
        <f t="shared" si="30"/>
        <v>0</v>
      </c>
      <c r="M204" s="140" t="str">
        <f t="shared" si="31"/>
        <v>5550/0020</v>
      </c>
      <c r="N204" s="70"/>
      <c r="P204" s="71"/>
      <c r="Q204" s="51"/>
      <c r="R204" s="31"/>
    </row>
    <row r="205" spans="1:18" x14ac:dyDescent="0.2">
      <c r="A205" s="238"/>
      <c r="B205" s="54" t="s">
        <v>129</v>
      </c>
      <c r="C205" s="276">
        <f>TrialBalance!C205</f>
        <v>0</v>
      </c>
      <c r="D205" s="284"/>
      <c r="E205" s="284"/>
      <c r="F205" s="79">
        <f t="shared" si="42"/>
        <v>0</v>
      </c>
      <c r="G205" s="47">
        <f>SUMIF(JournalsA!D$14:D$920,TrialBalanceA!M205,JournalsA!J$14:J$920)+SUMIF(JournalsA!E$14:E$920,TrialBalanceA!M205,JournalsA!J$14:J$920)</f>
        <v>0</v>
      </c>
      <c r="H205" s="288"/>
      <c r="I205" s="255">
        <f t="shared" si="41"/>
        <v>0</v>
      </c>
      <c r="J205" s="91"/>
      <c r="K205" s="48">
        <f t="shared" si="30"/>
        <v>0</v>
      </c>
      <c r="M205" s="140" t="str">
        <f t="shared" si="31"/>
        <v>5550/0030</v>
      </c>
      <c r="N205" s="70"/>
      <c r="P205" s="71"/>
      <c r="Q205" s="51"/>
      <c r="R205" s="31"/>
    </row>
    <row r="206" spans="1:18" x14ac:dyDescent="0.2">
      <c r="A206" s="238"/>
      <c r="B206" s="54" t="s">
        <v>130</v>
      </c>
      <c r="C206" s="276">
        <f>TrialBalance!C206</f>
        <v>0</v>
      </c>
      <c r="D206" s="284"/>
      <c r="E206" s="284"/>
      <c r="F206" s="79">
        <f t="shared" si="42"/>
        <v>0</v>
      </c>
      <c r="G206" s="47">
        <f>SUMIF(JournalsA!D$14:D$920,TrialBalanceA!M206,JournalsA!J$14:J$920)+SUMIF(JournalsA!E$14:E$920,TrialBalanceA!M206,JournalsA!J$14:J$920)</f>
        <v>0</v>
      </c>
      <c r="H206" s="288"/>
      <c r="I206" s="255">
        <f t="shared" ref="I206:I253" si="47">ROUND(D206-E206+G206+F206,0)</f>
        <v>0</v>
      </c>
      <c r="J206" s="91"/>
      <c r="K206" s="48">
        <f t="shared" si="30"/>
        <v>0</v>
      </c>
      <c r="M206" s="140" t="str">
        <f t="shared" si="31"/>
        <v>5550/0040</v>
      </c>
      <c r="N206" s="70"/>
      <c r="P206" s="71"/>
      <c r="Q206" s="51"/>
      <c r="R206" s="31"/>
    </row>
    <row r="207" spans="1:18" x14ac:dyDescent="0.2">
      <c r="A207" s="238"/>
      <c r="B207" s="54" t="s">
        <v>131</v>
      </c>
      <c r="C207" s="276">
        <f>TrialBalance!C207</f>
        <v>0</v>
      </c>
      <c r="D207" s="282"/>
      <c r="E207" s="272"/>
      <c r="F207" s="79">
        <f t="shared" si="42"/>
        <v>0</v>
      </c>
      <c r="G207" s="47">
        <f>SUMIF(JournalsA!D$14:D$920,TrialBalanceA!M207,JournalsA!J$14:J$920)+SUMIF(JournalsA!E$14:E$920,TrialBalanceA!M207,JournalsA!J$14:J$920)</f>
        <v>0</v>
      </c>
      <c r="H207" s="288"/>
      <c r="I207" s="255">
        <f t="shared" si="47"/>
        <v>0</v>
      </c>
      <c r="J207" s="75"/>
      <c r="K207" s="48">
        <f t="shared" si="30"/>
        <v>0</v>
      </c>
      <c r="M207" s="140" t="str">
        <f t="shared" si="31"/>
        <v>5550/0050</v>
      </c>
      <c r="N207" s="70"/>
      <c r="P207" s="71"/>
      <c r="Q207" s="51"/>
      <c r="R207" s="31"/>
    </row>
    <row r="208" spans="1:18" x14ac:dyDescent="0.2">
      <c r="A208" s="238"/>
      <c r="B208" s="90" t="s">
        <v>590</v>
      </c>
      <c r="C208" s="276">
        <f>TrialBalance!C208</f>
        <v>0</v>
      </c>
      <c r="D208" s="282"/>
      <c r="E208" s="272"/>
      <c r="F208" s="79">
        <f t="shared" si="42"/>
        <v>0</v>
      </c>
      <c r="G208" s="47">
        <f>SUMIF(JournalsA!D$14:D$920,TrialBalanceA!M208,JournalsA!J$14:J$920)+SUMIF(JournalsA!E$14:E$920,TrialBalanceA!M208,JournalsA!J$14:J$920)</f>
        <v>0</v>
      </c>
      <c r="H208" s="288"/>
      <c r="I208" s="255">
        <f t="shared" si="47"/>
        <v>0</v>
      </c>
      <c r="J208" s="91"/>
      <c r="K208" s="48">
        <f t="shared" ref="K208:K283" si="48">ROUND(SUM(A208),0)</f>
        <v>0</v>
      </c>
      <c r="M208" s="140" t="str">
        <f t="shared" ref="M208:M283" si="49">CONCATENATE(B208,C208)</f>
        <v>5550/0060</v>
      </c>
      <c r="N208" s="70"/>
      <c r="P208" s="71"/>
      <c r="Q208" s="51"/>
      <c r="R208" s="31"/>
    </row>
    <row r="209" spans="1:18" x14ac:dyDescent="0.2">
      <c r="A209" s="238"/>
      <c r="B209" s="90" t="s">
        <v>591</v>
      </c>
      <c r="C209" s="276">
        <f>TrialBalance!C209</f>
        <v>0</v>
      </c>
      <c r="D209" s="284"/>
      <c r="E209" s="272"/>
      <c r="F209" s="79">
        <f t="shared" si="42"/>
        <v>0</v>
      </c>
      <c r="G209" s="47">
        <f>SUMIF(JournalsA!D$14:D$920,TrialBalanceA!M209,JournalsA!J$14:J$920)+SUMIF(JournalsA!E$14:E$920,TrialBalanceA!M209,JournalsA!J$14:J$920)</f>
        <v>0</v>
      </c>
      <c r="H209" s="288"/>
      <c r="I209" s="255">
        <f t="shared" si="47"/>
        <v>0</v>
      </c>
      <c r="J209" s="91"/>
      <c r="K209" s="48">
        <f t="shared" si="48"/>
        <v>0</v>
      </c>
      <c r="M209" s="140" t="str">
        <f t="shared" si="49"/>
        <v>5550/0070</v>
      </c>
      <c r="N209" s="70"/>
      <c r="P209" s="71"/>
      <c r="Q209" s="51"/>
      <c r="R209" s="31"/>
    </row>
    <row r="210" spans="1:18" x14ac:dyDescent="0.2">
      <c r="A210" s="238"/>
      <c r="B210" s="90" t="s">
        <v>592</v>
      </c>
      <c r="C210" s="276">
        <f>TrialBalance!C210</f>
        <v>0</v>
      </c>
      <c r="D210" s="284"/>
      <c r="E210" s="284"/>
      <c r="F210" s="79">
        <f t="shared" si="42"/>
        <v>0</v>
      </c>
      <c r="G210" s="47">
        <f>SUMIF(JournalsA!D$14:D$920,TrialBalanceA!M210,JournalsA!J$14:J$920)+SUMIF(JournalsA!E$14:E$920,TrialBalanceA!M210,JournalsA!J$14:J$920)</f>
        <v>0</v>
      </c>
      <c r="H210" s="288"/>
      <c r="I210" s="255">
        <f t="shared" si="47"/>
        <v>0</v>
      </c>
      <c r="J210" s="75"/>
      <c r="K210" s="48">
        <f t="shared" si="48"/>
        <v>0</v>
      </c>
      <c r="M210" s="140" t="str">
        <f t="shared" si="49"/>
        <v>5550/0080</v>
      </c>
      <c r="N210" s="70"/>
      <c r="P210" s="71"/>
      <c r="Q210" s="51"/>
      <c r="R210" s="31"/>
    </row>
    <row r="211" spans="1:18" x14ac:dyDescent="0.2">
      <c r="A211" s="238"/>
      <c r="B211" s="90" t="s">
        <v>593</v>
      </c>
      <c r="C211" s="276">
        <f>TrialBalance!C211</f>
        <v>0</v>
      </c>
      <c r="D211" s="284"/>
      <c r="E211" s="284"/>
      <c r="F211" s="79">
        <f t="shared" si="42"/>
        <v>0</v>
      </c>
      <c r="G211" s="47">
        <f>SUMIF(JournalsA!D$14:D$920,TrialBalanceA!M211,JournalsA!J$14:J$920)+SUMIF(JournalsA!E$14:E$920,TrialBalanceA!M211,JournalsA!J$14:J$920)</f>
        <v>0</v>
      </c>
      <c r="H211" s="288"/>
      <c r="I211" s="255">
        <f t="shared" si="47"/>
        <v>0</v>
      </c>
      <c r="J211" s="91"/>
      <c r="K211" s="48">
        <f t="shared" si="48"/>
        <v>0</v>
      </c>
      <c r="M211" s="140" t="str">
        <f t="shared" si="49"/>
        <v>5550/0090</v>
      </c>
      <c r="N211" s="70"/>
      <c r="P211" s="71"/>
      <c r="Q211" s="51"/>
      <c r="R211" s="31"/>
    </row>
    <row r="212" spans="1:18" x14ac:dyDescent="0.2">
      <c r="A212" s="238"/>
      <c r="B212" s="90" t="s">
        <v>613</v>
      </c>
      <c r="C212" s="276">
        <f>TrialBalance!C212</f>
        <v>0</v>
      </c>
      <c r="D212" s="287"/>
      <c r="E212" s="272"/>
      <c r="F212" s="79">
        <f t="shared" si="42"/>
        <v>0</v>
      </c>
      <c r="G212" s="47">
        <f>SUMIF(JournalsA!D$14:D$920,TrialBalanceA!M212,JournalsA!J$14:J$920)+SUMIF(JournalsA!E$14:E$920,TrialBalanceA!M212,JournalsA!J$14:J$920)</f>
        <v>0</v>
      </c>
      <c r="H212" s="288"/>
      <c r="I212" s="255">
        <f t="shared" si="47"/>
        <v>0</v>
      </c>
      <c r="J212" s="75"/>
      <c r="K212" s="48">
        <f t="shared" si="48"/>
        <v>0</v>
      </c>
      <c r="M212" s="140" t="str">
        <f t="shared" si="49"/>
        <v>5550/0100</v>
      </c>
      <c r="N212" s="70"/>
      <c r="P212" s="71"/>
      <c r="Q212" s="51"/>
      <c r="R212" s="31"/>
    </row>
    <row r="213" spans="1:18" x14ac:dyDescent="0.2">
      <c r="A213" s="238"/>
      <c r="B213" s="90" t="s">
        <v>626</v>
      </c>
      <c r="C213" s="276">
        <f>TrialBalance!C213</f>
        <v>0</v>
      </c>
      <c r="D213" s="287"/>
      <c r="E213" s="272"/>
      <c r="F213" s="79">
        <f t="shared" si="42"/>
        <v>0</v>
      </c>
      <c r="G213" s="47">
        <f>SUMIF(JournalsA!D$14:D$920,TrialBalanceA!M213,JournalsA!J$14:J$920)+SUMIF(JournalsA!E$14:E$920,TrialBalanceA!M213,JournalsA!J$14:J$920)</f>
        <v>0</v>
      </c>
      <c r="H213" s="288"/>
      <c r="I213" s="255">
        <f t="shared" si="47"/>
        <v>0</v>
      </c>
      <c r="J213" s="75"/>
      <c r="K213" s="48">
        <f t="shared" si="48"/>
        <v>0</v>
      </c>
      <c r="M213" s="140" t="str">
        <f t="shared" si="49"/>
        <v>5550/0110</v>
      </c>
      <c r="N213" s="70"/>
      <c r="P213" s="71"/>
      <c r="Q213" s="51"/>
      <c r="R213" s="31"/>
    </row>
    <row r="214" spans="1:18" x14ac:dyDescent="0.2">
      <c r="A214" s="238"/>
      <c r="B214" s="90" t="s">
        <v>627</v>
      </c>
      <c r="C214" s="276">
        <f>TrialBalance!C214</f>
        <v>0</v>
      </c>
      <c r="D214" s="287"/>
      <c r="E214" s="272"/>
      <c r="F214" s="79">
        <f t="shared" si="42"/>
        <v>0</v>
      </c>
      <c r="G214" s="47">
        <f>SUMIF(JournalsA!D$14:D$920,TrialBalanceA!M214,JournalsA!J$14:J$920)+SUMIF(JournalsA!E$14:E$920,TrialBalanceA!M214,JournalsA!J$14:J$920)</f>
        <v>0</v>
      </c>
      <c r="H214" s="288"/>
      <c r="I214" s="255">
        <f t="shared" si="47"/>
        <v>0</v>
      </c>
      <c r="J214" s="75"/>
      <c r="K214" s="48">
        <f t="shared" si="48"/>
        <v>0</v>
      </c>
      <c r="M214" s="140" t="str">
        <f t="shared" si="49"/>
        <v>5550/0120</v>
      </c>
      <c r="N214" s="70"/>
      <c r="P214" s="71"/>
      <c r="Q214" s="51"/>
      <c r="R214" s="31"/>
    </row>
    <row r="215" spans="1:18" x14ac:dyDescent="0.2">
      <c r="A215" s="238"/>
      <c r="B215" s="90" t="s">
        <v>628</v>
      </c>
      <c r="C215" s="276">
        <f>TrialBalance!C215</f>
        <v>0</v>
      </c>
      <c r="D215" s="287"/>
      <c r="E215" s="272"/>
      <c r="F215" s="79">
        <f t="shared" si="42"/>
        <v>0</v>
      </c>
      <c r="G215" s="47">
        <f>SUMIF(JournalsA!D$14:D$920,TrialBalanceA!M215,JournalsA!J$14:J$920)+SUMIF(JournalsA!E$14:E$920,TrialBalanceA!M215,JournalsA!J$14:J$920)</f>
        <v>0</v>
      </c>
      <c r="H215" s="288"/>
      <c r="I215" s="255">
        <f t="shared" si="47"/>
        <v>0</v>
      </c>
      <c r="J215" s="75"/>
      <c r="K215" s="48">
        <f t="shared" si="48"/>
        <v>0</v>
      </c>
      <c r="M215" s="140" t="str">
        <f t="shared" si="49"/>
        <v>5550/0130</v>
      </c>
      <c r="N215" s="70"/>
      <c r="P215" s="71"/>
      <c r="Q215" s="51"/>
      <c r="R215" s="31"/>
    </row>
    <row r="216" spans="1:18" x14ac:dyDescent="0.2">
      <c r="A216" s="238"/>
      <c r="B216" s="90" t="s">
        <v>629</v>
      </c>
      <c r="C216" s="276">
        <f>TrialBalance!C216</f>
        <v>0</v>
      </c>
      <c r="D216" s="283"/>
      <c r="E216" s="272"/>
      <c r="F216" s="79">
        <f t="shared" si="42"/>
        <v>0</v>
      </c>
      <c r="G216" s="47">
        <f>SUMIF(JournalsA!D$14:D$920,TrialBalanceA!M216,JournalsA!J$14:J$920)+SUMIF(JournalsA!E$14:E$920,TrialBalanceA!M216,JournalsA!J$14:J$920)</f>
        <v>0</v>
      </c>
      <c r="H216" s="288"/>
      <c r="I216" s="255">
        <f t="shared" si="47"/>
        <v>0</v>
      </c>
      <c r="J216" s="75"/>
      <c r="K216" s="48">
        <f t="shared" si="48"/>
        <v>0</v>
      </c>
      <c r="M216" s="140" t="str">
        <f t="shared" si="49"/>
        <v>5550/0140</v>
      </c>
      <c r="N216" s="70"/>
      <c r="P216" s="71"/>
      <c r="Q216" s="51"/>
      <c r="R216" s="31"/>
    </row>
    <row r="217" spans="1:18" x14ac:dyDescent="0.2">
      <c r="A217" s="238"/>
      <c r="B217" s="90" t="s">
        <v>630</v>
      </c>
      <c r="C217" s="276">
        <f>TrialBalance!C217</f>
        <v>0</v>
      </c>
      <c r="D217" s="282"/>
      <c r="E217" s="272"/>
      <c r="F217" s="79">
        <f>K217</f>
        <v>0</v>
      </c>
      <c r="G217" s="47">
        <f>SUMIF(JournalsA!D$14:D$920,TrialBalanceA!M217,JournalsA!J$14:J$920)+SUMIF(JournalsA!E$14:E$920,TrialBalanceA!M217,JournalsA!J$14:J$920)</f>
        <v>0</v>
      </c>
      <c r="H217" s="288"/>
      <c r="I217" s="255">
        <f t="shared" si="47"/>
        <v>0</v>
      </c>
      <c r="J217" s="75"/>
      <c r="K217" s="48">
        <f t="shared" si="48"/>
        <v>0</v>
      </c>
      <c r="M217" s="140" t="str">
        <f t="shared" si="49"/>
        <v>5550/0150</v>
      </c>
      <c r="N217" s="70"/>
      <c r="P217" s="71"/>
      <c r="Q217" s="51"/>
      <c r="R217" s="31"/>
    </row>
    <row r="218" spans="1:18" x14ac:dyDescent="0.2">
      <c r="A218" s="238"/>
      <c r="B218" s="90" t="s">
        <v>631</v>
      </c>
      <c r="C218" s="276">
        <f>TrialBalance!C218</f>
        <v>0</v>
      </c>
      <c r="D218" s="272"/>
      <c r="E218" s="272"/>
      <c r="F218" s="79">
        <f>K218</f>
        <v>0</v>
      </c>
      <c r="G218" s="47">
        <f>SUMIF(JournalsA!D$14:D$920,TrialBalanceA!M218,JournalsA!J$14:J$920)+SUMIF(JournalsA!E$14:E$920,TrialBalanceA!M218,JournalsA!J$14:J$920)</f>
        <v>0</v>
      </c>
      <c r="H218" s="288"/>
      <c r="I218" s="255">
        <f t="shared" si="47"/>
        <v>0</v>
      </c>
      <c r="J218" s="75"/>
      <c r="K218" s="48">
        <f t="shared" si="48"/>
        <v>0</v>
      </c>
      <c r="M218" s="140" t="str">
        <f t="shared" si="49"/>
        <v>5550/0160</v>
      </c>
      <c r="N218" s="70"/>
      <c r="P218" s="71"/>
      <c r="Q218" s="51"/>
      <c r="R218" s="31"/>
    </row>
    <row r="219" spans="1:18" x14ac:dyDescent="0.2">
      <c r="A219" s="238"/>
      <c r="B219" s="90" t="s">
        <v>632</v>
      </c>
      <c r="C219" s="276">
        <f>TrialBalance!C219</f>
        <v>0</v>
      </c>
      <c r="D219" s="274"/>
      <c r="E219" s="272"/>
      <c r="F219" s="79">
        <f>K219</f>
        <v>0</v>
      </c>
      <c r="G219" s="47">
        <f>SUMIF(JournalsA!D$14:D$920,TrialBalanceA!M219,JournalsA!J$14:J$920)+SUMIF(JournalsA!E$14:E$920,TrialBalanceA!M219,JournalsA!J$14:J$920)</f>
        <v>0</v>
      </c>
      <c r="H219" s="288"/>
      <c r="I219" s="255">
        <f t="shared" si="47"/>
        <v>0</v>
      </c>
      <c r="J219" s="75"/>
      <c r="K219" s="48">
        <f t="shared" si="48"/>
        <v>0</v>
      </c>
      <c r="M219" s="140" t="str">
        <f t="shared" si="49"/>
        <v>5550/0170</v>
      </c>
      <c r="N219" s="70"/>
      <c r="P219" s="71"/>
      <c r="Q219" s="51"/>
      <c r="R219" s="31"/>
    </row>
    <row r="220" spans="1:18" x14ac:dyDescent="0.2">
      <c r="A220" s="238"/>
      <c r="B220" s="54" t="s">
        <v>132</v>
      </c>
      <c r="C220" s="240" t="s">
        <v>178</v>
      </c>
      <c r="D220" s="283"/>
      <c r="E220" s="272"/>
      <c r="F220" s="79"/>
      <c r="G220" s="47">
        <f>SUMIF(JournalsA!D$14:D$920,TrialBalanceA!M220,JournalsA!J$14:J$920)+SUMIF(JournalsA!E$14:E$920,TrialBalanceA!M220,JournalsA!J$14:J$920)</f>
        <v>0</v>
      </c>
      <c r="H220" s="288"/>
      <c r="I220" s="255">
        <f t="shared" si="47"/>
        <v>0</v>
      </c>
      <c r="J220" s="75"/>
      <c r="K220" s="48">
        <f t="shared" si="48"/>
        <v>0</v>
      </c>
      <c r="M220" s="140" t="str">
        <f t="shared" si="49"/>
        <v>5700/000DEFERRED TAX</v>
      </c>
      <c r="N220" s="70"/>
      <c r="P220" s="71"/>
      <c r="Q220" s="51"/>
      <c r="R220" s="31"/>
    </row>
    <row r="221" spans="1:18" x14ac:dyDescent="0.2">
      <c r="A221" s="238"/>
      <c r="B221" s="54" t="s">
        <v>133</v>
      </c>
      <c r="C221" s="242" t="s">
        <v>498</v>
      </c>
      <c r="D221" s="284"/>
      <c r="E221" s="272"/>
      <c r="F221" s="79">
        <f>K221+K223+K225+K227</f>
        <v>0</v>
      </c>
      <c r="G221" s="47">
        <f>SUMIF(JournalsA!D$14:D$920,TrialBalanceA!M221,JournalsA!J$14:J$920)+SUMIF(JournalsA!E$14:E$920,TrialBalanceA!M221,JournalsA!J$14:J$920)</f>
        <v>0</v>
      </c>
      <c r="H221" s="288"/>
      <c r="I221" s="255">
        <f t="shared" si="47"/>
        <v>0</v>
      </c>
      <c r="J221" s="75"/>
      <c r="K221" s="48">
        <f t="shared" si="48"/>
        <v>0</v>
      </c>
      <c r="M221" s="140" t="str">
        <f t="shared" si="49"/>
        <v>5700/010Deferred tax balance  depreciation b/fwd</v>
      </c>
      <c r="N221" s="70"/>
      <c r="P221" s="71"/>
      <c r="Q221" s="51"/>
      <c r="R221" s="31"/>
    </row>
    <row r="222" spans="1:18" x14ac:dyDescent="0.2">
      <c r="A222" s="238"/>
      <c r="B222" s="90" t="s">
        <v>594</v>
      </c>
      <c r="C222" s="242" t="s">
        <v>499</v>
      </c>
      <c r="D222" s="284"/>
      <c r="E222" s="272"/>
      <c r="F222" s="79">
        <f>K222+K224+K226+K228</f>
        <v>0</v>
      </c>
      <c r="G222" s="47">
        <f>SUMIF(JournalsA!D$14:D$920,TrialBalanceA!M222,JournalsA!J$14:J$920)+SUMIF(JournalsA!E$14:E$920,TrialBalanceA!M222,JournalsA!J$14:J$920)</f>
        <v>0</v>
      </c>
      <c r="H222" s="288"/>
      <c r="I222" s="255">
        <f t="shared" si="47"/>
        <v>0</v>
      </c>
      <c r="J222" s="75"/>
      <c r="K222" s="48">
        <f t="shared" si="48"/>
        <v>0</v>
      </c>
      <c r="M222" s="140" t="str">
        <f t="shared" si="49"/>
        <v>5700/020Deferred tax balance  tax loss b/fwd</v>
      </c>
      <c r="N222" s="70"/>
      <c r="P222" s="71"/>
      <c r="Q222" s="51"/>
      <c r="R222" s="31"/>
    </row>
    <row r="223" spans="1:18" x14ac:dyDescent="0.2">
      <c r="A223" s="238"/>
      <c r="B223" s="90" t="s">
        <v>950</v>
      </c>
      <c r="C223" s="242" t="s">
        <v>951</v>
      </c>
      <c r="D223" s="284"/>
      <c r="E223" s="272"/>
      <c r="F223" s="79"/>
      <c r="G223" s="47">
        <f>SUMIF(JournalsA!D$14:D$920,TrialBalanceA!M223,JournalsA!J$14:J$920)+SUMIF(JournalsA!E$14:E$920,TrialBalanceA!M223,JournalsA!J$14:J$920)</f>
        <v>0</v>
      </c>
      <c r="H223" s="288"/>
      <c r="I223" s="255">
        <f t="shared" ref="I223:I224" si="50">ROUND(D223-E223+G223+F223,0)</f>
        <v>0</v>
      </c>
      <c r="J223" s="75"/>
      <c r="K223" s="48">
        <f t="shared" ref="K223:K224" si="51">ROUND(SUM(A223),0)</f>
        <v>0</v>
      </c>
      <c r="M223" s="140" t="str">
        <f t="shared" ref="M223:M224" si="52">CONCATENATE(B223,C223)</f>
        <v>5700/021Opening balance depreciation tax rate change</v>
      </c>
      <c r="N223" s="70"/>
      <c r="P223" s="71"/>
      <c r="Q223" s="51"/>
      <c r="R223" s="31"/>
    </row>
    <row r="224" spans="1:18" x14ac:dyDescent="0.2">
      <c r="A224" s="238"/>
      <c r="B224" s="90" t="s">
        <v>952</v>
      </c>
      <c r="C224" s="242" t="s">
        <v>953</v>
      </c>
      <c r="D224" s="284"/>
      <c r="E224" s="272"/>
      <c r="F224" s="79"/>
      <c r="G224" s="47">
        <f>SUMIF(JournalsA!D$14:D$920,TrialBalanceA!M224,JournalsA!J$14:J$920)+SUMIF(JournalsA!E$14:E$920,TrialBalanceA!M224,JournalsA!J$14:J$920)</f>
        <v>0</v>
      </c>
      <c r="H224" s="288"/>
      <c r="I224" s="255">
        <f t="shared" si="50"/>
        <v>0</v>
      </c>
      <c r="J224" s="75"/>
      <c r="K224" s="48">
        <f t="shared" si="51"/>
        <v>0</v>
      </c>
      <c r="M224" s="140" t="str">
        <f t="shared" si="52"/>
        <v>5700/022Opening balance tax loss tax rate change</v>
      </c>
      <c r="N224" s="70"/>
      <c r="P224" s="71"/>
      <c r="Q224" s="51"/>
      <c r="R224" s="31"/>
    </row>
    <row r="225" spans="1:18" x14ac:dyDescent="0.2">
      <c r="A225" s="238"/>
      <c r="B225" s="90" t="s">
        <v>595</v>
      </c>
      <c r="C225" s="240" t="s">
        <v>134</v>
      </c>
      <c r="D225" s="282"/>
      <c r="E225" s="272"/>
      <c r="F225" s="79"/>
      <c r="G225" s="47">
        <f>SUMIF(JournalsA!D$14:D$920,TrialBalanceA!M225,JournalsA!J$14:J$920)+SUMIF(JournalsA!E$14:E$920,TrialBalanceA!M225,JournalsA!J$14:J$920)</f>
        <v>0</v>
      </c>
      <c r="H225" s="288"/>
      <c r="I225" s="255">
        <f t="shared" si="47"/>
        <v>0</v>
      </c>
      <c r="J225" s="75"/>
      <c r="K225" s="48">
        <f t="shared" si="48"/>
        <v>0</v>
      </c>
      <c r="M225" s="140" t="str">
        <f t="shared" si="49"/>
        <v>5700/030Deferred tax on depreciation for year</v>
      </c>
      <c r="N225" s="70"/>
      <c r="P225" s="71"/>
      <c r="Q225" s="51"/>
      <c r="R225" s="31"/>
    </row>
    <row r="226" spans="1:18" x14ac:dyDescent="0.2">
      <c r="A226" s="238"/>
      <c r="B226" s="90" t="s">
        <v>596</v>
      </c>
      <c r="C226" s="240" t="s">
        <v>135</v>
      </c>
      <c r="D226" s="282"/>
      <c r="E226" s="272"/>
      <c r="F226" s="79"/>
      <c r="G226" s="47">
        <f>SUMIF(JournalsA!D$14:D$920,TrialBalanceA!M226,JournalsA!J$14:J$920)+SUMIF(JournalsA!E$14:E$920,TrialBalanceA!M226,JournalsA!J$14:J$920)</f>
        <v>0</v>
      </c>
      <c r="H226" s="288"/>
      <c r="I226" s="255">
        <f t="shared" si="47"/>
        <v>0</v>
      </c>
      <c r="J226" s="75"/>
      <c r="K226" s="48">
        <f t="shared" si="48"/>
        <v>0</v>
      </c>
      <c r="M226" s="140" t="str">
        <f t="shared" si="49"/>
        <v>5700/040Deferred tax on tax loss for year</v>
      </c>
      <c r="N226" s="70"/>
      <c r="P226" s="71"/>
      <c r="Q226" s="51"/>
      <c r="R226" s="31"/>
    </row>
    <row r="227" spans="1:18" x14ac:dyDescent="0.2">
      <c r="A227" s="238"/>
      <c r="B227" s="90" t="s">
        <v>597</v>
      </c>
      <c r="C227" s="242" t="s">
        <v>576</v>
      </c>
      <c r="D227" s="284"/>
      <c r="E227" s="272"/>
      <c r="F227" s="79"/>
      <c r="G227" s="47">
        <f>SUMIF(JournalsA!D$14:D$920,TrialBalanceA!M227,JournalsA!J$14:J$920)+SUMIF(JournalsA!E$14:E$920,TrialBalanceA!M227,JournalsA!J$14:J$920)</f>
        <v>0</v>
      </c>
      <c r="H227" s="288"/>
      <c r="I227" s="255">
        <f t="shared" si="47"/>
        <v>0</v>
      </c>
      <c r="J227" s="75"/>
      <c r="K227" s="48">
        <f t="shared" si="48"/>
        <v>0</v>
      </c>
      <c r="M227" s="140" t="str">
        <f t="shared" si="49"/>
        <v>5700/050Def tax adj  depreciation previous year</v>
      </c>
      <c r="N227" s="70"/>
      <c r="P227" s="71"/>
      <c r="Q227" s="51"/>
      <c r="R227" s="31"/>
    </row>
    <row r="228" spans="1:18" x14ac:dyDescent="0.2">
      <c r="A228" s="238"/>
      <c r="B228" s="90" t="s">
        <v>598</v>
      </c>
      <c r="C228" s="242" t="s">
        <v>577</v>
      </c>
      <c r="D228" s="284"/>
      <c r="E228" s="272"/>
      <c r="F228" s="79"/>
      <c r="G228" s="47">
        <f>SUMIF(JournalsA!D$14:D$920,TrialBalanceA!M228,JournalsA!J$14:J$920)+SUMIF(JournalsA!E$14:E$920,TrialBalanceA!M228,JournalsA!J$14:J$920)</f>
        <v>0</v>
      </c>
      <c r="H228" s="288"/>
      <c r="I228" s="255">
        <f t="shared" si="47"/>
        <v>0</v>
      </c>
      <c r="J228" s="75"/>
      <c r="K228" s="48">
        <f t="shared" si="48"/>
        <v>0</v>
      </c>
      <c r="M228" s="140" t="str">
        <f t="shared" si="49"/>
        <v>5700/060Def tax adj tax loss previous year</v>
      </c>
      <c r="N228" s="70"/>
      <c r="P228" s="71"/>
      <c r="Q228" s="51"/>
      <c r="R228" s="31"/>
    </row>
    <row r="229" spans="1:18" x14ac:dyDescent="0.2">
      <c r="A229" s="238"/>
      <c r="B229" s="54" t="s">
        <v>136</v>
      </c>
      <c r="C229" s="239" t="s">
        <v>980</v>
      </c>
      <c r="D229" s="283"/>
      <c r="E229" s="272"/>
      <c r="F229" s="79"/>
      <c r="G229" s="47">
        <f>SUMIF(JournalsA!D$14:D$920,TrialBalanceA!M229,JournalsA!J$14:J$920)+SUMIF(JournalsA!E$14:E$920,TrialBalanceA!M229,JournalsA!J$14:J$920)</f>
        <v>0</v>
      </c>
      <c r="H229" s="288"/>
      <c r="I229" s="255">
        <f t="shared" si="47"/>
        <v>0</v>
      </c>
      <c r="J229" s="75"/>
      <c r="K229" s="48">
        <f t="shared" si="48"/>
        <v>0</v>
      </c>
      <c r="M229" s="140" t="str">
        <f t="shared" si="49"/>
        <v>6100/000PROPERTY - COST</v>
      </c>
      <c r="N229" s="70"/>
      <c r="P229" s="71"/>
      <c r="Q229" s="51"/>
      <c r="R229" s="31"/>
    </row>
    <row r="230" spans="1:18" x14ac:dyDescent="0.2">
      <c r="A230" s="238"/>
      <c r="B230" s="54" t="s">
        <v>137</v>
      </c>
      <c r="C230" s="242" t="s">
        <v>975</v>
      </c>
      <c r="D230" s="282"/>
      <c r="E230" s="272"/>
      <c r="F230" s="79">
        <f>SUM(K230:K234)</f>
        <v>0</v>
      </c>
      <c r="G230" s="47">
        <f>SUMIF(JournalsA!D$14:D$920,TrialBalanceA!M230,JournalsA!J$14:J$920)+SUMIF(JournalsA!E$14:E$920,TrialBalanceA!M230,JournalsA!J$14:J$920)</f>
        <v>0</v>
      </c>
      <c r="H230" s="288"/>
      <c r="I230" s="255">
        <f t="shared" si="47"/>
        <v>0</v>
      </c>
      <c r="J230" s="75"/>
      <c r="K230" s="48">
        <f t="shared" si="48"/>
        <v>0</v>
      </c>
      <c r="M230" s="140" t="str">
        <f t="shared" si="49"/>
        <v>6100/001Property - cost b/fwd</v>
      </c>
      <c r="N230" s="70"/>
      <c r="P230" s="71"/>
      <c r="Q230" s="51"/>
      <c r="R230" s="31"/>
    </row>
    <row r="231" spans="1:18" x14ac:dyDescent="0.2">
      <c r="A231" s="238"/>
      <c r="B231" s="54" t="s">
        <v>138</v>
      </c>
      <c r="C231" s="242" t="s">
        <v>976</v>
      </c>
      <c r="D231" s="282"/>
      <c r="E231" s="272"/>
      <c r="F231" s="79"/>
      <c r="G231" s="47">
        <f>SUMIF(JournalsA!D$14:D$920,TrialBalanceA!M231,JournalsA!J$14:J$920)+SUMIF(JournalsA!E$14:E$920,TrialBalanceA!M231,JournalsA!J$14:J$920)</f>
        <v>0</v>
      </c>
      <c r="H231" s="288"/>
      <c r="I231" s="255">
        <f t="shared" si="47"/>
        <v>0</v>
      </c>
      <c r="J231" s="75"/>
      <c r="K231" s="48">
        <f t="shared" si="48"/>
        <v>0</v>
      </c>
      <c r="M231" s="140" t="str">
        <f t="shared" si="49"/>
        <v>6100/002Property - additions</v>
      </c>
      <c r="N231" s="70"/>
      <c r="P231" s="71"/>
      <c r="Q231" s="51"/>
      <c r="R231" s="31"/>
    </row>
    <row r="232" spans="1:18" x14ac:dyDescent="0.2">
      <c r="A232" s="238"/>
      <c r="B232" s="54" t="s">
        <v>139</v>
      </c>
      <c r="C232" s="242" t="s">
        <v>977</v>
      </c>
      <c r="D232" s="282"/>
      <c r="E232" s="272"/>
      <c r="F232" s="79"/>
      <c r="G232" s="47">
        <f>SUMIF(JournalsA!D$14:D$920,TrialBalanceA!M232,JournalsA!J$14:J$920)+SUMIF(JournalsA!E$14:E$920,TrialBalanceA!M232,JournalsA!J$14:J$920)</f>
        <v>0</v>
      </c>
      <c r="H232" s="288"/>
      <c r="I232" s="255">
        <f t="shared" si="47"/>
        <v>0</v>
      </c>
      <c r="J232" s="75"/>
      <c r="K232" s="48">
        <f t="shared" si="48"/>
        <v>0</v>
      </c>
      <c r="M232" s="140" t="str">
        <f t="shared" si="49"/>
        <v>6100/003Property - cost of sales</v>
      </c>
      <c r="N232" s="70"/>
      <c r="P232" s="71"/>
      <c r="Q232" s="51"/>
      <c r="R232" s="31"/>
    </row>
    <row r="233" spans="1:18" x14ac:dyDescent="0.2">
      <c r="A233" s="238"/>
      <c r="B233" s="90" t="s">
        <v>871</v>
      </c>
      <c r="C233" s="242" t="s">
        <v>978</v>
      </c>
      <c r="D233" s="282"/>
      <c r="E233" s="272"/>
      <c r="F233" s="79"/>
      <c r="G233" s="47">
        <f>SUMIF(JournalsA!D$14:D$920,TrialBalanceA!M233,JournalsA!J$14:J$920)+SUMIF(JournalsA!E$14:E$920,TrialBalanceA!M233,JournalsA!J$14:J$920)</f>
        <v>0</v>
      </c>
      <c r="H233" s="288"/>
      <c r="I233" s="255">
        <f t="shared" ref="I233" si="53">ROUND(D233-E233+G233+F233,0)</f>
        <v>0</v>
      </c>
      <c r="J233" s="75"/>
      <c r="K233" s="48">
        <f t="shared" ref="K233" si="54">ROUND(SUM(A233),0)</f>
        <v>0</v>
      </c>
      <c r="M233" s="140" t="str">
        <f t="shared" ref="M233" si="55">CONCATENATE(B233,C233)</f>
        <v>6100/004Property - transfer to investment property</v>
      </c>
      <c r="N233" s="70"/>
      <c r="P233" s="71"/>
      <c r="Q233" s="51"/>
      <c r="R233" s="31"/>
    </row>
    <row r="234" spans="1:18" x14ac:dyDescent="0.2">
      <c r="A234" s="238"/>
      <c r="B234" s="90" t="s">
        <v>939</v>
      </c>
      <c r="C234" s="242" t="s">
        <v>979</v>
      </c>
      <c r="D234" s="282"/>
      <c r="E234" s="272"/>
      <c r="F234" s="79"/>
      <c r="G234" s="47">
        <f>SUMIF(JournalsA!D$14:D$920,TrialBalanceA!M234,JournalsA!J$14:J$920)+SUMIF(JournalsA!E$14:E$920,TrialBalanceA!M234,JournalsA!J$14:J$920)</f>
        <v>0</v>
      </c>
      <c r="H234" s="288"/>
      <c r="I234" s="255">
        <f t="shared" ref="I234" si="56">ROUND(D234-E234+G234+F234,0)</f>
        <v>0</v>
      </c>
      <c r="J234" s="75"/>
      <c r="K234" s="48">
        <f t="shared" ref="K234" si="57">ROUND(SUM(A234),0)</f>
        <v>0</v>
      </c>
      <c r="M234" s="140" t="str">
        <f t="shared" ref="M234" si="58">CONCATENATE(B234,C234)</f>
        <v>6100/005Property - transfer from investment property</v>
      </c>
      <c r="N234" s="70"/>
      <c r="P234" s="71"/>
      <c r="Q234" s="51"/>
      <c r="R234" s="31"/>
    </row>
    <row r="235" spans="1:18" x14ac:dyDescent="0.2">
      <c r="A235" s="238"/>
      <c r="B235" s="54" t="s">
        <v>259</v>
      </c>
      <c r="C235" s="239" t="s">
        <v>981</v>
      </c>
      <c r="D235" s="283"/>
      <c r="E235" s="272"/>
      <c r="F235" s="79"/>
      <c r="G235" s="47">
        <f>SUMIF(JournalsA!D$14:D$920,TrialBalanceA!M235,JournalsA!J$14:J$920)+SUMIF(JournalsA!E$14:E$920,TrialBalanceA!M235,JournalsA!J$14:J$920)</f>
        <v>0</v>
      </c>
      <c r="H235" s="288"/>
      <c r="I235" s="255">
        <f t="shared" si="47"/>
        <v>0</v>
      </c>
      <c r="J235" s="75"/>
      <c r="K235" s="48">
        <f t="shared" si="48"/>
        <v>0</v>
      </c>
      <c r="M235" s="140" t="str">
        <f t="shared" si="49"/>
        <v>6100/020PROPERTY - ACC DEPR</v>
      </c>
      <c r="N235" s="70"/>
      <c r="P235" s="71"/>
      <c r="Q235" s="51"/>
      <c r="R235" s="31"/>
    </row>
    <row r="236" spans="1:18" x14ac:dyDescent="0.2">
      <c r="A236" s="238"/>
      <c r="B236" s="54" t="s">
        <v>260</v>
      </c>
      <c r="C236" s="242" t="s">
        <v>982</v>
      </c>
      <c r="D236" s="282"/>
      <c r="E236" s="272"/>
      <c r="F236" s="79">
        <f>SUM(K236:K239)</f>
        <v>0</v>
      </c>
      <c r="G236" s="47">
        <f>SUMIF(JournalsA!D$14:D$920,TrialBalanceA!M236,JournalsA!J$14:J$920)+SUMIF(JournalsA!E$14:E$920,TrialBalanceA!M236,JournalsA!J$14:J$920)</f>
        <v>0</v>
      </c>
      <c r="H236" s="288"/>
      <c r="I236" s="255">
        <f t="shared" si="47"/>
        <v>0</v>
      </c>
      <c r="J236" s="75"/>
      <c r="K236" s="48">
        <f t="shared" si="48"/>
        <v>0</v>
      </c>
      <c r="M236" s="140" t="str">
        <f t="shared" si="49"/>
        <v>6100/021Property - acc depr b/fwd</v>
      </c>
      <c r="N236" s="70"/>
      <c r="P236" s="71"/>
      <c r="Q236" s="51"/>
      <c r="R236" s="31"/>
    </row>
    <row r="237" spans="1:18" x14ac:dyDescent="0.2">
      <c r="A237" s="238"/>
      <c r="B237" s="54" t="s">
        <v>261</v>
      </c>
      <c r="C237" s="242" t="s">
        <v>983</v>
      </c>
      <c r="D237" s="282"/>
      <c r="E237" s="272"/>
      <c r="F237" s="79"/>
      <c r="G237" s="47">
        <f>SUMIF(JournalsA!D$14:D$920,TrialBalanceA!M237,JournalsA!J$14:J$920)+SUMIF(JournalsA!E$14:E$920,TrialBalanceA!M237,JournalsA!J$14:J$920)</f>
        <v>0</v>
      </c>
      <c r="H237" s="288"/>
      <c r="I237" s="255">
        <f t="shared" si="47"/>
        <v>0</v>
      </c>
      <c r="J237" s="75"/>
      <c r="K237" s="48">
        <f t="shared" si="48"/>
        <v>0</v>
      </c>
      <c r="M237" s="140" t="str">
        <f t="shared" si="49"/>
        <v>6100/022Property - depr this year</v>
      </c>
      <c r="N237" s="70"/>
      <c r="P237" s="71"/>
      <c r="Q237" s="51"/>
      <c r="R237" s="31"/>
    </row>
    <row r="238" spans="1:18" x14ac:dyDescent="0.2">
      <c r="A238" s="238"/>
      <c r="B238" s="54" t="s">
        <v>263</v>
      </c>
      <c r="C238" s="242" t="s">
        <v>984</v>
      </c>
      <c r="D238" s="282"/>
      <c r="E238" s="272"/>
      <c r="F238" s="79"/>
      <c r="G238" s="47">
        <f>SUMIF(JournalsA!D$14:D$920,TrialBalanceA!M238,JournalsA!J$14:J$920)+SUMIF(JournalsA!E$14:E$920,TrialBalanceA!M238,JournalsA!J$14:J$920)</f>
        <v>0</v>
      </c>
      <c r="H238" s="288"/>
      <c r="I238" s="255">
        <f t="shared" si="47"/>
        <v>0</v>
      </c>
      <c r="J238" s="75"/>
      <c r="K238" s="48">
        <f t="shared" si="48"/>
        <v>0</v>
      </c>
      <c r="M238" s="140" t="str">
        <f t="shared" si="49"/>
        <v>6100/023Property - acc depr on sales</v>
      </c>
      <c r="N238" s="70"/>
      <c r="P238" s="71"/>
      <c r="Q238" s="51"/>
      <c r="R238" s="31"/>
    </row>
    <row r="239" spans="1:18" x14ac:dyDescent="0.2">
      <c r="A239" s="238"/>
      <c r="B239" s="90" t="s">
        <v>931</v>
      </c>
      <c r="C239" s="242" t="s">
        <v>985</v>
      </c>
      <c r="D239" s="282"/>
      <c r="E239" s="272"/>
      <c r="F239" s="79"/>
      <c r="G239" s="47">
        <f>SUMIF(JournalsA!D$14:D$920,TrialBalanceA!M239,JournalsA!J$14:J$920)+SUMIF(JournalsA!E$14:E$920,TrialBalanceA!M239,JournalsA!J$14:J$920)</f>
        <v>0</v>
      </c>
      <c r="H239" s="288"/>
      <c r="I239" s="255">
        <f t="shared" ref="I239" si="59">ROUND(D239-E239+G239+F239,0)</f>
        <v>0</v>
      </c>
      <c r="J239" s="75"/>
      <c r="K239" s="48">
        <f t="shared" ref="K239" si="60">ROUND(SUM(A239),0)</f>
        <v>0</v>
      </c>
      <c r="M239" s="140" t="str">
        <f t="shared" ref="M239" si="61">CONCATENATE(B239,C239)</f>
        <v>6100/024Property - recoupment of depr</v>
      </c>
      <c r="N239" s="70"/>
      <c r="P239" s="71"/>
      <c r="Q239" s="51"/>
      <c r="R239" s="31"/>
    </row>
    <row r="240" spans="1:18" x14ac:dyDescent="0.2">
      <c r="A240" s="238"/>
      <c r="B240" s="90" t="s">
        <v>652</v>
      </c>
      <c r="C240" s="239" t="s">
        <v>866</v>
      </c>
      <c r="D240" s="282"/>
      <c r="E240" s="272"/>
      <c r="F240" s="79"/>
      <c r="G240" s="47">
        <f>SUMIF(JournalsA!D$14:D$920,TrialBalanceA!M240,JournalsA!J$14:J$920)+SUMIF(JournalsA!E$14:E$920,TrialBalanceA!M240,JournalsA!J$14:J$920)</f>
        <v>0</v>
      </c>
      <c r="H240" s="288"/>
      <c r="I240" s="255">
        <f t="shared" ref="I240:I244" si="62">ROUND(D240-E240+G240+F240,0)</f>
        <v>0</v>
      </c>
      <c r="J240" s="75"/>
      <c r="K240" s="48">
        <f t="shared" ref="K240:K244" si="63">ROUND(SUM(A240),0)</f>
        <v>0</v>
      </c>
      <c r="M240" s="140" t="str">
        <f t="shared" ref="M240:M244" si="64">CONCATENATE(B240,C240)</f>
        <v>6100/030INVESTMENT PROPERTY - COST</v>
      </c>
      <c r="N240" s="70"/>
      <c r="P240" s="71"/>
      <c r="Q240" s="51"/>
      <c r="R240" s="31"/>
    </row>
    <row r="241" spans="1:18" x14ac:dyDescent="0.2">
      <c r="A241" s="238"/>
      <c r="B241" s="90" t="s">
        <v>653</v>
      </c>
      <c r="C241" s="242" t="s">
        <v>867</v>
      </c>
      <c r="D241" s="282"/>
      <c r="E241" s="272"/>
      <c r="F241" s="79">
        <f>SUM(K241:K245)</f>
        <v>0</v>
      </c>
      <c r="G241" s="47">
        <f>SUMIF(JournalsA!D$14:D$920,TrialBalanceA!M241,JournalsA!J$14:J$920)+SUMIF(JournalsA!E$14:E$920,TrialBalanceA!M241,JournalsA!J$14:J$920)</f>
        <v>0</v>
      </c>
      <c r="H241" s="288"/>
      <c r="I241" s="255">
        <f t="shared" si="62"/>
        <v>0</v>
      </c>
      <c r="J241" s="75"/>
      <c r="K241" s="48">
        <f t="shared" si="63"/>
        <v>0</v>
      </c>
      <c r="M241" s="140" t="str">
        <f t="shared" si="64"/>
        <v>6100/031Investment property - cost b/fwd</v>
      </c>
      <c r="N241" s="70"/>
      <c r="P241" s="71"/>
      <c r="Q241" s="51"/>
      <c r="R241" s="31"/>
    </row>
    <row r="242" spans="1:18" x14ac:dyDescent="0.2">
      <c r="A242" s="238"/>
      <c r="B242" s="90" t="s">
        <v>654</v>
      </c>
      <c r="C242" s="242" t="s">
        <v>868</v>
      </c>
      <c r="D242" s="282"/>
      <c r="E242" s="272"/>
      <c r="F242" s="79"/>
      <c r="G242" s="47">
        <f>SUMIF(JournalsA!D$14:D$920,TrialBalanceA!M242,JournalsA!J$14:J$920)+SUMIF(JournalsA!E$14:E$920,TrialBalanceA!M242,JournalsA!J$14:J$920)</f>
        <v>0</v>
      </c>
      <c r="H242" s="288"/>
      <c r="I242" s="255">
        <f t="shared" si="62"/>
        <v>0</v>
      </c>
      <c r="J242" s="75"/>
      <c r="K242" s="48">
        <f t="shared" si="63"/>
        <v>0</v>
      </c>
      <c r="M242" s="140" t="str">
        <f t="shared" si="64"/>
        <v>6100/032Investment property - additions</v>
      </c>
      <c r="N242" s="70"/>
      <c r="P242" s="71"/>
      <c r="Q242" s="51"/>
      <c r="R242" s="31"/>
    </row>
    <row r="243" spans="1:18" x14ac:dyDescent="0.2">
      <c r="A243" s="238"/>
      <c r="B243" s="90" t="s">
        <v>655</v>
      </c>
      <c r="C243" s="242" t="s">
        <v>869</v>
      </c>
      <c r="D243" s="282"/>
      <c r="E243" s="272"/>
      <c r="F243" s="79"/>
      <c r="G243" s="47">
        <f>SUMIF(JournalsA!D$14:D$920,TrialBalanceA!M243,JournalsA!J$14:J$920)+SUMIF(JournalsA!E$14:E$920,TrialBalanceA!M243,JournalsA!J$14:J$920)</f>
        <v>0</v>
      </c>
      <c r="H243" s="288"/>
      <c r="I243" s="255">
        <f t="shared" si="62"/>
        <v>0</v>
      </c>
      <c r="J243" s="75"/>
      <c r="K243" s="48">
        <f t="shared" si="63"/>
        <v>0</v>
      </c>
      <c r="M243" s="140" t="str">
        <f t="shared" si="64"/>
        <v>6100/033Investment property - cost of sales</v>
      </c>
      <c r="N243" s="70"/>
      <c r="P243" s="71"/>
      <c r="Q243" s="51"/>
      <c r="R243" s="31"/>
    </row>
    <row r="244" spans="1:18" x14ac:dyDescent="0.2">
      <c r="A244" s="238"/>
      <c r="B244" s="90" t="s">
        <v>923</v>
      </c>
      <c r="C244" s="242" t="s">
        <v>870</v>
      </c>
      <c r="D244" s="282"/>
      <c r="E244" s="272"/>
      <c r="F244" s="79"/>
      <c r="G244" s="47">
        <f>SUMIF(JournalsA!D$14:D$920,TrialBalanceA!M244,JournalsA!J$14:J$920)+SUMIF(JournalsA!E$14:E$920,TrialBalanceA!M244,JournalsA!J$14:J$920)</f>
        <v>0</v>
      </c>
      <c r="H244" s="288"/>
      <c r="I244" s="255">
        <f t="shared" si="62"/>
        <v>0</v>
      </c>
      <c r="J244" s="75"/>
      <c r="K244" s="48">
        <f t="shared" si="63"/>
        <v>0</v>
      </c>
      <c r="M244" s="140" t="str">
        <f t="shared" si="64"/>
        <v>6100/034Investment property - transfer from property</v>
      </c>
      <c r="N244" s="70"/>
      <c r="P244" s="71"/>
      <c r="Q244" s="51"/>
      <c r="R244" s="31"/>
    </row>
    <row r="245" spans="1:18" x14ac:dyDescent="0.2">
      <c r="A245" s="238"/>
      <c r="B245" s="90" t="s">
        <v>940</v>
      </c>
      <c r="C245" s="242" t="s">
        <v>941</v>
      </c>
      <c r="D245" s="282"/>
      <c r="E245" s="272"/>
      <c r="F245" s="79"/>
      <c r="G245" s="47">
        <f>SUMIF(JournalsA!D$14:D$920,TrialBalanceA!M245,JournalsA!J$14:J$920)+SUMIF(JournalsA!E$14:E$920,TrialBalanceA!M245,JournalsA!J$14:J$920)</f>
        <v>0</v>
      </c>
      <c r="H245" s="288"/>
      <c r="I245" s="255">
        <f t="shared" ref="I245" si="65">ROUND(D245-E245+G245+F245,0)</f>
        <v>0</v>
      </c>
      <c r="J245" s="75"/>
      <c r="K245" s="48">
        <f t="shared" ref="K245" si="66">ROUND(SUM(A245),0)</f>
        <v>0</v>
      </c>
      <c r="M245" s="140" t="str">
        <f t="shared" ref="M245" si="67">CONCATENATE(B245,C245)</f>
        <v>6100/035Investment property - transfer to property</v>
      </c>
      <c r="N245" s="70"/>
      <c r="P245" s="71"/>
      <c r="Q245" s="51"/>
      <c r="R245" s="31"/>
    </row>
    <row r="246" spans="1:18" x14ac:dyDescent="0.2">
      <c r="A246" s="238"/>
      <c r="B246" s="90" t="s">
        <v>924</v>
      </c>
      <c r="C246" s="239" t="s">
        <v>928</v>
      </c>
      <c r="D246" s="282"/>
      <c r="E246" s="272"/>
      <c r="F246" s="79"/>
      <c r="G246" s="47">
        <f>SUMIF(JournalsA!D$14:D$920,TrialBalanceA!M246,JournalsA!J$14:J$920)+SUMIF(JournalsA!E$14:E$920,TrialBalanceA!M246,JournalsA!J$14:J$920)</f>
        <v>0</v>
      </c>
      <c r="H246" s="288"/>
      <c r="I246" s="255">
        <f t="shared" ref="I246:I250" si="68">ROUND(D246-E246+G246+F246,0)</f>
        <v>0</v>
      </c>
      <c r="J246" s="75"/>
      <c r="K246" s="48">
        <f t="shared" ref="K246:K250" si="69">ROUND(SUM(A246),0)</f>
        <v>0</v>
      </c>
      <c r="M246" s="140" t="str">
        <f t="shared" ref="M246:M250" si="70">CONCATENATE(B246,C246)</f>
        <v>6100/040INVESTMENT PROPERTY - VALUATION</v>
      </c>
      <c r="N246" s="70"/>
      <c r="P246" s="71"/>
      <c r="Q246" s="51"/>
      <c r="R246" s="31"/>
    </row>
    <row r="247" spans="1:18" x14ac:dyDescent="0.2">
      <c r="A247" s="238"/>
      <c r="B247" s="90" t="s">
        <v>925</v>
      </c>
      <c r="C247" s="242" t="s">
        <v>929</v>
      </c>
      <c r="D247" s="282"/>
      <c r="E247" s="272"/>
      <c r="F247" s="79">
        <f>SUM(K247:K250)</f>
        <v>0</v>
      </c>
      <c r="G247" s="47">
        <f>SUMIF(JournalsA!D$14:D$920,TrialBalanceA!M247,JournalsA!J$14:J$920)+SUMIF(JournalsA!E$14:E$920,TrialBalanceA!M247,JournalsA!J$14:J$920)</f>
        <v>0</v>
      </c>
      <c r="H247" s="288"/>
      <c r="I247" s="255">
        <f t="shared" si="68"/>
        <v>0</v>
      </c>
      <c r="J247" s="75"/>
      <c r="K247" s="48">
        <f t="shared" si="69"/>
        <v>0</v>
      </c>
      <c r="M247" s="140" t="str">
        <f t="shared" si="70"/>
        <v>6100/041Investment property - valuation b/fwd</v>
      </c>
      <c r="N247" s="70"/>
      <c r="P247" s="71"/>
      <c r="Q247" s="51"/>
      <c r="R247" s="31"/>
    </row>
    <row r="248" spans="1:18" x14ac:dyDescent="0.2">
      <c r="A248" s="238"/>
      <c r="B248" s="90" t="s">
        <v>926</v>
      </c>
      <c r="C248" s="242" t="s">
        <v>930</v>
      </c>
      <c r="D248" s="282"/>
      <c r="E248" s="272"/>
      <c r="F248" s="79"/>
      <c r="G248" s="47">
        <f>SUMIF(JournalsA!D$14:D$920,TrialBalanceA!M248,JournalsA!J$14:J$920)+SUMIF(JournalsA!E$14:E$920,TrialBalanceA!M248,JournalsA!J$14:J$920)</f>
        <v>0</v>
      </c>
      <c r="H248" s="288"/>
      <c r="I248" s="255">
        <f t="shared" si="68"/>
        <v>0</v>
      </c>
      <c r="J248" s="75"/>
      <c r="K248" s="48">
        <f t="shared" si="69"/>
        <v>0</v>
      </c>
      <c r="M248" s="140" t="str">
        <f t="shared" si="70"/>
        <v>6100/042Investment property - valuation additions</v>
      </c>
      <c r="N248" s="70"/>
      <c r="P248" s="71"/>
      <c r="Q248" s="51"/>
      <c r="R248" s="31"/>
    </row>
    <row r="249" spans="1:18" x14ac:dyDescent="0.2">
      <c r="A249" s="238"/>
      <c r="B249" s="90" t="s">
        <v>927</v>
      </c>
      <c r="C249" s="242" t="s">
        <v>942</v>
      </c>
      <c r="D249" s="282"/>
      <c r="E249" s="272"/>
      <c r="F249" s="79"/>
      <c r="G249" s="47">
        <f>SUMIF(JournalsA!D$14:D$920,TrialBalanceA!M249,JournalsA!J$14:J$920)+SUMIF(JournalsA!E$14:E$920,TrialBalanceA!M249,JournalsA!J$14:J$920)</f>
        <v>0</v>
      </c>
      <c r="H249" s="288"/>
      <c r="I249" s="255">
        <f t="shared" ref="I249" si="71">ROUND(D249-E249+G249+F249,0)</f>
        <v>0</v>
      </c>
      <c r="J249" s="75"/>
      <c r="K249" s="48">
        <f t="shared" ref="K249" si="72">ROUND(SUM(A249),0)</f>
        <v>0</v>
      </c>
      <c r="M249" s="140" t="str">
        <f t="shared" ref="M249" si="73">CONCATENATE(B249,C249)</f>
        <v>6100/043Investment property - valuation reduction on sales</v>
      </c>
      <c r="N249" s="70"/>
      <c r="P249" s="71"/>
      <c r="Q249" s="51"/>
      <c r="R249" s="31"/>
    </row>
    <row r="250" spans="1:18" x14ac:dyDescent="0.2">
      <c r="A250" s="238"/>
      <c r="B250" s="90" t="s">
        <v>943</v>
      </c>
      <c r="C250" s="242" t="s">
        <v>944</v>
      </c>
      <c r="D250" s="282"/>
      <c r="E250" s="272"/>
      <c r="F250" s="79"/>
      <c r="G250" s="47">
        <f>SUMIF(JournalsA!D$14:D$920,TrialBalanceA!M250,JournalsA!J$14:J$920)+SUMIF(JournalsA!E$14:E$920,TrialBalanceA!M250,JournalsA!J$14:J$920)</f>
        <v>0</v>
      </c>
      <c r="H250" s="288"/>
      <c r="I250" s="255">
        <f t="shared" si="68"/>
        <v>0</v>
      </c>
      <c r="J250" s="75"/>
      <c r="K250" s="48">
        <f t="shared" si="69"/>
        <v>0</v>
      </c>
      <c r="M250" s="140" t="str">
        <f t="shared" si="70"/>
        <v>6100/044Investment property - valuation reduction on transfers</v>
      </c>
      <c r="N250" s="70"/>
      <c r="P250" s="71"/>
      <c r="Q250" s="51"/>
      <c r="R250" s="31"/>
    </row>
    <row r="251" spans="1:18" x14ac:dyDescent="0.2">
      <c r="A251" s="238"/>
      <c r="B251" s="54" t="s">
        <v>264</v>
      </c>
      <c r="C251" s="239" t="s">
        <v>727</v>
      </c>
      <c r="D251" s="283"/>
      <c r="E251" s="272"/>
      <c r="F251" s="79"/>
      <c r="G251" s="47">
        <f>SUMIF(JournalsA!D$14:D$920,TrialBalanceA!M251,JournalsA!J$14:J$920)+SUMIF(JournalsA!E$14:E$920,TrialBalanceA!M251,JournalsA!J$14:J$920)</f>
        <v>0</v>
      </c>
      <c r="H251" s="288"/>
      <c r="I251" s="255">
        <f t="shared" si="47"/>
        <v>0</v>
      </c>
      <c r="J251" s="75"/>
      <c r="K251" s="48">
        <f t="shared" si="48"/>
        <v>0</v>
      </c>
      <c r="M251" s="140" t="str">
        <f t="shared" si="49"/>
        <v>6150/000PLANT AND MACHINERY - COST</v>
      </c>
      <c r="N251" s="70"/>
      <c r="P251" s="71"/>
      <c r="Q251" s="51"/>
      <c r="R251" s="31"/>
    </row>
    <row r="252" spans="1:18" x14ac:dyDescent="0.2">
      <c r="A252" s="238"/>
      <c r="B252" s="54" t="s">
        <v>39</v>
      </c>
      <c r="C252" s="242" t="s">
        <v>728</v>
      </c>
      <c r="D252" s="282"/>
      <c r="E252" s="272"/>
      <c r="F252" s="79">
        <f>SUM(K252:K254)</f>
        <v>0</v>
      </c>
      <c r="G252" s="47">
        <f>SUMIF(JournalsA!D$14:D$920,TrialBalanceA!M252,JournalsA!J$14:J$920)+SUMIF(JournalsA!E$14:E$920,TrialBalanceA!M252,JournalsA!J$14:J$920)</f>
        <v>0</v>
      </c>
      <c r="H252" s="288"/>
      <c r="I252" s="255">
        <f t="shared" si="47"/>
        <v>0</v>
      </c>
      <c r="J252" s="75"/>
      <c r="K252" s="48">
        <f t="shared" si="48"/>
        <v>0</v>
      </c>
      <c r="M252" s="140" t="str">
        <f t="shared" si="49"/>
        <v>6150/001Plant and machinery - cost b/fwd</v>
      </c>
      <c r="N252" s="70"/>
      <c r="P252" s="71"/>
      <c r="Q252" s="51"/>
      <c r="R252" s="31"/>
    </row>
    <row r="253" spans="1:18" x14ac:dyDescent="0.2">
      <c r="A253" s="238"/>
      <c r="B253" s="54" t="s">
        <v>40</v>
      </c>
      <c r="C253" s="242" t="s">
        <v>729</v>
      </c>
      <c r="D253" s="282"/>
      <c r="E253" s="272"/>
      <c r="F253" s="79"/>
      <c r="G253" s="47">
        <f>SUMIF(JournalsA!D$14:D$920,TrialBalanceA!M253,JournalsA!J$14:J$920)+SUMIF(JournalsA!E$14:E$920,TrialBalanceA!M253,JournalsA!J$14:J$920)</f>
        <v>0</v>
      </c>
      <c r="H253" s="288"/>
      <c r="I253" s="255">
        <f t="shared" si="47"/>
        <v>0</v>
      </c>
      <c r="J253" s="75"/>
      <c r="K253" s="48">
        <f t="shared" si="48"/>
        <v>0</v>
      </c>
      <c r="M253" s="140" t="str">
        <f t="shared" si="49"/>
        <v>6150/002Plant and machinery - additions</v>
      </c>
      <c r="N253" s="70"/>
      <c r="P253" s="71"/>
      <c r="Q253" s="51"/>
      <c r="R253" s="31"/>
    </row>
    <row r="254" spans="1:18" x14ac:dyDescent="0.2">
      <c r="A254" s="238"/>
      <c r="B254" s="54" t="s">
        <v>41</v>
      </c>
      <c r="C254" s="242" t="s">
        <v>730</v>
      </c>
      <c r="D254" s="282"/>
      <c r="E254" s="272"/>
      <c r="F254" s="79"/>
      <c r="G254" s="47">
        <f>SUMIF(JournalsA!D$14:D$920,TrialBalanceA!M254,JournalsA!J$14:J$920)+SUMIF(JournalsA!E$14:E$920,TrialBalanceA!M254,JournalsA!J$14:J$920)</f>
        <v>0</v>
      </c>
      <c r="H254" s="288"/>
      <c r="I254" s="255">
        <f t="shared" ref="I254:I283" si="74">ROUND(D254-E254+G254+F254,0)</f>
        <v>0</v>
      </c>
      <c r="J254" s="75"/>
      <c r="K254" s="48">
        <f t="shared" si="48"/>
        <v>0</v>
      </c>
      <c r="M254" s="140" t="str">
        <f t="shared" si="49"/>
        <v>6150/003Plant and machinery - cost of sales</v>
      </c>
      <c r="N254" s="70"/>
      <c r="P254" s="71"/>
      <c r="Q254" s="51"/>
      <c r="R254" s="31"/>
    </row>
    <row r="255" spans="1:18" x14ac:dyDescent="0.2">
      <c r="A255" s="238"/>
      <c r="B255" s="54" t="s">
        <v>16</v>
      </c>
      <c r="C255" s="239" t="s">
        <v>731</v>
      </c>
      <c r="D255" s="283"/>
      <c r="E255" s="272"/>
      <c r="F255" s="79"/>
      <c r="G255" s="47">
        <f>SUMIF(JournalsA!D$14:D$920,TrialBalanceA!M255,JournalsA!J$14:J$920)+SUMIF(JournalsA!E$14:E$920,TrialBalanceA!M255,JournalsA!J$14:J$920)</f>
        <v>0</v>
      </c>
      <c r="H255" s="288"/>
      <c r="I255" s="255">
        <f t="shared" si="74"/>
        <v>0</v>
      </c>
      <c r="J255" s="75"/>
      <c r="K255" s="48">
        <f t="shared" si="48"/>
        <v>0</v>
      </c>
      <c r="M255" s="140" t="str">
        <f t="shared" si="49"/>
        <v>6150/020PLANT AND MACHINERY - ACC DEPR</v>
      </c>
      <c r="N255" s="70"/>
      <c r="P255" s="71"/>
      <c r="Q255" s="51"/>
      <c r="R255" s="31"/>
    </row>
    <row r="256" spans="1:18" x14ac:dyDescent="0.2">
      <c r="A256" s="238"/>
      <c r="B256" s="54" t="s">
        <v>17</v>
      </c>
      <c r="C256" s="242" t="s">
        <v>732</v>
      </c>
      <c r="D256" s="282"/>
      <c r="E256" s="272"/>
      <c r="F256" s="79">
        <f>SUM(K256:K258)</f>
        <v>0</v>
      </c>
      <c r="G256" s="47">
        <f>SUMIF(JournalsA!D$14:D$920,TrialBalanceA!M256,JournalsA!J$14:J$920)+SUMIF(JournalsA!E$14:E$920,TrialBalanceA!M256,JournalsA!J$14:J$920)</f>
        <v>0</v>
      </c>
      <c r="H256" s="288"/>
      <c r="I256" s="255">
        <f t="shared" si="74"/>
        <v>0</v>
      </c>
      <c r="J256" s="75"/>
      <c r="K256" s="48">
        <f t="shared" si="48"/>
        <v>0</v>
      </c>
      <c r="M256" s="140" t="str">
        <f t="shared" si="49"/>
        <v>6150/021Plant and machinery - acc depr b/fwd</v>
      </c>
      <c r="N256" s="70"/>
      <c r="P256" s="71"/>
      <c r="Q256" s="51"/>
      <c r="R256" s="31"/>
    </row>
    <row r="257" spans="1:18" x14ac:dyDescent="0.2">
      <c r="A257" s="238"/>
      <c r="B257" s="54" t="s">
        <v>33</v>
      </c>
      <c r="C257" s="242" t="s">
        <v>733</v>
      </c>
      <c r="D257" s="282"/>
      <c r="E257" s="272"/>
      <c r="F257" s="79"/>
      <c r="G257" s="47">
        <f>SUMIF(JournalsA!D$14:D$920,TrialBalanceA!M257,JournalsA!J$14:J$920)+SUMIF(JournalsA!E$14:E$920,TrialBalanceA!M257,JournalsA!J$14:J$920)</f>
        <v>0</v>
      </c>
      <c r="H257" s="288"/>
      <c r="I257" s="255">
        <f t="shared" si="74"/>
        <v>0</v>
      </c>
      <c r="J257" s="75"/>
      <c r="K257" s="48">
        <f t="shared" si="48"/>
        <v>0</v>
      </c>
      <c r="M257" s="140" t="str">
        <f t="shared" si="49"/>
        <v>6150/022Plant and machinery - depr this year</v>
      </c>
      <c r="N257" s="70"/>
      <c r="P257" s="71"/>
      <c r="Q257" s="51"/>
      <c r="R257" s="31"/>
    </row>
    <row r="258" spans="1:18" x14ac:dyDescent="0.2">
      <c r="A258" s="238"/>
      <c r="B258" s="54" t="s">
        <v>34</v>
      </c>
      <c r="C258" s="242" t="s">
        <v>734</v>
      </c>
      <c r="D258" s="282"/>
      <c r="E258" s="272"/>
      <c r="F258" s="79"/>
      <c r="G258" s="47">
        <f>SUMIF(JournalsA!D$14:D$920,TrialBalanceA!M258,JournalsA!J$14:J$920)+SUMIF(JournalsA!E$14:E$920,TrialBalanceA!M258,JournalsA!J$14:J$920)</f>
        <v>0</v>
      </c>
      <c r="H258" s="288"/>
      <c r="I258" s="255">
        <f t="shared" si="74"/>
        <v>0</v>
      </c>
      <c r="J258" s="75"/>
      <c r="K258" s="48">
        <f t="shared" si="48"/>
        <v>0</v>
      </c>
      <c r="M258" s="140" t="str">
        <f t="shared" si="49"/>
        <v>6150/023Plant and machinery - acc depr on sales</v>
      </c>
      <c r="N258" s="70"/>
      <c r="P258" s="71"/>
      <c r="Q258" s="51"/>
      <c r="R258" s="31"/>
    </row>
    <row r="259" spans="1:18" x14ac:dyDescent="0.2">
      <c r="A259" s="238"/>
      <c r="B259" s="54" t="s">
        <v>35</v>
      </c>
      <c r="C259" s="239" t="s">
        <v>36</v>
      </c>
      <c r="D259" s="283"/>
      <c r="E259" s="272"/>
      <c r="F259" s="79"/>
      <c r="G259" s="47">
        <f>SUMIF(JournalsA!D$14:D$920,TrialBalanceA!M259,JournalsA!J$14:J$920)+SUMIF(JournalsA!E$14:E$920,TrialBalanceA!M259,JournalsA!J$14:J$920)</f>
        <v>0</v>
      </c>
      <c r="H259" s="288"/>
      <c r="I259" s="255">
        <f t="shared" si="74"/>
        <v>0</v>
      </c>
      <c r="J259" s="75"/>
      <c r="K259" s="48">
        <f t="shared" si="48"/>
        <v>0</v>
      </c>
      <c r="M259" s="140" t="str">
        <f t="shared" si="49"/>
        <v>6200/000MOTOR VEHICLES - COST</v>
      </c>
      <c r="N259" s="70"/>
      <c r="P259" s="71"/>
      <c r="Q259" s="51"/>
      <c r="R259" s="31"/>
    </row>
    <row r="260" spans="1:18" x14ac:dyDescent="0.2">
      <c r="A260" s="238"/>
      <c r="B260" s="54" t="s">
        <v>37</v>
      </c>
      <c r="C260" s="242" t="s">
        <v>735</v>
      </c>
      <c r="D260" s="282"/>
      <c r="E260" s="272"/>
      <c r="F260" s="79">
        <f>SUM(K260:K262)</f>
        <v>0</v>
      </c>
      <c r="G260" s="47">
        <f>SUMIF(JournalsA!D$14:D$920,TrialBalanceA!M260,JournalsA!J$14:J$920)+SUMIF(JournalsA!E$14:E$920,TrialBalanceA!M260,JournalsA!J$14:J$920)</f>
        <v>0</v>
      </c>
      <c r="H260" s="288"/>
      <c r="I260" s="255">
        <f t="shared" si="74"/>
        <v>0</v>
      </c>
      <c r="J260" s="75"/>
      <c r="K260" s="48">
        <f t="shared" si="48"/>
        <v>0</v>
      </c>
      <c r="M260" s="140" t="str">
        <f t="shared" si="49"/>
        <v>6200/001Motor vehicles - cost b/fwd</v>
      </c>
      <c r="N260" s="70"/>
      <c r="P260" s="71"/>
      <c r="Q260" s="51"/>
      <c r="R260" s="31"/>
    </row>
    <row r="261" spans="1:18" x14ac:dyDescent="0.2">
      <c r="A261" s="238"/>
      <c r="B261" s="54" t="s">
        <v>38</v>
      </c>
      <c r="C261" s="242" t="s">
        <v>736</v>
      </c>
      <c r="D261" s="282"/>
      <c r="E261" s="272"/>
      <c r="F261" s="79"/>
      <c r="G261" s="47">
        <f>SUMIF(JournalsA!D$14:D$920,TrialBalanceA!M261,JournalsA!J$14:J$920)+SUMIF(JournalsA!E$14:E$920,TrialBalanceA!M261,JournalsA!J$14:J$920)</f>
        <v>0</v>
      </c>
      <c r="H261" s="288"/>
      <c r="I261" s="255">
        <f t="shared" si="74"/>
        <v>0</v>
      </c>
      <c r="J261" s="75"/>
      <c r="K261" s="48">
        <f t="shared" si="48"/>
        <v>0</v>
      </c>
      <c r="M261" s="140" t="str">
        <f t="shared" si="49"/>
        <v>6200/002Motor vehicles - additions</v>
      </c>
      <c r="N261" s="70"/>
      <c r="P261" s="71"/>
      <c r="Q261" s="51"/>
      <c r="R261" s="31"/>
    </row>
    <row r="262" spans="1:18" x14ac:dyDescent="0.2">
      <c r="A262" s="238"/>
      <c r="B262" s="54" t="s">
        <v>453</v>
      </c>
      <c r="C262" s="242" t="s">
        <v>737</v>
      </c>
      <c r="D262" s="282"/>
      <c r="E262" s="272"/>
      <c r="F262" s="79"/>
      <c r="G262" s="47">
        <f>SUMIF(JournalsA!D$14:D$920,TrialBalanceA!M262,JournalsA!J$14:J$920)+SUMIF(JournalsA!E$14:E$920,TrialBalanceA!M262,JournalsA!J$14:J$920)</f>
        <v>0</v>
      </c>
      <c r="H262" s="288"/>
      <c r="I262" s="255">
        <f t="shared" si="74"/>
        <v>0</v>
      </c>
      <c r="J262" s="75"/>
      <c r="K262" s="48">
        <f t="shared" si="48"/>
        <v>0</v>
      </c>
      <c r="M262" s="140" t="str">
        <f t="shared" si="49"/>
        <v>6200/003Motor vehicles - cost of sales</v>
      </c>
      <c r="N262" s="70"/>
      <c r="P262" s="71"/>
      <c r="Q262" s="51"/>
      <c r="R262" s="31"/>
    </row>
    <row r="263" spans="1:18" x14ac:dyDescent="0.2">
      <c r="A263" s="238"/>
      <c r="B263" s="54" t="s">
        <v>0</v>
      </c>
      <c r="C263" s="239" t="s">
        <v>1</v>
      </c>
      <c r="D263" s="283"/>
      <c r="E263" s="272"/>
      <c r="F263" s="79"/>
      <c r="G263" s="47">
        <f>SUMIF(JournalsA!D$14:D$920,TrialBalanceA!M263,JournalsA!J$14:J$920)+SUMIF(JournalsA!E$14:E$920,TrialBalanceA!M263,JournalsA!J$14:J$920)</f>
        <v>0</v>
      </c>
      <c r="H263" s="288"/>
      <c r="I263" s="255">
        <f t="shared" si="74"/>
        <v>0</v>
      </c>
      <c r="J263" s="75"/>
      <c r="K263" s="48">
        <f t="shared" si="48"/>
        <v>0</v>
      </c>
      <c r="M263" s="140" t="str">
        <f t="shared" si="49"/>
        <v>6200/020MOTOR VEHICLES - ACC DEPR</v>
      </c>
      <c r="N263" s="70"/>
      <c r="P263" s="71"/>
      <c r="Q263" s="51"/>
      <c r="R263" s="31"/>
    </row>
    <row r="264" spans="1:18" x14ac:dyDescent="0.2">
      <c r="A264" s="238"/>
      <c r="B264" s="54" t="s">
        <v>2</v>
      </c>
      <c r="C264" s="242" t="s">
        <v>738</v>
      </c>
      <c r="D264" s="282"/>
      <c r="E264" s="272"/>
      <c r="F264" s="79">
        <f>SUM(K264:K266)</f>
        <v>0</v>
      </c>
      <c r="G264" s="47">
        <f>SUMIF(JournalsA!D$14:D$920,TrialBalanceA!M264,JournalsA!J$14:J$920)+SUMIF(JournalsA!E$14:E$920,TrialBalanceA!M264,JournalsA!J$14:J$920)</f>
        <v>0</v>
      </c>
      <c r="H264" s="288"/>
      <c r="I264" s="255">
        <f t="shared" si="74"/>
        <v>0</v>
      </c>
      <c r="J264" s="75"/>
      <c r="K264" s="48">
        <f t="shared" si="48"/>
        <v>0</v>
      </c>
      <c r="M264" s="140" t="str">
        <f t="shared" si="49"/>
        <v>6200/021Motor vehicles - acc depr b/fwd</v>
      </c>
      <c r="N264" s="70"/>
      <c r="P264" s="71"/>
      <c r="Q264" s="51"/>
      <c r="R264" s="31"/>
    </row>
    <row r="265" spans="1:18" x14ac:dyDescent="0.2">
      <c r="A265" s="238"/>
      <c r="B265" s="54" t="s">
        <v>3</v>
      </c>
      <c r="C265" s="242" t="s">
        <v>739</v>
      </c>
      <c r="D265" s="282"/>
      <c r="E265" s="272"/>
      <c r="F265" s="79"/>
      <c r="G265" s="47">
        <f>SUMIF(JournalsA!D$14:D$920,TrialBalanceA!M265,JournalsA!J$14:J$920)+SUMIF(JournalsA!E$14:E$920,TrialBalanceA!M265,JournalsA!J$14:J$920)</f>
        <v>0</v>
      </c>
      <c r="H265" s="288"/>
      <c r="I265" s="255">
        <f t="shared" si="74"/>
        <v>0</v>
      </c>
      <c r="J265" s="75"/>
      <c r="K265" s="48">
        <f t="shared" si="48"/>
        <v>0</v>
      </c>
      <c r="M265" s="140" t="str">
        <f t="shared" si="49"/>
        <v>6200/022Motor vehicles - depr this year</v>
      </c>
      <c r="N265" s="70"/>
      <c r="P265" s="71"/>
      <c r="Q265" s="51"/>
      <c r="R265" s="31"/>
    </row>
    <row r="266" spans="1:18" x14ac:dyDescent="0.2">
      <c r="A266" s="238"/>
      <c r="B266" s="54" t="s">
        <v>4</v>
      </c>
      <c r="C266" s="242" t="s">
        <v>740</v>
      </c>
      <c r="D266" s="282"/>
      <c r="E266" s="272"/>
      <c r="F266" s="79"/>
      <c r="G266" s="47">
        <f>SUMIF(JournalsA!D$14:D$920,TrialBalanceA!M266,JournalsA!J$14:J$920)+SUMIF(JournalsA!E$14:E$920,TrialBalanceA!M266,JournalsA!J$14:J$920)</f>
        <v>0</v>
      </c>
      <c r="H266" s="288"/>
      <c r="I266" s="255">
        <f t="shared" si="74"/>
        <v>0</v>
      </c>
      <c r="J266" s="75"/>
      <c r="K266" s="48">
        <f t="shared" si="48"/>
        <v>0</v>
      </c>
      <c r="M266" s="140" t="str">
        <f t="shared" si="49"/>
        <v>6200/023Motor vehicles - acc depr on sales</v>
      </c>
      <c r="N266" s="70"/>
      <c r="P266" s="71"/>
      <c r="Q266" s="51"/>
      <c r="R266" s="31"/>
    </row>
    <row r="267" spans="1:18" x14ac:dyDescent="0.2">
      <c r="A267" s="238"/>
      <c r="B267" s="54" t="s">
        <v>5</v>
      </c>
      <c r="C267" s="239" t="s">
        <v>108</v>
      </c>
      <c r="D267" s="283"/>
      <c r="E267" s="272"/>
      <c r="F267" s="79"/>
      <c r="G267" s="47">
        <f>SUMIF(JournalsA!D$14:D$920,TrialBalanceA!M267,JournalsA!J$14:J$920)+SUMIF(JournalsA!E$14:E$920,TrialBalanceA!M267,JournalsA!J$14:J$920)</f>
        <v>0</v>
      </c>
      <c r="H267" s="288"/>
      <c r="I267" s="255">
        <f t="shared" si="74"/>
        <v>0</v>
      </c>
      <c r="J267" s="75"/>
      <c r="K267" s="48">
        <f t="shared" si="48"/>
        <v>0</v>
      </c>
      <c r="M267" s="140" t="str">
        <f t="shared" si="49"/>
        <v>6250/000ELECTRONIC EQUIPMENT - COST</v>
      </c>
      <c r="N267" s="70"/>
      <c r="P267" s="71"/>
      <c r="Q267" s="51"/>
      <c r="R267" s="31"/>
    </row>
    <row r="268" spans="1:18" x14ac:dyDescent="0.2">
      <c r="A268" s="238"/>
      <c r="B268" s="54" t="s">
        <v>6</v>
      </c>
      <c r="C268" s="242" t="s">
        <v>741</v>
      </c>
      <c r="D268" s="282"/>
      <c r="E268" s="272"/>
      <c r="F268" s="79">
        <f>SUM(K268:K270)</f>
        <v>0</v>
      </c>
      <c r="G268" s="47">
        <f>SUMIF(JournalsA!D$14:D$920,TrialBalanceA!M268,JournalsA!J$14:J$920)+SUMIF(JournalsA!E$14:E$920,TrialBalanceA!M268,JournalsA!J$14:J$920)</f>
        <v>0</v>
      </c>
      <c r="H268" s="288"/>
      <c r="I268" s="255">
        <f t="shared" si="74"/>
        <v>0</v>
      </c>
      <c r="J268" s="75"/>
      <c r="K268" s="48">
        <f t="shared" si="48"/>
        <v>0</v>
      </c>
      <c r="M268" s="140" t="str">
        <f t="shared" si="49"/>
        <v>6250/001Electronic equipment - cost b/fwd</v>
      </c>
      <c r="N268" s="70"/>
      <c r="P268" s="71"/>
      <c r="Q268" s="51"/>
      <c r="R268" s="31"/>
    </row>
    <row r="269" spans="1:18" x14ac:dyDescent="0.2">
      <c r="A269" s="238"/>
      <c r="B269" s="54" t="s">
        <v>7</v>
      </c>
      <c r="C269" s="242" t="s">
        <v>742</v>
      </c>
      <c r="D269" s="282"/>
      <c r="E269" s="272"/>
      <c r="F269" s="79"/>
      <c r="G269" s="47">
        <f>SUMIF(JournalsA!D$14:D$920,TrialBalanceA!M269,JournalsA!J$14:J$920)+SUMIF(JournalsA!E$14:E$920,TrialBalanceA!M269,JournalsA!J$14:J$920)</f>
        <v>0</v>
      </c>
      <c r="H269" s="288"/>
      <c r="I269" s="255">
        <f t="shared" si="74"/>
        <v>0</v>
      </c>
      <c r="J269" s="75"/>
      <c r="K269" s="48">
        <f t="shared" si="48"/>
        <v>0</v>
      </c>
      <c r="M269" s="140" t="str">
        <f t="shared" si="49"/>
        <v>6250/002Electronic equipment - additions</v>
      </c>
      <c r="N269" s="70"/>
      <c r="P269" s="71"/>
      <c r="Q269" s="51"/>
      <c r="R269" s="31"/>
    </row>
    <row r="270" spans="1:18" x14ac:dyDescent="0.2">
      <c r="A270" s="238"/>
      <c r="B270" s="54" t="s">
        <v>8</v>
      </c>
      <c r="C270" s="242" t="s">
        <v>743</v>
      </c>
      <c r="D270" s="282"/>
      <c r="E270" s="272"/>
      <c r="F270" s="79"/>
      <c r="G270" s="47">
        <f>SUMIF(JournalsA!D$14:D$920,TrialBalanceA!M270,JournalsA!J$14:J$920)+SUMIF(JournalsA!E$14:E$920,TrialBalanceA!M270,JournalsA!J$14:J$920)</f>
        <v>0</v>
      </c>
      <c r="H270" s="288"/>
      <c r="I270" s="255">
        <f t="shared" si="74"/>
        <v>0</v>
      </c>
      <c r="J270" s="75"/>
      <c r="K270" s="48">
        <f t="shared" si="48"/>
        <v>0</v>
      </c>
      <c r="M270" s="140" t="str">
        <f t="shared" si="49"/>
        <v>6250/003Electronic equipment - cost of sales</v>
      </c>
      <c r="N270" s="70"/>
      <c r="P270" s="71"/>
      <c r="Q270" s="51"/>
      <c r="R270" s="31"/>
    </row>
    <row r="271" spans="1:18" x14ac:dyDescent="0.2">
      <c r="A271" s="238"/>
      <c r="B271" s="54" t="s">
        <v>9</v>
      </c>
      <c r="C271" s="239" t="s">
        <v>109</v>
      </c>
      <c r="D271" s="283"/>
      <c r="E271" s="272"/>
      <c r="F271" s="79"/>
      <c r="G271" s="47">
        <f>SUMIF(JournalsA!D$14:D$920,TrialBalanceA!M271,JournalsA!J$14:J$920)+SUMIF(JournalsA!E$14:E$920,TrialBalanceA!M271,JournalsA!J$14:J$920)</f>
        <v>0</v>
      </c>
      <c r="H271" s="288"/>
      <c r="I271" s="255">
        <f t="shared" si="74"/>
        <v>0</v>
      </c>
      <c r="J271" s="75"/>
      <c r="K271" s="48">
        <f t="shared" si="48"/>
        <v>0</v>
      </c>
      <c r="M271" s="140" t="str">
        <f t="shared" si="49"/>
        <v>6250/020ELECTRONIC EQUIPMENT - ACC DEPR</v>
      </c>
      <c r="N271" s="70"/>
      <c r="P271" s="71"/>
      <c r="Q271" s="51"/>
      <c r="R271" s="31"/>
    </row>
    <row r="272" spans="1:18" x14ac:dyDescent="0.2">
      <c r="A272" s="238"/>
      <c r="B272" s="54" t="s">
        <v>10</v>
      </c>
      <c r="C272" s="242" t="s">
        <v>744</v>
      </c>
      <c r="D272" s="282"/>
      <c r="E272" s="272"/>
      <c r="F272" s="79">
        <f>SUM(K272:K274)</f>
        <v>0</v>
      </c>
      <c r="G272" s="47">
        <f>SUMIF(JournalsA!D$14:D$920,TrialBalanceA!M272,JournalsA!J$14:J$920)+SUMIF(JournalsA!E$14:E$920,TrialBalanceA!M272,JournalsA!J$14:J$920)</f>
        <v>0</v>
      </c>
      <c r="H272" s="288"/>
      <c r="I272" s="255">
        <f t="shared" si="74"/>
        <v>0</v>
      </c>
      <c r="J272" s="75"/>
      <c r="K272" s="48">
        <f t="shared" si="48"/>
        <v>0</v>
      </c>
      <c r="M272" s="140" t="str">
        <f t="shared" si="49"/>
        <v>6250/021Electronic equipment - acc depr b/fwd</v>
      </c>
      <c r="N272" s="70"/>
      <c r="P272" s="71"/>
      <c r="Q272" s="51"/>
      <c r="R272" s="31"/>
    </row>
    <row r="273" spans="1:18" x14ac:dyDescent="0.2">
      <c r="A273" s="238"/>
      <c r="B273" s="54" t="s">
        <v>11</v>
      </c>
      <c r="C273" s="242" t="s">
        <v>745</v>
      </c>
      <c r="D273" s="282"/>
      <c r="E273" s="272"/>
      <c r="F273" s="79"/>
      <c r="G273" s="47">
        <f>SUMIF(JournalsA!D$14:D$920,TrialBalanceA!M273,JournalsA!J$14:J$920)+SUMIF(JournalsA!E$14:E$920,TrialBalanceA!M273,JournalsA!J$14:J$920)</f>
        <v>0</v>
      </c>
      <c r="H273" s="288"/>
      <c r="I273" s="255">
        <f t="shared" si="74"/>
        <v>0</v>
      </c>
      <c r="J273" s="75"/>
      <c r="K273" s="48">
        <f t="shared" si="48"/>
        <v>0</v>
      </c>
      <c r="M273" s="140" t="str">
        <f t="shared" si="49"/>
        <v>6250/022Electronic equipment - depr this year</v>
      </c>
      <c r="N273" s="70"/>
      <c r="P273" s="71"/>
      <c r="Q273" s="51"/>
      <c r="R273" s="31"/>
    </row>
    <row r="274" spans="1:18" x14ac:dyDescent="0.2">
      <c r="A274" s="238"/>
      <c r="B274" s="54" t="s">
        <v>12</v>
      </c>
      <c r="C274" s="242" t="s">
        <v>746</v>
      </c>
      <c r="D274" s="282"/>
      <c r="E274" s="272"/>
      <c r="F274" s="79"/>
      <c r="G274" s="47">
        <f>SUMIF(JournalsA!D$14:D$920,TrialBalanceA!M274,JournalsA!J$14:J$920)+SUMIF(JournalsA!E$14:E$920,TrialBalanceA!M274,JournalsA!J$14:J$920)</f>
        <v>0</v>
      </c>
      <c r="H274" s="288"/>
      <c r="I274" s="255">
        <f t="shared" si="74"/>
        <v>0</v>
      </c>
      <c r="J274" s="75"/>
      <c r="K274" s="48">
        <f t="shared" si="48"/>
        <v>0</v>
      </c>
      <c r="M274" s="140" t="str">
        <f t="shared" si="49"/>
        <v>6250/023Electronic equipment - acc depr on sales</v>
      </c>
      <c r="N274" s="70"/>
      <c r="P274" s="71"/>
      <c r="Q274" s="51"/>
      <c r="R274" s="31"/>
    </row>
    <row r="275" spans="1:18" x14ac:dyDescent="0.2">
      <c r="A275" s="238"/>
      <c r="B275" s="54" t="s">
        <v>14</v>
      </c>
      <c r="C275" s="239" t="s">
        <v>747</v>
      </c>
      <c r="D275" s="283"/>
      <c r="E275" s="272"/>
      <c r="F275" s="79"/>
      <c r="G275" s="47">
        <f>SUMIF(JournalsA!D$14:D$920,TrialBalanceA!M275,JournalsA!J$14:J$920)+SUMIF(JournalsA!E$14:E$920,TrialBalanceA!M275,JournalsA!J$14:J$920)</f>
        <v>0</v>
      </c>
      <c r="H275" s="288"/>
      <c r="I275" s="255">
        <f t="shared" si="74"/>
        <v>0</v>
      </c>
      <c r="J275" s="75"/>
      <c r="K275" s="48">
        <f t="shared" si="48"/>
        <v>0</v>
      </c>
      <c r="M275" s="140" t="str">
        <f t="shared" si="49"/>
        <v>6350/000FURNITURE AND FITTINGS - COST</v>
      </c>
      <c r="N275" s="70"/>
      <c r="P275" s="71"/>
      <c r="Q275" s="51"/>
      <c r="R275" s="31"/>
    </row>
    <row r="276" spans="1:18" x14ac:dyDescent="0.2">
      <c r="A276" s="238"/>
      <c r="B276" s="54" t="s">
        <v>15</v>
      </c>
      <c r="C276" s="242" t="s">
        <v>748</v>
      </c>
      <c r="D276" s="282"/>
      <c r="E276" s="272"/>
      <c r="F276" s="79">
        <f>SUM(K276:K278)</f>
        <v>0</v>
      </c>
      <c r="G276" s="47">
        <f>SUMIF(JournalsA!D$14:D$920,TrialBalanceA!M276,JournalsA!J$14:J$920)+SUMIF(JournalsA!E$14:E$920,TrialBalanceA!M276,JournalsA!J$14:J$920)</f>
        <v>0</v>
      </c>
      <c r="H276" s="288"/>
      <c r="I276" s="255">
        <f t="shared" si="74"/>
        <v>0</v>
      </c>
      <c r="J276" s="75"/>
      <c r="K276" s="48">
        <f t="shared" si="48"/>
        <v>0</v>
      </c>
      <c r="M276" s="140" t="str">
        <f t="shared" si="49"/>
        <v>6350/001Furniture and fittings - cost b/fwd</v>
      </c>
      <c r="N276" s="70"/>
      <c r="P276" s="71"/>
      <c r="Q276" s="51"/>
      <c r="R276" s="31"/>
    </row>
    <row r="277" spans="1:18" x14ac:dyDescent="0.2">
      <c r="A277" s="238"/>
      <c r="B277" s="54" t="s">
        <v>397</v>
      </c>
      <c r="C277" s="242" t="s">
        <v>749</v>
      </c>
      <c r="D277" s="282"/>
      <c r="E277" s="272"/>
      <c r="F277" s="79"/>
      <c r="G277" s="47">
        <f>SUMIF(JournalsA!D$14:D$920,TrialBalanceA!M277,JournalsA!J$14:J$920)+SUMIF(JournalsA!E$14:E$920,TrialBalanceA!M277,JournalsA!J$14:J$920)</f>
        <v>0</v>
      </c>
      <c r="H277" s="288"/>
      <c r="I277" s="255">
        <f t="shared" si="74"/>
        <v>0</v>
      </c>
      <c r="J277" s="75"/>
      <c r="K277" s="48">
        <f t="shared" si="48"/>
        <v>0</v>
      </c>
      <c r="M277" s="140" t="str">
        <f t="shared" si="49"/>
        <v>6350/002Furniture and fittings - additions</v>
      </c>
      <c r="N277" s="70"/>
      <c r="P277" s="71"/>
      <c r="Q277" s="51"/>
      <c r="R277" s="31"/>
    </row>
    <row r="278" spans="1:18" x14ac:dyDescent="0.2">
      <c r="A278" s="238"/>
      <c r="B278" s="54" t="s">
        <v>413</v>
      </c>
      <c r="C278" s="242" t="s">
        <v>750</v>
      </c>
      <c r="D278" s="282"/>
      <c r="E278" s="272"/>
      <c r="F278" s="79"/>
      <c r="G278" s="47">
        <f>SUMIF(JournalsA!D$14:D$920,TrialBalanceA!M278,JournalsA!J$14:J$920)+SUMIF(JournalsA!E$14:E$920,TrialBalanceA!M278,JournalsA!J$14:J$920)</f>
        <v>0</v>
      </c>
      <c r="H278" s="288"/>
      <c r="I278" s="255">
        <f t="shared" si="74"/>
        <v>0</v>
      </c>
      <c r="J278" s="75"/>
      <c r="K278" s="48">
        <f t="shared" si="48"/>
        <v>0</v>
      </c>
      <c r="M278" s="140" t="str">
        <f t="shared" si="49"/>
        <v>6350/003Furniture and fittings - cost of sales</v>
      </c>
      <c r="N278" s="70"/>
      <c r="P278" s="71"/>
      <c r="Q278" s="51"/>
      <c r="R278" s="31"/>
    </row>
    <row r="279" spans="1:18" x14ac:dyDescent="0.2">
      <c r="A279" s="238"/>
      <c r="B279" s="54" t="s">
        <v>248</v>
      </c>
      <c r="C279" s="239" t="s">
        <v>751</v>
      </c>
      <c r="D279" s="283"/>
      <c r="E279" s="272"/>
      <c r="F279" s="79"/>
      <c r="G279" s="47">
        <f>SUMIF(JournalsA!D$14:D$920,TrialBalanceA!M279,JournalsA!J$14:J$920)+SUMIF(JournalsA!E$14:E$920,TrialBalanceA!M279,JournalsA!J$14:J$920)</f>
        <v>0</v>
      </c>
      <c r="H279" s="288"/>
      <c r="I279" s="255">
        <f t="shared" si="74"/>
        <v>0</v>
      </c>
      <c r="J279" s="75"/>
      <c r="K279" s="48">
        <f t="shared" si="48"/>
        <v>0</v>
      </c>
      <c r="M279" s="140" t="str">
        <f t="shared" si="49"/>
        <v>6350/020FURNITURE AND FITTINGS - ACC DEPR</v>
      </c>
      <c r="N279" s="70"/>
      <c r="P279" s="71"/>
      <c r="Q279" s="51"/>
      <c r="R279" s="31"/>
    </row>
    <row r="280" spans="1:18" x14ac:dyDescent="0.2">
      <c r="A280" s="238"/>
      <c r="B280" s="54" t="s">
        <v>140</v>
      </c>
      <c r="C280" s="242" t="s">
        <v>752</v>
      </c>
      <c r="D280" s="282"/>
      <c r="E280" s="272"/>
      <c r="F280" s="79">
        <f>SUM(K280:K282)</f>
        <v>0</v>
      </c>
      <c r="G280" s="47">
        <f>SUMIF(JournalsA!D$14:D$920,TrialBalanceA!M280,JournalsA!J$14:J$920)+SUMIF(JournalsA!E$14:E$920,TrialBalanceA!M280,JournalsA!J$14:J$920)</f>
        <v>0</v>
      </c>
      <c r="H280" s="288"/>
      <c r="I280" s="255">
        <f t="shared" si="74"/>
        <v>0</v>
      </c>
      <c r="J280" s="75"/>
      <c r="K280" s="48">
        <f t="shared" si="48"/>
        <v>0</v>
      </c>
      <c r="M280" s="140" t="str">
        <f t="shared" si="49"/>
        <v>6350/021Furniture and fittings - acc depr b/fwd</v>
      </c>
      <c r="N280" s="70"/>
      <c r="P280" s="71"/>
      <c r="Q280" s="51"/>
      <c r="R280" s="31"/>
    </row>
    <row r="281" spans="1:18" x14ac:dyDescent="0.2">
      <c r="A281" s="238"/>
      <c r="B281" s="54" t="s">
        <v>141</v>
      </c>
      <c r="C281" s="242" t="s">
        <v>753</v>
      </c>
      <c r="D281" s="282"/>
      <c r="E281" s="272"/>
      <c r="F281" s="79"/>
      <c r="G281" s="47">
        <f>SUMIF(JournalsA!D$14:D$920,TrialBalanceA!M281,JournalsA!J$14:J$920)+SUMIF(JournalsA!E$14:E$920,TrialBalanceA!M281,JournalsA!J$14:J$920)</f>
        <v>0</v>
      </c>
      <c r="H281" s="288"/>
      <c r="I281" s="255">
        <f t="shared" si="74"/>
        <v>0</v>
      </c>
      <c r="J281" s="75"/>
      <c r="K281" s="48">
        <f t="shared" si="48"/>
        <v>0</v>
      </c>
      <c r="M281" s="140" t="str">
        <f t="shared" si="49"/>
        <v>6350/022Furniture and fittings - depr this year</v>
      </c>
      <c r="N281" s="70"/>
      <c r="P281" s="71"/>
      <c r="Q281" s="51"/>
      <c r="R281" s="31"/>
    </row>
    <row r="282" spans="1:18" x14ac:dyDescent="0.2">
      <c r="A282" s="238"/>
      <c r="B282" s="54" t="s">
        <v>228</v>
      </c>
      <c r="C282" s="242" t="s">
        <v>754</v>
      </c>
      <c r="D282" s="282"/>
      <c r="E282" s="272"/>
      <c r="F282" s="79"/>
      <c r="G282" s="47">
        <f>SUMIF(JournalsA!D$14:D$920,TrialBalanceA!M282,JournalsA!J$14:J$920)+SUMIF(JournalsA!E$14:E$920,TrialBalanceA!M282,JournalsA!J$14:J$920)</f>
        <v>0</v>
      </c>
      <c r="H282" s="288"/>
      <c r="I282" s="255">
        <f t="shared" si="74"/>
        <v>0</v>
      </c>
      <c r="J282" s="75"/>
      <c r="K282" s="48">
        <f t="shared" si="48"/>
        <v>0</v>
      </c>
      <c r="M282" s="140" t="str">
        <f t="shared" si="49"/>
        <v>6350/023Furniture and fittings - acc depr on sales</v>
      </c>
      <c r="N282" s="70"/>
      <c r="P282" s="71"/>
      <c r="Q282" s="51"/>
      <c r="R282" s="31"/>
    </row>
    <row r="283" spans="1:18" x14ac:dyDescent="0.2">
      <c r="A283" s="238"/>
      <c r="B283" s="54" t="s">
        <v>435</v>
      </c>
      <c r="C283" s="239" t="s">
        <v>43</v>
      </c>
      <c r="D283" s="283"/>
      <c r="E283" s="272"/>
      <c r="F283" s="79"/>
      <c r="G283" s="47">
        <f>SUMIF(JournalsA!D$14:D$920,TrialBalanceA!M283,JournalsA!J$14:J$920)+SUMIF(JournalsA!E$14:E$920,TrialBalanceA!M283,JournalsA!J$14:J$920)</f>
        <v>0</v>
      </c>
      <c r="H283" s="288"/>
      <c r="I283" s="255">
        <f t="shared" si="74"/>
        <v>0</v>
      </c>
      <c r="J283" s="75"/>
      <c r="K283" s="48">
        <f t="shared" si="48"/>
        <v>0</v>
      </c>
      <c r="M283" s="140" t="str">
        <f t="shared" si="49"/>
        <v>7000/000INTANGIBLE ASSETS</v>
      </c>
      <c r="N283" s="70"/>
      <c r="P283" s="71"/>
      <c r="Q283" s="51"/>
      <c r="R283" s="31"/>
    </row>
    <row r="284" spans="1:18" x14ac:dyDescent="0.2">
      <c r="A284" s="238"/>
      <c r="B284" s="90" t="s">
        <v>884</v>
      </c>
      <c r="C284" s="239" t="s">
        <v>885</v>
      </c>
      <c r="D284" s="283"/>
      <c r="E284" s="272"/>
      <c r="F284" s="79"/>
      <c r="G284" s="47">
        <f>SUMIF(JournalsA!D$14:D$920,TrialBalanceA!M284,JournalsA!J$14:J$920)+SUMIF(JournalsA!E$14:E$920,TrialBalanceA!M284,JournalsA!J$14:J$920)</f>
        <v>0</v>
      </c>
      <c r="H284" s="288"/>
      <c r="I284" s="255">
        <f t="shared" ref="I284:I301" si="75">ROUND(D284-E284+G284+F284,0)</f>
        <v>0</v>
      </c>
      <c r="J284" s="75"/>
      <c r="K284" s="48">
        <f t="shared" ref="K284:K301" si="76">ROUND(SUM(A284),0)</f>
        <v>0</v>
      </c>
      <c r="M284" s="140" t="str">
        <f t="shared" ref="M284:M301" si="77">CONCATENATE(B284,C284)</f>
        <v>7000/001GOODWILL - COST</v>
      </c>
      <c r="N284" s="70"/>
      <c r="P284" s="71"/>
      <c r="Q284" s="51"/>
      <c r="R284" s="31"/>
    </row>
    <row r="285" spans="1:18" x14ac:dyDescent="0.2">
      <c r="A285" s="238"/>
      <c r="B285" s="90" t="s">
        <v>886</v>
      </c>
      <c r="C285" s="242" t="s">
        <v>887</v>
      </c>
      <c r="D285" s="283"/>
      <c r="E285" s="272"/>
      <c r="F285" s="79">
        <f>SUM(K285:K286)</f>
        <v>0</v>
      </c>
      <c r="G285" s="47">
        <f>SUMIF(JournalsA!D$14:D$920,TrialBalanceA!M285,JournalsA!J$14:J$920)+SUMIF(JournalsA!E$14:E$920,TrialBalanceA!M285,JournalsA!J$14:J$920)</f>
        <v>0</v>
      </c>
      <c r="H285" s="288"/>
      <c r="I285" s="255">
        <f t="shared" si="75"/>
        <v>0</v>
      </c>
      <c r="J285" s="75"/>
      <c r="K285" s="48">
        <f t="shared" si="76"/>
        <v>0</v>
      </c>
      <c r="M285" s="140" t="str">
        <f t="shared" si="77"/>
        <v>7000/002Goodwill - cost b/fwd</v>
      </c>
      <c r="N285" s="70"/>
      <c r="P285" s="71"/>
      <c r="Q285" s="51"/>
      <c r="R285" s="31"/>
    </row>
    <row r="286" spans="1:18" x14ac:dyDescent="0.2">
      <c r="A286" s="238"/>
      <c r="B286" s="90" t="s">
        <v>888</v>
      </c>
      <c r="C286" s="242" t="s">
        <v>889</v>
      </c>
      <c r="D286" s="283"/>
      <c r="E286" s="272"/>
      <c r="F286" s="79"/>
      <c r="G286" s="47">
        <f>SUMIF(JournalsA!D$14:D$920,TrialBalanceA!M286,JournalsA!J$14:J$920)+SUMIF(JournalsA!E$14:E$920,TrialBalanceA!M286,JournalsA!J$14:J$920)</f>
        <v>0</v>
      </c>
      <c r="H286" s="288"/>
      <c r="I286" s="255">
        <f t="shared" si="75"/>
        <v>0</v>
      </c>
      <c r="J286" s="75"/>
      <c r="K286" s="48">
        <f t="shared" si="76"/>
        <v>0</v>
      </c>
      <c r="M286" s="140" t="str">
        <f t="shared" si="77"/>
        <v>7000/003Goodwill - additions</v>
      </c>
      <c r="N286" s="70"/>
      <c r="P286" s="71"/>
      <c r="Q286" s="51"/>
      <c r="R286" s="31"/>
    </row>
    <row r="287" spans="1:18" x14ac:dyDescent="0.2">
      <c r="A287" s="238"/>
      <c r="B287" s="90" t="s">
        <v>890</v>
      </c>
      <c r="C287" s="239" t="s">
        <v>891</v>
      </c>
      <c r="D287" s="283"/>
      <c r="E287" s="272"/>
      <c r="F287" s="79"/>
      <c r="G287" s="47">
        <f>SUMIF(JournalsA!D$14:D$920,TrialBalanceA!M287,JournalsA!J$14:J$920)+SUMIF(JournalsA!E$14:E$920,TrialBalanceA!M287,JournalsA!J$14:J$920)</f>
        <v>0</v>
      </c>
      <c r="H287" s="288"/>
      <c r="I287" s="255">
        <f t="shared" si="75"/>
        <v>0</v>
      </c>
      <c r="J287" s="75"/>
      <c r="K287" s="48">
        <f t="shared" si="76"/>
        <v>0</v>
      </c>
      <c r="M287" s="140" t="str">
        <f t="shared" si="77"/>
        <v>7000/005GOODWILL - ACC AMORTISATION</v>
      </c>
      <c r="N287" s="70"/>
      <c r="P287" s="71"/>
      <c r="Q287" s="51"/>
      <c r="R287" s="31"/>
    </row>
    <row r="288" spans="1:18" x14ac:dyDescent="0.2">
      <c r="A288" s="238"/>
      <c r="B288" s="90" t="s">
        <v>892</v>
      </c>
      <c r="C288" s="242" t="s">
        <v>893</v>
      </c>
      <c r="D288" s="283"/>
      <c r="E288" s="272"/>
      <c r="F288" s="79">
        <f>SUM(K288:K289)</f>
        <v>0</v>
      </c>
      <c r="G288" s="47">
        <f>SUMIF(JournalsA!D$14:D$920,TrialBalanceA!M288,JournalsA!J$14:J$920)+SUMIF(JournalsA!E$14:E$920,TrialBalanceA!M288,JournalsA!J$14:J$920)</f>
        <v>0</v>
      </c>
      <c r="H288" s="288"/>
      <c r="I288" s="255">
        <f t="shared" si="75"/>
        <v>0</v>
      </c>
      <c r="J288" s="75"/>
      <c r="K288" s="48">
        <f t="shared" si="76"/>
        <v>0</v>
      </c>
      <c r="M288" s="140" t="str">
        <f t="shared" si="77"/>
        <v>7000/006Goodwill - acc amortisation b/fwd</v>
      </c>
      <c r="N288" s="70"/>
      <c r="P288" s="71"/>
      <c r="Q288" s="51"/>
      <c r="R288" s="31"/>
    </row>
    <row r="289" spans="1:18" x14ac:dyDescent="0.2">
      <c r="A289" s="238"/>
      <c r="B289" s="90" t="s">
        <v>894</v>
      </c>
      <c r="C289" s="242" t="s">
        <v>895</v>
      </c>
      <c r="D289" s="283"/>
      <c r="E289" s="272"/>
      <c r="F289" s="79"/>
      <c r="G289" s="47">
        <f>SUMIF(JournalsA!D$14:D$920,TrialBalanceA!M289,JournalsA!J$14:J$920)+SUMIF(JournalsA!E$14:E$920,TrialBalanceA!M289,JournalsA!J$14:J$920)</f>
        <v>0</v>
      </c>
      <c r="H289" s="288"/>
      <c r="I289" s="255">
        <f t="shared" si="75"/>
        <v>0</v>
      </c>
      <c r="J289" s="75"/>
      <c r="K289" s="48">
        <f t="shared" si="76"/>
        <v>0</v>
      </c>
      <c r="M289" s="140" t="str">
        <f t="shared" si="77"/>
        <v>7000/007Goodwill - amortisation this year</v>
      </c>
      <c r="N289" s="70"/>
      <c r="P289" s="71"/>
      <c r="Q289" s="51"/>
      <c r="R289" s="31"/>
    </row>
    <row r="290" spans="1:18" x14ac:dyDescent="0.2">
      <c r="A290" s="238"/>
      <c r="B290" s="90" t="s">
        <v>436</v>
      </c>
      <c r="C290" s="239" t="s">
        <v>896</v>
      </c>
      <c r="D290" s="283"/>
      <c r="E290" s="272"/>
      <c r="F290" s="79"/>
      <c r="G290" s="47">
        <f>SUMIF(JournalsA!D$14:D$920,TrialBalanceA!M290,JournalsA!J$14:J$920)+SUMIF(JournalsA!E$14:E$920,TrialBalanceA!M290,JournalsA!J$14:J$920)</f>
        <v>0</v>
      </c>
      <c r="H290" s="288"/>
      <c r="I290" s="255">
        <f t="shared" si="75"/>
        <v>0</v>
      </c>
      <c r="J290" s="75"/>
      <c r="K290" s="48">
        <f t="shared" si="76"/>
        <v>0</v>
      </c>
      <c r="M290" s="140" t="str">
        <f t="shared" si="77"/>
        <v>7000/010GOODWILL - IMPAIRMENT</v>
      </c>
      <c r="N290" s="70"/>
      <c r="P290" s="71"/>
      <c r="Q290" s="51"/>
      <c r="R290" s="31"/>
    </row>
    <row r="291" spans="1:18" x14ac:dyDescent="0.2">
      <c r="A291" s="238"/>
      <c r="B291" s="90" t="s">
        <v>611</v>
      </c>
      <c r="C291" s="242" t="s">
        <v>897</v>
      </c>
      <c r="D291" s="283"/>
      <c r="E291" s="272"/>
      <c r="F291" s="79">
        <f>SUM(K291:K292)</f>
        <v>0</v>
      </c>
      <c r="G291" s="47">
        <f>SUMIF(JournalsA!D$14:D$920,TrialBalanceA!M291,JournalsA!J$14:J$920)+SUMIF(JournalsA!E$14:E$920,TrialBalanceA!M291,JournalsA!J$14:J$920)</f>
        <v>0</v>
      </c>
      <c r="H291" s="288"/>
      <c r="I291" s="255">
        <f t="shared" si="75"/>
        <v>0</v>
      </c>
      <c r="J291" s="75"/>
      <c r="K291" s="48">
        <f t="shared" si="76"/>
        <v>0</v>
      </c>
      <c r="M291" s="140" t="str">
        <f t="shared" si="77"/>
        <v>7000/011Goodwill - impairment loss b/fwd</v>
      </c>
      <c r="N291" s="70"/>
      <c r="P291" s="71"/>
      <c r="Q291" s="51"/>
      <c r="R291" s="31"/>
    </row>
    <row r="292" spans="1:18" x14ac:dyDescent="0.2">
      <c r="A292" s="238"/>
      <c r="B292" s="90" t="s">
        <v>898</v>
      </c>
      <c r="C292" s="242" t="s">
        <v>899</v>
      </c>
      <c r="D292" s="283"/>
      <c r="E292" s="272"/>
      <c r="F292" s="79"/>
      <c r="G292" s="47">
        <f>SUMIF(JournalsA!D$14:D$920,TrialBalanceA!M292,JournalsA!J$14:J$920)+SUMIF(JournalsA!E$14:E$920,TrialBalanceA!M292,JournalsA!J$14:J$920)</f>
        <v>0</v>
      </c>
      <c r="H292" s="288"/>
      <c r="I292" s="255">
        <f t="shared" si="75"/>
        <v>0</v>
      </c>
      <c r="J292" s="75"/>
      <c r="K292" s="48">
        <f t="shared" si="76"/>
        <v>0</v>
      </c>
      <c r="M292" s="140" t="str">
        <f t="shared" si="77"/>
        <v>7000/012Goodwill - impairment loss this year</v>
      </c>
      <c r="N292" s="70"/>
      <c r="P292" s="71"/>
      <c r="Q292" s="51"/>
      <c r="R292" s="31"/>
    </row>
    <row r="293" spans="1:18" x14ac:dyDescent="0.2">
      <c r="A293" s="238"/>
      <c r="B293" s="90" t="s">
        <v>900</v>
      </c>
      <c r="C293" s="239" t="s">
        <v>901</v>
      </c>
      <c r="D293" s="283"/>
      <c r="E293" s="272"/>
      <c r="F293" s="79"/>
      <c r="G293" s="47">
        <f>SUMIF(JournalsA!D$14:D$920,TrialBalanceA!M293,JournalsA!J$14:J$920)+SUMIF(JournalsA!E$14:E$920,TrialBalanceA!M293,JournalsA!J$14:J$920)</f>
        <v>0</v>
      </c>
      <c r="H293" s="288"/>
      <c r="I293" s="255">
        <f t="shared" si="75"/>
        <v>0</v>
      </c>
      <c r="J293" s="75"/>
      <c r="K293" s="48">
        <f t="shared" si="76"/>
        <v>0</v>
      </c>
      <c r="M293" s="140" t="str">
        <f t="shared" si="77"/>
        <v>7000/021PREPAID LEASE AGREEMENT - COST</v>
      </c>
      <c r="N293" s="70"/>
      <c r="P293" s="71"/>
      <c r="Q293" s="51"/>
      <c r="R293" s="31"/>
    </row>
    <row r="294" spans="1:18" x14ac:dyDescent="0.2">
      <c r="A294" s="238"/>
      <c r="B294" s="90" t="s">
        <v>902</v>
      </c>
      <c r="C294" s="242" t="s">
        <v>903</v>
      </c>
      <c r="D294" s="283"/>
      <c r="E294" s="272"/>
      <c r="F294" s="79">
        <f>SUM(K294:K295)</f>
        <v>0</v>
      </c>
      <c r="G294" s="47">
        <f>SUMIF(JournalsA!D$14:D$920,TrialBalanceA!M294,JournalsA!J$14:J$920)+SUMIF(JournalsA!E$14:E$920,TrialBalanceA!M294,JournalsA!J$14:J$920)</f>
        <v>0</v>
      </c>
      <c r="H294" s="288"/>
      <c r="I294" s="255">
        <f t="shared" si="75"/>
        <v>0</v>
      </c>
      <c r="J294" s="75"/>
      <c r="K294" s="48">
        <f t="shared" si="76"/>
        <v>0</v>
      </c>
      <c r="M294" s="140" t="str">
        <f t="shared" si="77"/>
        <v>7000/022Prepaid lease agreement - cost b/fwd</v>
      </c>
      <c r="N294" s="70"/>
      <c r="P294" s="71"/>
      <c r="Q294" s="51"/>
      <c r="R294" s="31"/>
    </row>
    <row r="295" spans="1:18" x14ac:dyDescent="0.2">
      <c r="A295" s="238"/>
      <c r="B295" s="90" t="s">
        <v>904</v>
      </c>
      <c r="C295" s="242" t="s">
        <v>905</v>
      </c>
      <c r="D295" s="283"/>
      <c r="E295" s="272"/>
      <c r="F295" s="79"/>
      <c r="G295" s="47">
        <f>SUMIF(JournalsA!D$14:D$920,TrialBalanceA!M295,JournalsA!J$14:J$920)+SUMIF(JournalsA!E$14:E$920,TrialBalanceA!M295,JournalsA!J$14:J$920)</f>
        <v>0</v>
      </c>
      <c r="H295" s="288"/>
      <c r="I295" s="255">
        <f t="shared" si="75"/>
        <v>0</v>
      </c>
      <c r="J295" s="75"/>
      <c r="K295" s="48">
        <f t="shared" si="76"/>
        <v>0</v>
      </c>
      <c r="M295" s="140" t="str">
        <f t="shared" si="77"/>
        <v>7000/023Prepaid lease agreement - additions</v>
      </c>
      <c r="N295" s="70"/>
      <c r="P295" s="71"/>
      <c r="Q295" s="51"/>
      <c r="R295" s="31"/>
    </row>
    <row r="296" spans="1:18" x14ac:dyDescent="0.2">
      <c r="A296" s="238"/>
      <c r="B296" s="90" t="s">
        <v>437</v>
      </c>
      <c r="C296" s="239" t="s">
        <v>906</v>
      </c>
      <c r="D296" s="283"/>
      <c r="E296" s="272"/>
      <c r="F296" s="79"/>
      <c r="G296" s="47">
        <f>SUMIF(JournalsA!D$14:D$920,TrialBalanceA!M296,JournalsA!J$14:J$920)+SUMIF(JournalsA!E$14:E$920,TrialBalanceA!M296,JournalsA!J$14:J$920)</f>
        <v>0</v>
      </c>
      <c r="H296" s="288"/>
      <c r="I296" s="255">
        <f t="shared" si="75"/>
        <v>0</v>
      </c>
      <c r="J296" s="75"/>
      <c r="K296" s="48">
        <f t="shared" si="76"/>
        <v>0</v>
      </c>
      <c r="M296" s="140" t="str">
        <f t="shared" si="77"/>
        <v>7000/025PREPAID LEASE AGREEMENT - ACC AMORTISATION</v>
      </c>
      <c r="N296" s="70"/>
      <c r="P296" s="71"/>
      <c r="Q296" s="51"/>
      <c r="R296" s="31"/>
    </row>
    <row r="297" spans="1:18" x14ac:dyDescent="0.2">
      <c r="A297" s="238"/>
      <c r="B297" s="90" t="s">
        <v>907</v>
      </c>
      <c r="C297" s="242" t="s">
        <v>908</v>
      </c>
      <c r="D297" s="283"/>
      <c r="E297" s="272"/>
      <c r="F297" s="79">
        <f>SUM(K297:K298)</f>
        <v>0</v>
      </c>
      <c r="G297" s="47">
        <f>SUMIF(JournalsA!D$14:D$920,TrialBalanceA!M297,JournalsA!J$14:J$920)+SUMIF(JournalsA!E$14:E$920,TrialBalanceA!M297,JournalsA!J$14:J$920)</f>
        <v>0</v>
      </c>
      <c r="H297" s="288"/>
      <c r="I297" s="255">
        <f t="shared" si="75"/>
        <v>0</v>
      </c>
      <c r="J297" s="75"/>
      <c r="K297" s="48">
        <f t="shared" si="76"/>
        <v>0</v>
      </c>
      <c r="M297" s="140" t="str">
        <f t="shared" si="77"/>
        <v>7000/026Prepaid lease agreement - acc amortisation b/fwd</v>
      </c>
      <c r="N297" s="70"/>
      <c r="P297" s="71"/>
      <c r="Q297" s="51"/>
      <c r="R297" s="31"/>
    </row>
    <row r="298" spans="1:18" x14ac:dyDescent="0.2">
      <c r="A298" s="238"/>
      <c r="B298" s="90" t="s">
        <v>909</v>
      </c>
      <c r="C298" s="242" t="s">
        <v>910</v>
      </c>
      <c r="D298" s="283"/>
      <c r="E298" s="272"/>
      <c r="F298" s="79"/>
      <c r="G298" s="47">
        <f>SUMIF(JournalsA!D$14:D$920,TrialBalanceA!M298,JournalsA!J$14:J$920)+SUMIF(JournalsA!E$14:E$920,TrialBalanceA!M298,JournalsA!J$14:J$920)</f>
        <v>0</v>
      </c>
      <c r="H298" s="288"/>
      <c r="I298" s="255">
        <f t="shared" si="75"/>
        <v>0</v>
      </c>
      <c r="J298" s="75"/>
      <c r="K298" s="48">
        <f t="shared" si="76"/>
        <v>0</v>
      </c>
      <c r="M298" s="140" t="str">
        <f t="shared" si="77"/>
        <v>7000/027Prepaid lease agreement - amortisation this year</v>
      </c>
      <c r="N298" s="70"/>
      <c r="P298" s="71"/>
      <c r="Q298" s="51"/>
      <c r="R298" s="31"/>
    </row>
    <row r="299" spans="1:18" x14ac:dyDescent="0.2">
      <c r="A299" s="238"/>
      <c r="B299" s="90" t="s">
        <v>911</v>
      </c>
      <c r="C299" s="239" t="s">
        <v>912</v>
      </c>
      <c r="D299" s="283"/>
      <c r="E299" s="272"/>
      <c r="F299" s="79"/>
      <c r="G299" s="47">
        <f>SUMIF(JournalsA!D$14:D$920,TrialBalanceA!M299,JournalsA!J$14:J$920)+SUMIF(JournalsA!E$14:E$920,TrialBalanceA!M299,JournalsA!J$14:J$920)</f>
        <v>0</v>
      </c>
      <c r="H299" s="288"/>
      <c r="I299" s="255">
        <f t="shared" si="75"/>
        <v>0</v>
      </c>
      <c r="J299" s="75"/>
      <c r="K299" s="48">
        <f t="shared" si="76"/>
        <v>0</v>
      </c>
      <c r="M299" s="140" t="str">
        <f t="shared" si="77"/>
        <v>7000/030PREPAID LEASE AGREEMENT - IMPAIRMENT</v>
      </c>
      <c r="N299" s="70"/>
      <c r="P299" s="71"/>
      <c r="Q299" s="51"/>
      <c r="R299" s="31"/>
    </row>
    <row r="300" spans="1:18" x14ac:dyDescent="0.2">
      <c r="A300" s="238"/>
      <c r="B300" s="90" t="s">
        <v>913</v>
      </c>
      <c r="C300" s="242" t="s">
        <v>914</v>
      </c>
      <c r="D300" s="283"/>
      <c r="E300" s="272"/>
      <c r="F300" s="79">
        <f>SUM(K300:K301)</f>
        <v>0</v>
      </c>
      <c r="G300" s="47">
        <f>SUMIF(JournalsA!D$14:D$920,TrialBalanceA!M300,JournalsA!J$14:J$920)+SUMIF(JournalsA!E$14:E$920,TrialBalanceA!M300,JournalsA!J$14:J$920)</f>
        <v>0</v>
      </c>
      <c r="H300" s="288"/>
      <c r="I300" s="255">
        <f t="shared" si="75"/>
        <v>0</v>
      </c>
      <c r="J300" s="75"/>
      <c r="K300" s="48">
        <f t="shared" si="76"/>
        <v>0</v>
      </c>
      <c r="M300" s="140" t="str">
        <f t="shared" si="77"/>
        <v>7000/031Prepaid lease agreement - impairment loss b/fwd</v>
      </c>
      <c r="N300" s="70"/>
      <c r="P300" s="71"/>
      <c r="Q300" s="51"/>
      <c r="R300" s="31"/>
    </row>
    <row r="301" spans="1:18" x14ac:dyDescent="0.2">
      <c r="A301" s="238"/>
      <c r="B301" s="90" t="s">
        <v>915</v>
      </c>
      <c r="C301" s="242" t="s">
        <v>916</v>
      </c>
      <c r="D301" s="283"/>
      <c r="E301" s="272"/>
      <c r="F301" s="79"/>
      <c r="G301" s="47">
        <f>SUMIF(JournalsA!D$14:D$920,TrialBalanceA!M301,JournalsA!J$14:J$920)+SUMIF(JournalsA!E$14:E$920,TrialBalanceA!M301,JournalsA!J$14:J$920)</f>
        <v>0</v>
      </c>
      <c r="H301" s="288"/>
      <c r="I301" s="255">
        <f t="shared" si="75"/>
        <v>0</v>
      </c>
      <c r="J301" s="75"/>
      <c r="K301" s="48">
        <f t="shared" si="76"/>
        <v>0</v>
      </c>
      <c r="M301" s="140" t="str">
        <f t="shared" si="77"/>
        <v>7000/032Prepaid lease agreement - impairment loss this year</v>
      </c>
      <c r="N301" s="70"/>
      <c r="P301" s="71"/>
      <c r="Q301" s="51"/>
      <c r="R301" s="31"/>
    </row>
    <row r="302" spans="1:18" x14ac:dyDescent="0.2">
      <c r="A302" s="238"/>
      <c r="B302" s="54" t="s">
        <v>438</v>
      </c>
      <c r="C302" s="239" t="s">
        <v>155</v>
      </c>
      <c r="D302" s="283"/>
      <c r="E302" s="272"/>
      <c r="F302" s="79"/>
      <c r="G302" s="47">
        <f>SUMIF(JournalsA!D$14:D$920,TrialBalanceA!M302,JournalsA!J$14:J$920)+SUMIF(JournalsA!E$14:E$920,TrialBalanceA!M302,JournalsA!J$14:J$920)</f>
        <v>0</v>
      </c>
      <c r="H302" s="288"/>
      <c r="I302" s="255">
        <f t="shared" ref="I302:I316" si="78">ROUND(D302-E302+G302+F302,0)</f>
        <v>0</v>
      </c>
      <c r="J302" s="75"/>
      <c r="K302" s="48">
        <f t="shared" ref="K302:K316" si="79">ROUND(SUM(A302),0)</f>
        <v>0</v>
      </c>
      <c r="M302" s="140" t="str">
        <f t="shared" ref="M302:M369" si="80">CONCATENATE(B302,C302)</f>
        <v>7100/000INVESTMENTS</v>
      </c>
      <c r="N302" s="70"/>
      <c r="P302" s="71"/>
      <c r="Q302" s="51"/>
      <c r="R302" s="31"/>
    </row>
    <row r="303" spans="1:18" x14ac:dyDescent="0.2">
      <c r="A303" s="238"/>
      <c r="B303" s="90" t="s">
        <v>845</v>
      </c>
      <c r="C303" s="242" t="s">
        <v>846</v>
      </c>
      <c r="D303" s="283"/>
      <c r="E303" s="272"/>
      <c r="F303" s="79"/>
      <c r="G303" s="47">
        <f>SUMIF(JournalsA!D$14:D$920,TrialBalanceA!M303,JournalsA!J$14:J$920)+SUMIF(JournalsA!E$14:E$920,TrialBalanceA!M303,JournalsA!J$14:J$920)</f>
        <v>0</v>
      </c>
      <c r="H303" s="288"/>
      <c r="I303" s="255">
        <f t="shared" ref="I303:I306" si="81">ROUND(D303-E303+G303+F303,0)</f>
        <v>0</v>
      </c>
      <c r="J303" s="75"/>
      <c r="K303" s="48">
        <f t="shared" ref="K303:K306" si="82">ROUND(SUM(A303),0)</f>
        <v>0</v>
      </c>
      <c r="M303" s="140" t="str">
        <f t="shared" ref="M303:M306" si="83">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SUMIF(JournalsA!D$14:D$920,TrialBalanceA!M304,JournalsA!J$14:J$920)+SUMIF(JournalsA!E$14:E$920,TrialBalanceA!M304,JournalsA!J$14:J$920)</f>
        <v>0</v>
      </c>
      <c r="H304" s="288"/>
      <c r="I304" s="255">
        <f t="shared" si="81"/>
        <v>0</v>
      </c>
      <c r="J304" s="75"/>
      <c r="K304" s="48">
        <f t="shared" si="82"/>
        <v>0</v>
      </c>
      <c r="M304" s="140" t="str">
        <f t="shared" si="83"/>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SUMIF(JournalsA!D$14:D$920,TrialBalanceA!M305,JournalsA!J$14:J$920)+SUMIF(JournalsA!E$14:E$920,TrialBalanceA!M305,JournalsA!J$14:J$920)</f>
        <v>0</v>
      </c>
      <c r="H305" s="288"/>
      <c r="I305" s="255">
        <f t="shared" si="81"/>
        <v>0</v>
      </c>
      <c r="J305" s="75"/>
      <c r="K305" s="48">
        <f t="shared" si="82"/>
        <v>0</v>
      </c>
      <c r="M305" s="140" t="str">
        <f t="shared" si="83"/>
        <v>7100/0520</v>
      </c>
      <c r="N305" s="70"/>
      <c r="P305" s="71"/>
      <c r="Q305" s="51"/>
      <c r="R305" s="31"/>
    </row>
    <row r="306" spans="1:18" x14ac:dyDescent="0.2">
      <c r="A306" s="238"/>
      <c r="B306" s="90" t="s">
        <v>849</v>
      </c>
      <c r="C306" s="276">
        <f>TrialBalance!C306</f>
        <v>0</v>
      </c>
      <c r="D306" s="250"/>
      <c r="E306" s="251"/>
      <c r="F306" s="79">
        <f>K306</f>
        <v>0</v>
      </c>
      <c r="G306" s="47">
        <f>SUMIF(JournalsA!D$14:D$920,TrialBalanceA!M306,JournalsA!J$14:J$920)+SUMIF(JournalsA!E$14:E$920,TrialBalanceA!M306,JournalsA!J$14:J$920)</f>
        <v>0</v>
      </c>
      <c r="H306" s="288"/>
      <c r="I306" s="255">
        <f t="shared" si="81"/>
        <v>0</v>
      </c>
      <c r="J306" s="75"/>
      <c r="K306" s="48">
        <f t="shared" si="82"/>
        <v>0</v>
      </c>
      <c r="M306" s="140" t="str">
        <f t="shared" si="83"/>
        <v>7100/0530</v>
      </c>
      <c r="N306" s="70"/>
      <c r="P306" s="71"/>
      <c r="Q306" s="51"/>
      <c r="R306" s="31"/>
    </row>
    <row r="307" spans="1:18" x14ac:dyDescent="0.2">
      <c r="A307" s="238"/>
      <c r="B307" s="54" t="s">
        <v>439</v>
      </c>
      <c r="C307" s="240" t="s">
        <v>440</v>
      </c>
      <c r="D307" s="282"/>
      <c r="E307" s="272"/>
      <c r="F307" s="79"/>
      <c r="G307" s="47">
        <f>SUMIF(JournalsA!D$14:D$920,TrialBalanceA!M307,JournalsA!J$14:J$920)+SUMIF(JournalsA!E$14:E$920,TrialBalanceA!M307,JournalsA!J$14:J$920)</f>
        <v>0</v>
      </c>
      <c r="H307" s="288"/>
      <c r="I307" s="255">
        <f t="shared" si="78"/>
        <v>0</v>
      </c>
      <c r="J307" s="75"/>
      <c r="K307" s="48">
        <f t="shared" si="79"/>
        <v>0</v>
      </c>
      <c r="M307" s="140" t="str">
        <f t="shared" si="80"/>
        <v>7100/100LISTED INVESTMENTS</v>
      </c>
      <c r="N307" s="70"/>
      <c r="P307" s="71"/>
      <c r="Q307" s="51"/>
      <c r="R307" s="31"/>
    </row>
    <row r="308" spans="1:18" x14ac:dyDescent="0.2">
      <c r="A308" s="238"/>
      <c r="B308" s="54" t="s">
        <v>441</v>
      </c>
      <c r="C308" s="276">
        <f>TrialBalance!C308</f>
        <v>0</v>
      </c>
      <c r="D308" s="282"/>
      <c r="E308" s="272"/>
      <c r="F308" s="79">
        <f>K308</f>
        <v>0</v>
      </c>
      <c r="G308" s="47">
        <f>SUMIF(JournalsA!D$14:D$920,TrialBalanceA!M308,JournalsA!J$14:J$920)+SUMIF(JournalsA!E$14:E$920,TrialBalanceA!M308,JournalsA!J$14:J$920)</f>
        <v>0</v>
      </c>
      <c r="H308" s="288"/>
      <c r="I308" s="255">
        <f t="shared" si="78"/>
        <v>0</v>
      </c>
      <c r="J308" s="75"/>
      <c r="K308" s="48">
        <f t="shared" si="79"/>
        <v>0</v>
      </c>
      <c r="M308" s="140" t="str">
        <f t="shared" si="80"/>
        <v>7100/1010</v>
      </c>
      <c r="N308" s="70"/>
      <c r="P308" s="71"/>
      <c r="Q308" s="51"/>
      <c r="R308" s="31"/>
    </row>
    <row r="309" spans="1:18" x14ac:dyDescent="0.2">
      <c r="A309" s="238"/>
      <c r="B309" s="54" t="s">
        <v>442</v>
      </c>
      <c r="C309" s="276">
        <f>TrialBalance!C309</f>
        <v>0</v>
      </c>
      <c r="D309" s="282"/>
      <c r="E309" s="272"/>
      <c r="F309" s="79">
        <f t="shared" ref="F309:F377" si="84">K309</f>
        <v>0</v>
      </c>
      <c r="G309" s="47">
        <f>SUMIF(JournalsA!D$14:D$920,TrialBalanceA!M309,JournalsA!J$14:J$920)+SUMIF(JournalsA!E$14:E$920,TrialBalanceA!M309,JournalsA!J$14:J$920)</f>
        <v>0</v>
      </c>
      <c r="H309" s="288"/>
      <c r="I309" s="255">
        <f t="shared" si="78"/>
        <v>0</v>
      </c>
      <c r="J309" s="75"/>
      <c r="K309" s="48">
        <f t="shared" si="79"/>
        <v>0</v>
      </c>
      <c r="M309" s="140" t="str">
        <f t="shared" si="80"/>
        <v>7100/1020</v>
      </c>
      <c r="N309" s="70"/>
      <c r="P309" s="71"/>
      <c r="Q309" s="51"/>
      <c r="R309" s="31"/>
    </row>
    <row r="310" spans="1:18" x14ac:dyDescent="0.2">
      <c r="A310" s="238"/>
      <c r="B310" s="54" t="s">
        <v>443</v>
      </c>
      <c r="C310" s="276">
        <f>TrialBalance!C310</f>
        <v>0</v>
      </c>
      <c r="D310" s="282"/>
      <c r="E310" s="272"/>
      <c r="F310" s="79">
        <f t="shared" si="84"/>
        <v>0</v>
      </c>
      <c r="G310" s="47">
        <f>SUMIF(JournalsA!D$14:D$920,TrialBalanceA!M310,JournalsA!J$14:J$920)+SUMIF(JournalsA!E$14:E$920,TrialBalanceA!M310,JournalsA!J$14:J$920)</f>
        <v>0</v>
      </c>
      <c r="H310" s="288"/>
      <c r="I310" s="255">
        <f t="shared" si="78"/>
        <v>0</v>
      </c>
      <c r="J310" s="75"/>
      <c r="K310" s="48">
        <f t="shared" si="79"/>
        <v>0</v>
      </c>
      <c r="M310" s="140" t="str">
        <f t="shared" si="80"/>
        <v>7100/1030</v>
      </c>
      <c r="N310" s="70"/>
      <c r="P310" s="71"/>
      <c r="Q310" s="51"/>
      <c r="R310" s="31"/>
    </row>
    <row r="311" spans="1:18" x14ac:dyDescent="0.2">
      <c r="A311" s="238"/>
      <c r="B311" s="54" t="s">
        <v>444</v>
      </c>
      <c r="C311" s="276">
        <f>TrialBalance!C311</f>
        <v>0</v>
      </c>
      <c r="D311" s="282"/>
      <c r="E311" s="272"/>
      <c r="F311" s="79">
        <f t="shared" si="84"/>
        <v>0</v>
      </c>
      <c r="G311" s="47">
        <f>SUMIF(JournalsA!D$14:D$920,TrialBalanceA!M311,JournalsA!J$14:J$920)+SUMIF(JournalsA!E$14:E$920,TrialBalanceA!M311,JournalsA!J$14:J$920)</f>
        <v>0</v>
      </c>
      <c r="H311" s="288"/>
      <c r="I311" s="255">
        <f t="shared" si="78"/>
        <v>0</v>
      </c>
      <c r="J311" s="75"/>
      <c r="K311" s="48">
        <f t="shared" si="79"/>
        <v>0</v>
      </c>
      <c r="M311" s="140" t="str">
        <f t="shared" si="80"/>
        <v>7100/1040</v>
      </c>
      <c r="N311" s="70"/>
      <c r="P311" s="71"/>
      <c r="Q311" s="51"/>
      <c r="R311" s="31"/>
    </row>
    <row r="312" spans="1:18" x14ac:dyDescent="0.2">
      <c r="A312" s="238"/>
      <c r="B312" s="54" t="s">
        <v>445</v>
      </c>
      <c r="C312" s="276">
        <f>TrialBalance!C312</f>
        <v>0</v>
      </c>
      <c r="D312" s="282"/>
      <c r="E312" s="272"/>
      <c r="F312" s="79">
        <f t="shared" si="84"/>
        <v>0</v>
      </c>
      <c r="G312" s="47">
        <f>SUMIF(JournalsA!D$14:D$920,TrialBalanceA!M312,JournalsA!J$14:J$920)+SUMIF(JournalsA!E$14:E$920,TrialBalanceA!M312,JournalsA!J$14:J$920)</f>
        <v>0</v>
      </c>
      <c r="H312" s="288"/>
      <c r="I312" s="255">
        <f t="shared" si="78"/>
        <v>0</v>
      </c>
      <c r="J312" s="75"/>
      <c r="K312" s="48">
        <f t="shared" si="79"/>
        <v>0</v>
      </c>
      <c r="M312" s="140" t="str">
        <f t="shared" si="80"/>
        <v>7100/1050</v>
      </c>
      <c r="N312" s="70"/>
      <c r="P312" s="71"/>
      <c r="Q312" s="51"/>
      <c r="R312" s="31"/>
    </row>
    <row r="313" spans="1:18" x14ac:dyDescent="0.2">
      <c r="A313" s="238"/>
      <c r="B313" s="54" t="s">
        <v>446</v>
      </c>
      <c r="C313" s="239" t="s">
        <v>347</v>
      </c>
      <c r="D313" s="284"/>
      <c r="E313" s="272"/>
      <c r="F313" s="79"/>
      <c r="G313" s="47">
        <f>SUMIF(JournalsA!D$14:D$920,TrialBalanceA!M313,JournalsA!J$14:J$920)+SUMIF(JournalsA!E$14:E$920,TrialBalanceA!M313,JournalsA!J$14:J$920)</f>
        <v>0</v>
      </c>
      <c r="H313" s="288"/>
      <c r="I313" s="255">
        <f t="shared" si="78"/>
        <v>0</v>
      </c>
      <c r="J313" s="75"/>
      <c r="K313" s="48">
        <f t="shared" si="79"/>
        <v>0</v>
      </c>
      <c r="M313" s="140" t="str">
        <f t="shared" si="80"/>
        <v>7100/200OTHER INVESTMENTS</v>
      </c>
      <c r="N313" s="70"/>
      <c r="P313" s="71"/>
      <c r="Q313" s="51"/>
      <c r="R313" s="31"/>
    </row>
    <row r="314" spans="1:18" x14ac:dyDescent="0.2">
      <c r="A314" s="238"/>
      <c r="B314" s="54" t="s">
        <v>447</v>
      </c>
      <c r="C314" s="276">
        <f>TrialBalance!C314</f>
        <v>0</v>
      </c>
      <c r="D314" s="284"/>
      <c r="E314" s="272"/>
      <c r="F314" s="79">
        <f t="shared" si="84"/>
        <v>0</v>
      </c>
      <c r="G314" s="47">
        <f>SUMIF(JournalsA!D$14:D$920,TrialBalanceA!M314,JournalsA!J$14:J$920)+SUMIF(JournalsA!E$14:E$920,TrialBalanceA!M314,JournalsA!J$14:J$920)</f>
        <v>0</v>
      </c>
      <c r="H314" s="288"/>
      <c r="I314" s="255">
        <f t="shared" si="78"/>
        <v>0</v>
      </c>
      <c r="J314" s="75"/>
      <c r="K314" s="48">
        <f t="shared" si="79"/>
        <v>0</v>
      </c>
      <c r="M314" s="140" t="str">
        <f t="shared" si="80"/>
        <v>7100/2010</v>
      </c>
      <c r="N314" s="70"/>
      <c r="P314" s="71"/>
      <c r="Q314" s="51"/>
      <c r="R314" s="31"/>
    </row>
    <row r="315" spans="1:18" x14ac:dyDescent="0.2">
      <c r="A315" s="238"/>
      <c r="B315" s="54" t="s">
        <v>448</v>
      </c>
      <c r="C315" s="276">
        <f>TrialBalance!C315</f>
        <v>0</v>
      </c>
      <c r="D315" s="284"/>
      <c r="E315" s="272"/>
      <c r="F315" s="79">
        <f t="shared" si="84"/>
        <v>0</v>
      </c>
      <c r="G315" s="47">
        <f>SUMIF(JournalsA!D$14:D$920,TrialBalanceA!M315,JournalsA!J$14:J$920)+SUMIF(JournalsA!E$14:E$920,TrialBalanceA!M315,JournalsA!J$14:J$920)</f>
        <v>0</v>
      </c>
      <c r="H315" s="288"/>
      <c r="I315" s="255">
        <f t="shared" si="78"/>
        <v>0</v>
      </c>
      <c r="J315" s="75"/>
      <c r="K315" s="48">
        <f t="shared" si="79"/>
        <v>0</v>
      </c>
      <c r="M315" s="140" t="str">
        <f t="shared" si="80"/>
        <v>7100/2020</v>
      </c>
      <c r="N315" s="70"/>
      <c r="P315" s="71"/>
      <c r="Q315" s="51"/>
      <c r="R315" s="31"/>
    </row>
    <row r="316" spans="1:18" x14ac:dyDescent="0.2">
      <c r="A316" s="238"/>
      <c r="B316" s="54" t="s">
        <v>449</v>
      </c>
      <c r="C316" s="276">
        <f>TrialBalance!C316</f>
        <v>0</v>
      </c>
      <c r="D316" s="282"/>
      <c r="E316" s="272"/>
      <c r="F316" s="79">
        <f t="shared" si="84"/>
        <v>0</v>
      </c>
      <c r="G316" s="47">
        <f>SUMIF(JournalsA!D$14:D$920,TrialBalanceA!M316,JournalsA!J$14:J$920)+SUMIF(JournalsA!E$14:E$920,TrialBalanceA!M316,JournalsA!J$14:J$920)</f>
        <v>0</v>
      </c>
      <c r="H316" s="288"/>
      <c r="I316" s="255">
        <f t="shared" si="78"/>
        <v>0</v>
      </c>
      <c r="J316" s="75"/>
      <c r="K316" s="48">
        <f t="shared" si="79"/>
        <v>0</v>
      </c>
      <c r="M316" s="140" t="str">
        <f t="shared" si="80"/>
        <v>7100/2030</v>
      </c>
      <c r="N316" s="70"/>
      <c r="P316" s="71"/>
      <c r="Q316" s="51"/>
      <c r="R316" s="31"/>
    </row>
    <row r="317" spans="1:18" x14ac:dyDescent="0.2">
      <c r="A317" s="238"/>
      <c r="B317" s="54" t="s">
        <v>450</v>
      </c>
      <c r="C317" s="276">
        <f>TrialBalance!C317</f>
        <v>0</v>
      </c>
      <c r="D317" s="282"/>
      <c r="E317" s="272"/>
      <c r="F317" s="79">
        <f t="shared" si="84"/>
        <v>0</v>
      </c>
      <c r="G317" s="47">
        <f>SUMIF(JournalsA!D$14:D$920,TrialBalanceA!M317,JournalsA!J$14:J$920)+SUMIF(JournalsA!E$14:E$920,TrialBalanceA!M317,JournalsA!J$14:J$920)</f>
        <v>0</v>
      </c>
      <c r="H317" s="288"/>
      <c r="I317" s="255">
        <f t="shared" ref="I317:I368" si="85">ROUND(D317-E317+G317+F317,0)</f>
        <v>0</v>
      </c>
      <c r="J317" s="75"/>
      <c r="K317" s="48">
        <f t="shared" ref="K317:K368" si="86">ROUND(SUM(A317),0)</f>
        <v>0</v>
      </c>
      <c r="M317" s="140" t="str">
        <f t="shared" si="80"/>
        <v>7100/2040</v>
      </c>
      <c r="N317" s="70"/>
      <c r="P317" s="71"/>
      <c r="Q317" s="51"/>
      <c r="R317" s="31"/>
    </row>
    <row r="318" spans="1:18" x14ac:dyDescent="0.2">
      <c r="A318" s="238"/>
      <c r="B318" s="54" t="s">
        <v>142</v>
      </c>
      <c r="C318" s="276">
        <f>TrialBalance!C318</f>
        <v>0</v>
      </c>
      <c r="D318" s="282"/>
      <c r="E318" s="272"/>
      <c r="F318" s="79">
        <f t="shared" si="84"/>
        <v>0</v>
      </c>
      <c r="G318" s="47">
        <f>SUMIF(JournalsA!D$14:D$920,TrialBalanceA!M318,JournalsA!J$14:J$920)+SUMIF(JournalsA!E$14:E$920,TrialBalanceA!M318,JournalsA!J$14:J$920)</f>
        <v>0</v>
      </c>
      <c r="H318" s="288"/>
      <c r="I318" s="255">
        <f t="shared" si="85"/>
        <v>0</v>
      </c>
      <c r="J318" s="75"/>
      <c r="K318" s="48">
        <f t="shared" si="86"/>
        <v>0</v>
      </c>
      <c r="M318" s="140" t="str">
        <f t="shared" si="80"/>
        <v>7100/2050</v>
      </c>
      <c r="N318" s="70"/>
      <c r="P318" s="71"/>
      <c r="Q318" s="51"/>
      <c r="R318" s="31"/>
    </row>
    <row r="319" spans="1:18" x14ac:dyDescent="0.2">
      <c r="A319" s="238"/>
      <c r="B319" s="54" t="s">
        <v>143</v>
      </c>
      <c r="C319" s="242" t="s">
        <v>687</v>
      </c>
      <c r="D319" s="282"/>
      <c r="E319" s="272"/>
      <c r="F319" s="79"/>
      <c r="G319" s="47">
        <f>SUMIF(JournalsA!D$14:D$920,TrialBalanceA!M319,JournalsA!J$14:J$920)+SUMIF(JournalsA!E$14:E$920,TrialBalanceA!M319,JournalsA!J$14:J$920)</f>
        <v>0</v>
      </c>
      <c r="H319" s="288"/>
      <c r="I319" s="255">
        <f t="shared" si="85"/>
        <v>0</v>
      </c>
      <c r="J319" s="75"/>
      <c r="K319" s="48">
        <f t="shared" si="86"/>
        <v>0</v>
      </c>
      <c r="M319" s="140" t="str">
        <f t="shared" si="80"/>
        <v>7450/000CONNECTED ENTITIES LOANS</v>
      </c>
      <c r="N319" s="70"/>
      <c r="P319" s="71"/>
      <c r="Q319" s="51"/>
      <c r="R319" s="31"/>
    </row>
    <row r="320" spans="1:18" x14ac:dyDescent="0.2">
      <c r="A320" s="238"/>
      <c r="B320" s="54" t="s">
        <v>143</v>
      </c>
      <c r="C320" s="242" t="s">
        <v>637</v>
      </c>
      <c r="D320" s="282"/>
      <c r="E320" s="272"/>
      <c r="F320" s="79"/>
      <c r="G320" s="47">
        <f>SUMIF(JournalsA!D$14:D$920,TrialBalanceA!M320,JournalsA!J$14:J$920)+SUMIF(JournalsA!E$14:E$920,TrialBalanceA!M320,JournalsA!J$14:J$920)</f>
        <v>0</v>
      </c>
      <c r="H320" s="288"/>
      <c r="I320" s="255">
        <f t="shared" ref="I320" si="87">ROUND(D320-E320+G320+F320,0)</f>
        <v>0</v>
      </c>
      <c r="J320" s="75"/>
      <c r="K320" s="48">
        <f t="shared" ref="K320" si="88">ROUND(SUM(A320),0)</f>
        <v>0</v>
      </c>
      <c r="M320" s="140" t="str">
        <f t="shared" ref="M320" si="89">CONCATENATE(B320,C320)</f>
        <v>7450/000Interest bearing</v>
      </c>
      <c r="N320" s="70"/>
      <c r="P320" s="71"/>
      <c r="Q320" s="51"/>
      <c r="R320" s="31"/>
    </row>
    <row r="321" spans="1:18" x14ac:dyDescent="0.2">
      <c r="A321" s="238"/>
      <c r="B321" s="54" t="s">
        <v>144</v>
      </c>
      <c r="C321" s="276">
        <f>TrialBalance!C321</f>
        <v>0</v>
      </c>
      <c r="D321" s="284"/>
      <c r="E321" s="272"/>
      <c r="F321" s="79">
        <f t="shared" si="84"/>
        <v>0</v>
      </c>
      <c r="G321" s="47">
        <f>SUMIF(JournalsA!D$14:D$920,TrialBalanceA!M321,JournalsA!J$14:J$920)+SUMIF(JournalsA!E$14:E$920,TrialBalanceA!M321,JournalsA!J$14:J$920)</f>
        <v>0</v>
      </c>
      <c r="H321" s="288"/>
      <c r="I321" s="255">
        <f t="shared" si="85"/>
        <v>0</v>
      </c>
      <c r="J321" s="75"/>
      <c r="K321" s="48">
        <f t="shared" si="86"/>
        <v>0</v>
      </c>
      <c r="M321" s="140" t="str">
        <f t="shared" si="80"/>
        <v>7450/0010</v>
      </c>
      <c r="N321" s="70"/>
      <c r="P321" s="71"/>
      <c r="Q321" s="51"/>
      <c r="R321" s="31"/>
    </row>
    <row r="322" spans="1:18" x14ac:dyDescent="0.2">
      <c r="A322" s="238"/>
      <c r="B322" s="54" t="s">
        <v>145</v>
      </c>
      <c r="C322" s="276">
        <f>TrialBalance!C322</f>
        <v>0</v>
      </c>
      <c r="D322" s="284"/>
      <c r="E322" s="272"/>
      <c r="F322" s="79">
        <f t="shared" ref="F322:F323" si="90">K322</f>
        <v>0</v>
      </c>
      <c r="G322" s="47">
        <f>SUMIF(JournalsA!D$14:D$920,TrialBalanceA!M322,JournalsA!J$14:J$920)+SUMIF(JournalsA!E$14:E$920,TrialBalanceA!M322,JournalsA!J$14:J$920)</f>
        <v>0</v>
      </c>
      <c r="H322" s="288"/>
      <c r="I322" s="255">
        <f t="shared" ref="I322:I323" si="91">ROUND(D322-E322+G322+F322,0)</f>
        <v>0</v>
      </c>
      <c r="J322" s="75"/>
      <c r="K322" s="48">
        <f t="shared" ref="K322:K323" si="92">ROUND(SUM(A322),0)</f>
        <v>0</v>
      </c>
      <c r="M322" s="140" t="str">
        <f t="shared" ref="M322:M323" si="93">CONCATENATE(B322,C322)</f>
        <v>7450/0020</v>
      </c>
      <c r="N322" s="70"/>
      <c r="P322" s="71"/>
      <c r="Q322" s="51"/>
      <c r="R322" s="31"/>
    </row>
    <row r="323" spans="1:18" x14ac:dyDescent="0.2">
      <c r="A323" s="238"/>
      <c r="B323" s="90" t="s">
        <v>146</v>
      </c>
      <c r="C323" s="276">
        <f>TrialBalance!C323</f>
        <v>0</v>
      </c>
      <c r="D323" s="284"/>
      <c r="E323" s="272"/>
      <c r="F323" s="79">
        <f t="shared" si="90"/>
        <v>0</v>
      </c>
      <c r="G323" s="47">
        <f>SUMIF(JournalsA!D$14:D$920,TrialBalanceA!M323,JournalsA!J$14:J$920)+SUMIF(JournalsA!E$14:E$920,TrialBalanceA!M323,JournalsA!J$14:J$920)</f>
        <v>0</v>
      </c>
      <c r="H323" s="288"/>
      <c r="I323" s="255">
        <f t="shared" si="91"/>
        <v>0</v>
      </c>
      <c r="J323" s="75"/>
      <c r="K323" s="48">
        <f t="shared" si="92"/>
        <v>0</v>
      </c>
      <c r="M323" s="140" t="str">
        <f t="shared" si="93"/>
        <v>7450/0030</v>
      </c>
      <c r="N323" s="70"/>
      <c r="P323" s="71"/>
      <c r="Q323" s="51"/>
      <c r="R323" s="31"/>
    </row>
    <row r="324" spans="1:18" x14ac:dyDescent="0.2">
      <c r="A324" s="238"/>
      <c r="B324" s="90" t="s">
        <v>396</v>
      </c>
      <c r="C324" s="276">
        <f>TrialBalance!C324</f>
        <v>0</v>
      </c>
      <c r="D324" s="284"/>
      <c r="E324" s="272"/>
      <c r="F324" s="79">
        <f t="shared" ref="F324:F329" si="94">K324</f>
        <v>0</v>
      </c>
      <c r="G324" s="47">
        <f>SUMIF(JournalsA!D$14:D$920,TrialBalanceA!M324,JournalsA!J$14:J$920)+SUMIF(JournalsA!E$14:E$920,TrialBalanceA!M324,JournalsA!J$14:J$920)</f>
        <v>0</v>
      </c>
      <c r="H324" s="288"/>
      <c r="I324" s="255">
        <f t="shared" ref="I324:I329" si="95">ROUND(D324-E324+G324+F324,0)</f>
        <v>0</v>
      </c>
      <c r="J324" s="75"/>
      <c r="K324" s="48">
        <f t="shared" ref="K324:K329" si="96">ROUND(SUM(A324),0)</f>
        <v>0</v>
      </c>
      <c r="M324" s="140" t="str">
        <f t="shared" ref="M324:M329" si="97">CONCATENATE(B324,C324)</f>
        <v>7450/0040</v>
      </c>
      <c r="N324" s="70"/>
      <c r="P324" s="71"/>
      <c r="Q324" s="51"/>
      <c r="R324" s="31"/>
    </row>
    <row r="325" spans="1:18" x14ac:dyDescent="0.2">
      <c r="A325" s="238"/>
      <c r="B325" s="90" t="s">
        <v>265</v>
      </c>
      <c r="C325" s="276">
        <f>TrialBalance!C325</f>
        <v>0</v>
      </c>
      <c r="D325" s="284"/>
      <c r="E325" s="272"/>
      <c r="F325" s="79">
        <f t="shared" si="94"/>
        <v>0</v>
      </c>
      <c r="G325" s="47">
        <f>SUMIF(JournalsA!D$14:D$920,TrialBalanceA!M325,JournalsA!J$14:J$920)+SUMIF(JournalsA!E$14:E$920,TrialBalanceA!M325,JournalsA!J$14:J$920)</f>
        <v>0</v>
      </c>
      <c r="H325" s="288"/>
      <c r="I325" s="255">
        <f t="shared" si="95"/>
        <v>0</v>
      </c>
      <c r="J325" s="75"/>
      <c r="K325" s="48">
        <f t="shared" si="96"/>
        <v>0</v>
      </c>
      <c r="M325" s="140" t="str">
        <f t="shared" si="97"/>
        <v>7450/0050</v>
      </c>
      <c r="N325" s="70"/>
      <c r="P325" s="71"/>
      <c r="Q325" s="51"/>
      <c r="R325" s="31"/>
    </row>
    <row r="326" spans="1:18" x14ac:dyDescent="0.2">
      <c r="A326" s="238"/>
      <c r="B326" s="90" t="s">
        <v>707</v>
      </c>
      <c r="C326" s="276">
        <f>TrialBalance!C326</f>
        <v>0</v>
      </c>
      <c r="D326" s="284"/>
      <c r="E326" s="272"/>
      <c r="F326" s="79">
        <f t="shared" si="94"/>
        <v>0</v>
      </c>
      <c r="G326" s="47">
        <f>SUMIF(JournalsA!D$14:D$920,TrialBalanceA!M326,JournalsA!J$14:J$920)+SUMIF(JournalsA!E$14:E$920,TrialBalanceA!M326,JournalsA!J$14:J$920)</f>
        <v>0</v>
      </c>
      <c r="H326" s="288"/>
      <c r="I326" s="255">
        <f t="shared" si="95"/>
        <v>0</v>
      </c>
      <c r="J326" s="75"/>
      <c r="K326" s="48">
        <f t="shared" si="96"/>
        <v>0</v>
      </c>
      <c r="M326" s="140" t="str">
        <f t="shared" si="97"/>
        <v>7450/0060</v>
      </c>
      <c r="N326" s="70"/>
      <c r="P326" s="71"/>
      <c r="Q326" s="51"/>
      <c r="R326" s="31"/>
    </row>
    <row r="327" spans="1:18" x14ac:dyDescent="0.2">
      <c r="A327" s="238"/>
      <c r="B327" s="90" t="s">
        <v>795</v>
      </c>
      <c r="C327" s="276">
        <f>TrialBalance!C327</f>
        <v>0</v>
      </c>
      <c r="D327" s="284"/>
      <c r="E327" s="272"/>
      <c r="F327" s="79">
        <f t="shared" si="94"/>
        <v>0</v>
      </c>
      <c r="G327" s="47">
        <f>SUMIF(JournalsA!D$14:D$920,TrialBalanceA!M327,JournalsA!J$14:J$920)+SUMIF(JournalsA!E$14:E$920,TrialBalanceA!M327,JournalsA!J$14:J$920)</f>
        <v>0</v>
      </c>
      <c r="H327" s="288"/>
      <c r="I327" s="255">
        <f t="shared" si="95"/>
        <v>0</v>
      </c>
      <c r="J327" s="75"/>
      <c r="K327" s="48">
        <f t="shared" si="96"/>
        <v>0</v>
      </c>
      <c r="M327" s="140" t="str">
        <f t="shared" si="97"/>
        <v>7450/0070</v>
      </c>
      <c r="N327" s="70"/>
      <c r="P327" s="71"/>
      <c r="Q327" s="51"/>
      <c r="R327" s="31"/>
    </row>
    <row r="328" spans="1:18" x14ac:dyDescent="0.2">
      <c r="A328" s="238"/>
      <c r="B328" s="90" t="s">
        <v>796</v>
      </c>
      <c r="C328" s="276">
        <f>TrialBalance!C328</f>
        <v>0</v>
      </c>
      <c r="D328" s="284"/>
      <c r="E328" s="272"/>
      <c r="F328" s="79">
        <f t="shared" si="94"/>
        <v>0</v>
      </c>
      <c r="G328" s="47">
        <f>SUMIF(JournalsA!D$14:D$920,TrialBalanceA!M328,JournalsA!J$14:J$920)+SUMIF(JournalsA!E$14:E$920,TrialBalanceA!M328,JournalsA!J$14:J$920)</f>
        <v>0</v>
      </c>
      <c r="H328" s="288"/>
      <c r="I328" s="255">
        <f t="shared" si="95"/>
        <v>0</v>
      </c>
      <c r="J328" s="75"/>
      <c r="K328" s="48">
        <f t="shared" si="96"/>
        <v>0</v>
      </c>
      <c r="M328" s="140" t="str">
        <f t="shared" si="97"/>
        <v>7450/0080</v>
      </c>
      <c r="N328" s="70"/>
      <c r="P328" s="71"/>
      <c r="Q328" s="51"/>
      <c r="R328" s="31"/>
    </row>
    <row r="329" spans="1:18" x14ac:dyDescent="0.2">
      <c r="A329" s="238"/>
      <c r="B329" s="90" t="s">
        <v>797</v>
      </c>
      <c r="C329" s="276">
        <f>TrialBalance!C329</f>
        <v>0</v>
      </c>
      <c r="D329" s="284"/>
      <c r="E329" s="272"/>
      <c r="F329" s="79">
        <f t="shared" si="94"/>
        <v>0</v>
      </c>
      <c r="G329" s="47">
        <f>SUMIF(JournalsA!D$14:D$920,TrialBalanceA!M329,JournalsA!J$14:J$920)+SUMIF(JournalsA!E$14:E$920,TrialBalanceA!M329,JournalsA!J$14:J$920)</f>
        <v>0</v>
      </c>
      <c r="H329" s="288"/>
      <c r="I329" s="255">
        <f t="shared" si="95"/>
        <v>0</v>
      </c>
      <c r="J329" s="75"/>
      <c r="K329" s="48">
        <f t="shared" si="96"/>
        <v>0</v>
      </c>
      <c r="M329" s="140" t="str">
        <f t="shared" si="97"/>
        <v>7450/0090</v>
      </c>
      <c r="N329" s="70"/>
      <c r="P329" s="71"/>
      <c r="Q329" s="51"/>
      <c r="R329" s="31"/>
    </row>
    <row r="330" spans="1:18" x14ac:dyDescent="0.2">
      <c r="A330" s="238"/>
      <c r="B330" s="90" t="s">
        <v>798</v>
      </c>
      <c r="C330" s="276">
        <f>TrialBalance!C330</f>
        <v>0</v>
      </c>
      <c r="D330" s="282"/>
      <c r="E330" s="272"/>
      <c r="F330" s="79">
        <f t="shared" si="84"/>
        <v>0</v>
      </c>
      <c r="G330" s="47">
        <f>SUMIF(JournalsA!D$14:D$920,TrialBalanceA!M330,JournalsA!J$14:J$920)+SUMIF(JournalsA!E$14:E$920,TrialBalanceA!M330,JournalsA!J$14:J$920)</f>
        <v>0</v>
      </c>
      <c r="H330" s="288"/>
      <c r="I330" s="255">
        <f t="shared" si="85"/>
        <v>0</v>
      </c>
      <c r="J330" s="75"/>
      <c r="K330" s="48">
        <f t="shared" si="86"/>
        <v>0</v>
      </c>
      <c r="M330" s="140" t="str">
        <f t="shared" si="80"/>
        <v>7450/0100</v>
      </c>
      <c r="N330" s="70"/>
      <c r="P330" s="71"/>
      <c r="Q330" s="51"/>
      <c r="R330" s="31"/>
    </row>
    <row r="331" spans="1:18" x14ac:dyDescent="0.2">
      <c r="A331" s="238"/>
      <c r="B331" s="90" t="s">
        <v>799</v>
      </c>
      <c r="C331" s="242" t="s">
        <v>636</v>
      </c>
      <c r="D331" s="282"/>
      <c r="E331" s="272"/>
      <c r="F331" s="79"/>
      <c r="G331" s="47">
        <f>SUMIF(JournalsA!D$14:D$920,TrialBalanceA!M331,JournalsA!J$14:J$920)+SUMIF(JournalsA!E$14:E$920,TrialBalanceA!M331,JournalsA!J$14:J$920)</f>
        <v>0</v>
      </c>
      <c r="H331" s="288"/>
      <c r="I331" s="255">
        <f t="shared" ref="I331" si="98">ROUND(D331-E331+G331+F331,0)</f>
        <v>0</v>
      </c>
      <c r="J331" s="75"/>
      <c r="K331" s="48">
        <f t="shared" ref="K331" si="99">ROUND(SUM(A331),0)</f>
        <v>0</v>
      </c>
      <c r="M331" s="140" t="str">
        <f t="shared" ref="M331" si="100">CONCATENATE(B331,C331)</f>
        <v>7455/000Interest free</v>
      </c>
      <c r="N331" s="70"/>
      <c r="P331" s="71"/>
      <c r="Q331" s="51"/>
      <c r="R331" s="31"/>
    </row>
    <row r="332" spans="1:18" x14ac:dyDescent="0.2">
      <c r="A332" s="238"/>
      <c r="B332" s="90" t="s">
        <v>800</v>
      </c>
      <c r="C332" s="276">
        <f>TrialBalance!C332</f>
        <v>0</v>
      </c>
      <c r="D332" s="282"/>
      <c r="E332" s="272"/>
      <c r="F332" s="79">
        <f t="shared" si="84"/>
        <v>0</v>
      </c>
      <c r="G332" s="47">
        <f>SUMIF(JournalsA!D$14:D$920,TrialBalanceA!M332,JournalsA!J$14:J$920)+SUMIF(JournalsA!E$14:E$920,TrialBalanceA!M332,JournalsA!J$14:J$920)</f>
        <v>0</v>
      </c>
      <c r="H332" s="288"/>
      <c r="I332" s="255">
        <f t="shared" si="85"/>
        <v>0</v>
      </c>
      <c r="J332" s="75"/>
      <c r="K332" s="48">
        <f t="shared" si="86"/>
        <v>0</v>
      </c>
      <c r="M332" s="140" t="str">
        <f t="shared" si="80"/>
        <v>7455/0010</v>
      </c>
      <c r="N332" s="70"/>
      <c r="P332" s="71"/>
      <c r="Q332" s="51"/>
      <c r="R332" s="31"/>
    </row>
    <row r="333" spans="1:18" x14ac:dyDescent="0.2">
      <c r="A333" s="238"/>
      <c r="B333" s="90" t="s">
        <v>801</v>
      </c>
      <c r="C333" s="276">
        <f>TrialBalance!C333</f>
        <v>0</v>
      </c>
      <c r="D333" s="282"/>
      <c r="E333" s="272"/>
      <c r="F333" s="79">
        <f t="shared" ref="F333" si="101">K333</f>
        <v>0</v>
      </c>
      <c r="G333" s="47">
        <f>SUMIF(JournalsA!D$14:D$920,TrialBalanceA!M333,JournalsA!J$14:J$920)+SUMIF(JournalsA!E$14:E$920,TrialBalanceA!M333,JournalsA!J$14:J$920)</f>
        <v>0</v>
      </c>
      <c r="H333" s="288"/>
      <c r="I333" s="255">
        <f t="shared" ref="I333" si="102">ROUND(D333-E333+G333+F333,0)</f>
        <v>0</v>
      </c>
      <c r="J333" s="75"/>
      <c r="K333" s="48">
        <f t="shared" ref="K333" si="103">ROUND(SUM(A333),0)</f>
        <v>0</v>
      </c>
      <c r="M333" s="140" t="str">
        <f t="shared" ref="M333" si="104">CONCATENATE(B333,C333)</f>
        <v>7455/0020</v>
      </c>
      <c r="N333" s="70"/>
      <c r="P333" s="71"/>
      <c r="Q333" s="51"/>
      <c r="R333" s="31"/>
    </row>
    <row r="334" spans="1:18" x14ac:dyDescent="0.2">
      <c r="A334" s="238"/>
      <c r="B334" s="90" t="s">
        <v>802</v>
      </c>
      <c r="C334" s="276">
        <f>TrialBalance!C334</f>
        <v>0</v>
      </c>
      <c r="D334" s="282"/>
      <c r="E334" s="272"/>
      <c r="F334" s="79">
        <f t="shared" si="84"/>
        <v>0</v>
      </c>
      <c r="G334" s="47">
        <f>SUMIF(JournalsA!D$14:D$920,TrialBalanceA!M334,JournalsA!J$14:J$920)+SUMIF(JournalsA!E$14:E$920,TrialBalanceA!M334,JournalsA!J$14:J$920)</f>
        <v>0</v>
      </c>
      <c r="H334" s="288"/>
      <c r="I334" s="255">
        <f t="shared" si="85"/>
        <v>0</v>
      </c>
      <c r="J334" s="75"/>
      <c r="K334" s="48">
        <f t="shared" si="86"/>
        <v>0</v>
      </c>
      <c r="M334" s="140" t="str">
        <f t="shared" si="80"/>
        <v>7455/0030</v>
      </c>
      <c r="N334" s="70"/>
      <c r="P334" s="71"/>
      <c r="Q334" s="51"/>
      <c r="R334" s="31"/>
    </row>
    <row r="335" spans="1:18" x14ac:dyDescent="0.2">
      <c r="A335" s="238"/>
      <c r="B335" s="90" t="s">
        <v>803</v>
      </c>
      <c r="C335" s="276">
        <f>TrialBalance!C335</f>
        <v>0</v>
      </c>
      <c r="D335" s="282"/>
      <c r="E335" s="272"/>
      <c r="F335" s="79">
        <f t="shared" ref="F335:F340" si="105">K335</f>
        <v>0</v>
      </c>
      <c r="G335" s="47">
        <f>SUMIF(JournalsA!D$14:D$920,TrialBalanceA!M335,JournalsA!J$14:J$920)+SUMIF(JournalsA!E$14:E$920,TrialBalanceA!M335,JournalsA!J$14:J$920)</f>
        <v>0</v>
      </c>
      <c r="H335" s="288"/>
      <c r="I335" s="255">
        <f t="shared" ref="I335:I340" si="106">ROUND(D335-E335+G335+F335,0)</f>
        <v>0</v>
      </c>
      <c r="J335" s="75"/>
      <c r="K335" s="48">
        <f t="shared" ref="K335:K340" si="107">ROUND(SUM(A335),0)</f>
        <v>0</v>
      </c>
      <c r="M335" s="140" t="str">
        <f t="shared" ref="M335:M340" si="108">CONCATENATE(B335,C335)</f>
        <v>7455/0040</v>
      </c>
      <c r="N335" s="70"/>
      <c r="P335" s="71"/>
      <c r="Q335" s="51"/>
      <c r="R335" s="31"/>
    </row>
    <row r="336" spans="1:18" x14ac:dyDescent="0.2">
      <c r="A336" s="238"/>
      <c r="B336" s="90" t="s">
        <v>804</v>
      </c>
      <c r="C336" s="276">
        <f>TrialBalance!C336</f>
        <v>0</v>
      </c>
      <c r="D336" s="282"/>
      <c r="E336" s="272"/>
      <c r="F336" s="79">
        <f t="shared" si="105"/>
        <v>0</v>
      </c>
      <c r="G336" s="47">
        <f>SUMIF(JournalsA!D$14:D$920,TrialBalanceA!M336,JournalsA!J$14:J$920)+SUMIF(JournalsA!E$14:E$920,TrialBalanceA!M336,JournalsA!J$14:J$920)</f>
        <v>0</v>
      </c>
      <c r="H336" s="288"/>
      <c r="I336" s="255">
        <f t="shared" si="106"/>
        <v>0</v>
      </c>
      <c r="J336" s="75"/>
      <c r="K336" s="48">
        <f t="shared" si="107"/>
        <v>0</v>
      </c>
      <c r="M336" s="140" t="str">
        <f t="shared" si="108"/>
        <v>7455/0050</v>
      </c>
      <c r="N336" s="70"/>
      <c r="P336" s="71"/>
      <c r="Q336" s="51"/>
      <c r="R336" s="31"/>
    </row>
    <row r="337" spans="1:18" x14ac:dyDescent="0.2">
      <c r="A337" s="238"/>
      <c r="B337" s="90" t="s">
        <v>805</v>
      </c>
      <c r="C337" s="276">
        <f>TrialBalance!C337</f>
        <v>0</v>
      </c>
      <c r="D337" s="282"/>
      <c r="E337" s="272"/>
      <c r="F337" s="79">
        <f t="shared" si="105"/>
        <v>0</v>
      </c>
      <c r="G337" s="47">
        <f>SUMIF(JournalsA!D$14:D$920,TrialBalanceA!M337,JournalsA!J$14:J$920)+SUMIF(JournalsA!E$14:E$920,TrialBalanceA!M337,JournalsA!J$14:J$920)</f>
        <v>0</v>
      </c>
      <c r="H337" s="288"/>
      <c r="I337" s="255">
        <f t="shared" si="106"/>
        <v>0</v>
      </c>
      <c r="J337" s="75"/>
      <c r="K337" s="48">
        <f t="shared" si="107"/>
        <v>0</v>
      </c>
      <c r="M337" s="140" t="str">
        <f t="shared" si="108"/>
        <v>7455/0060</v>
      </c>
      <c r="N337" s="70"/>
      <c r="P337" s="71"/>
      <c r="Q337" s="51"/>
      <c r="R337" s="31"/>
    </row>
    <row r="338" spans="1:18" x14ac:dyDescent="0.2">
      <c r="A338" s="238"/>
      <c r="B338" s="90" t="s">
        <v>806</v>
      </c>
      <c r="C338" s="276">
        <f>TrialBalance!C338</f>
        <v>0</v>
      </c>
      <c r="D338" s="282"/>
      <c r="E338" s="272"/>
      <c r="F338" s="79">
        <f t="shared" si="105"/>
        <v>0</v>
      </c>
      <c r="G338" s="47">
        <f>SUMIF(JournalsA!D$14:D$920,TrialBalanceA!M338,JournalsA!J$14:J$920)+SUMIF(JournalsA!E$14:E$920,TrialBalanceA!M338,JournalsA!J$14:J$920)</f>
        <v>0</v>
      </c>
      <c r="H338" s="288"/>
      <c r="I338" s="255">
        <f t="shared" si="106"/>
        <v>0</v>
      </c>
      <c r="J338" s="75"/>
      <c r="K338" s="48">
        <f t="shared" si="107"/>
        <v>0</v>
      </c>
      <c r="M338" s="140" t="str">
        <f t="shared" si="108"/>
        <v>7455/0070</v>
      </c>
      <c r="N338" s="70"/>
      <c r="P338" s="71"/>
      <c r="Q338" s="51"/>
      <c r="R338" s="31"/>
    </row>
    <row r="339" spans="1:18" x14ac:dyDescent="0.2">
      <c r="A339" s="238"/>
      <c r="B339" s="90" t="s">
        <v>807</v>
      </c>
      <c r="C339" s="276">
        <f>TrialBalance!C339</f>
        <v>0</v>
      </c>
      <c r="D339" s="282"/>
      <c r="E339" s="272"/>
      <c r="F339" s="79">
        <f t="shared" si="105"/>
        <v>0</v>
      </c>
      <c r="G339" s="47">
        <f>SUMIF(JournalsA!D$14:D$920,TrialBalanceA!M339,JournalsA!J$14:J$920)+SUMIF(JournalsA!E$14:E$920,TrialBalanceA!M339,JournalsA!J$14:J$920)</f>
        <v>0</v>
      </c>
      <c r="H339" s="288"/>
      <c r="I339" s="255">
        <f t="shared" si="106"/>
        <v>0</v>
      </c>
      <c r="J339" s="75"/>
      <c r="K339" s="48">
        <f t="shared" si="107"/>
        <v>0</v>
      </c>
      <c r="M339" s="140" t="str">
        <f t="shared" si="108"/>
        <v>7455/0080</v>
      </c>
      <c r="N339" s="70"/>
      <c r="P339" s="71"/>
      <c r="Q339" s="51"/>
      <c r="R339" s="31"/>
    </row>
    <row r="340" spans="1:18" x14ac:dyDescent="0.2">
      <c r="A340" s="238"/>
      <c r="B340" s="90" t="s">
        <v>808</v>
      </c>
      <c r="C340" s="276">
        <f>TrialBalance!C340</f>
        <v>0</v>
      </c>
      <c r="D340" s="282"/>
      <c r="E340" s="272"/>
      <c r="F340" s="79">
        <f t="shared" si="105"/>
        <v>0</v>
      </c>
      <c r="G340" s="47">
        <f>SUMIF(JournalsA!D$14:D$920,TrialBalanceA!M340,JournalsA!J$14:J$920)+SUMIF(JournalsA!E$14:E$920,TrialBalanceA!M340,JournalsA!J$14:J$920)</f>
        <v>0</v>
      </c>
      <c r="H340" s="288"/>
      <c r="I340" s="255">
        <f t="shared" si="106"/>
        <v>0</v>
      </c>
      <c r="J340" s="75"/>
      <c r="K340" s="48">
        <f t="shared" si="107"/>
        <v>0</v>
      </c>
      <c r="M340" s="140" t="str">
        <f t="shared" si="108"/>
        <v>7455/0090</v>
      </c>
      <c r="N340" s="70"/>
      <c r="P340" s="71"/>
      <c r="Q340" s="51"/>
      <c r="R340" s="31"/>
    </row>
    <row r="341" spans="1:18" x14ac:dyDescent="0.2">
      <c r="A341" s="238"/>
      <c r="B341" s="90" t="s">
        <v>809</v>
      </c>
      <c r="C341" s="276">
        <f>TrialBalance!C341</f>
        <v>0</v>
      </c>
      <c r="D341" s="282"/>
      <c r="E341" s="272"/>
      <c r="F341" s="79">
        <f t="shared" si="84"/>
        <v>0</v>
      </c>
      <c r="G341" s="47">
        <f>SUMIF(JournalsA!D$14:D$920,TrialBalanceA!M341,JournalsA!J$14:J$920)+SUMIF(JournalsA!E$14:E$920,TrialBalanceA!M341,JournalsA!J$14:J$920)</f>
        <v>0</v>
      </c>
      <c r="H341" s="288"/>
      <c r="I341" s="255">
        <f t="shared" si="85"/>
        <v>0</v>
      </c>
      <c r="J341" s="75"/>
      <c r="K341" s="48">
        <f t="shared" si="86"/>
        <v>0</v>
      </c>
      <c r="M341" s="140" t="str">
        <f t="shared" si="80"/>
        <v>7455/0100</v>
      </c>
      <c r="N341" s="70"/>
      <c r="P341" s="71"/>
      <c r="Q341" s="51"/>
      <c r="R341" s="31"/>
    </row>
    <row r="342" spans="1:18" x14ac:dyDescent="0.2">
      <c r="A342" s="238"/>
      <c r="B342" s="54" t="s">
        <v>266</v>
      </c>
      <c r="C342" s="241" t="s">
        <v>676</v>
      </c>
      <c r="D342" s="272"/>
      <c r="E342" s="272"/>
      <c r="F342" s="79"/>
      <c r="G342" s="47">
        <f>SUMIF(JournalsA!D$14:D$920,TrialBalanceA!M342,JournalsA!J$14:J$920)+SUMIF(JournalsA!E$14:E$920,TrialBalanceA!M342,JournalsA!J$14:J$920)</f>
        <v>0</v>
      </c>
      <c r="H342" s="288"/>
      <c r="I342" s="255">
        <f t="shared" si="85"/>
        <v>0</v>
      </c>
      <c r="J342" s="75"/>
      <c r="K342" s="48">
        <f t="shared" si="86"/>
        <v>0</v>
      </c>
      <c r="M342" s="140" t="str">
        <f t="shared" si="80"/>
        <v>7460/000OTHER NON - CURRENT RECEIVABLES</v>
      </c>
      <c r="N342" s="70"/>
      <c r="P342" s="71"/>
      <c r="Q342" s="51"/>
      <c r="R342" s="31"/>
    </row>
    <row r="343" spans="1:18" x14ac:dyDescent="0.2">
      <c r="A343" s="238"/>
      <c r="B343" s="54" t="s">
        <v>266</v>
      </c>
      <c r="C343" s="241" t="s">
        <v>637</v>
      </c>
      <c r="D343" s="272"/>
      <c r="E343" s="272"/>
      <c r="F343" s="79"/>
      <c r="G343" s="47">
        <f>SUMIF(JournalsA!D$14:D$920,TrialBalanceA!M343,JournalsA!J$14:J$920)+SUMIF(JournalsA!E$14:E$920,TrialBalanceA!M343,JournalsA!J$14:J$920)</f>
        <v>0</v>
      </c>
      <c r="H343" s="288"/>
      <c r="I343" s="255">
        <f t="shared" ref="I343" si="109">ROUND(D343-E343+G343+F343,0)</f>
        <v>0</v>
      </c>
      <c r="J343" s="75"/>
      <c r="K343" s="48">
        <f t="shared" ref="K343" si="110">ROUND(SUM(A343),0)</f>
        <v>0</v>
      </c>
      <c r="M343" s="140" t="str">
        <f t="shared" ref="M343" si="111">CONCATENATE(B343,C343)</f>
        <v>7460/000Interest bearing</v>
      </c>
      <c r="N343" s="70"/>
      <c r="P343" s="71"/>
      <c r="Q343" s="51"/>
      <c r="R343" s="31"/>
    </row>
    <row r="344" spans="1:18" x14ac:dyDescent="0.2">
      <c r="A344" s="238"/>
      <c r="B344" s="54" t="s">
        <v>268</v>
      </c>
      <c r="C344" s="276">
        <f>TrialBalance!C344</f>
        <v>0</v>
      </c>
      <c r="D344" s="284"/>
      <c r="E344" s="284"/>
      <c r="F344" s="79">
        <f t="shared" si="84"/>
        <v>0</v>
      </c>
      <c r="G344" s="47">
        <f>SUMIF(JournalsA!D$14:D$920,TrialBalanceA!M344,JournalsA!J$14:J$920)+SUMIF(JournalsA!E$14:E$920,TrialBalanceA!M344,JournalsA!J$14:J$920)</f>
        <v>0</v>
      </c>
      <c r="H344" s="288"/>
      <c r="I344" s="255">
        <f t="shared" si="85"/>
        <v>0</v>
      </c>
      <c r="J344" s="75"/>
      <c r="K344" s="48">
        <f t="shared" si="86"/>
        <v>0</v>
      </c>
      <c r="M344" s="140" t="str">
        <f t="shared" si="80"/>
        <v>7460/0010</v>
      </c>
      <c r="N344" s="70"/>
      <c r="P344" s="71"/>
      <c r="Q344" s="51"/>
      <c r="R344" s="31"/>
    </row>
    <row r="345" spans="1:18" x14ac:dyDescent="0.2">
      <c r="A345" s="238"/>
      <c r="B345" s="54" t="s">
        <v>269</v>
      </c>
      <c r="C345" s="276">
        <f>TrialBalance!C345</f>
        <v>0</v>
      </c>
      <c r="D345" s="284"/>
      <c r="E345" s="284"/>
      <c r="F345" s="79">
        <f t="shared" ref="F345" si="112">K345</f>
        <v>0</v>
      </c>
      <c r="G345" s="47">
        <f>SUMIF(JournalsA!D$14:D$920,TrialBalanceA!M345,JournalsA!J$14:J$920)+SUMIF(JournalsA!E$14:E$920,TrialBalanceA!M345,JournalsA!J$14:J$920)</f>
        <v>0</v>
      </c>
      <c r="H345" s="288"/>
      <c r="I345" s="255">
        <f t="shared" ref="I345" si="113">ROUND(D345-E345+G345+F345,0)</f>
        <v>0</v>
      </c>
      <c r="J345" s="75"/>
      <c r="K345" s="48">
        <f t="shared" ref="K345" si="114">ROUND(SUM(A345),0)</f>
        <v>0</v>
      </c>
      <c r="M345" s="140" t="str">
        <f t="shared" ref="M345" si="115">CONCATENATE(B345,C345)</f>
        <v>7460/0020</v>
      </c>
      <c r="N345" s="70"/>
      <c r="P345" s="71"/>
      <c r="Q345" s="51"/>
      <c r="R345" s="31"/>
    </row>
    <row r="346" spans="1:18" x14ac:dyDescent="0.2">
      <c r="A346" s="238"/>
      <c r="B346" s="54" t="s">
        <v>270</v>
      </c>
      <c r="C346" s="276">
        <f>TrialBalance!C346</f>
        <v>0</v>
      </c>
      <c r="D346" s="282"/>
      <c r="E346" s="272"/>
      <c r="F346" s="79">
        <f t="shared" si="84"/>
        <v>0</v>
      </c>
      <c r="G346" s="47">
        <f>SUMIF(JournalsA!D$14:D$920,TrialBalanceA!M346,JournalsA!J$14:J$920)+SUMIF(JournalsA!E$14:E$920,TrialBalanceA!M346,JournalsA!J$14:J$920)</f>
        <v>0</v>
      </c>
      <c r="H346" s="288"/>
      <c r="I346" s="255">
        <f t="shared" si="85"/>
        <v>0</v>
      </c>
      <c r="J346" s="75"/>
      <c r="K346" s="48">
        <f t="shared" si="86"/>
        <v>0</v>
      </c>
      <c r="M346" s="140" t="str">
        <f t="shared" si="80"/>
        <v>7460/0030</v>
      </c>
      <c r="N346" s="70"/>
      <c r="P346" s="71"/>
      <c r="Q346" s="51"/>
      <c r="R346" s="31"/>
    </row>
    <row r="347" spans="1:18" x14ac:dyDescent="0.2">
      <c r="A347" s="238"/>
      <c r="B347" s="90" t="s">
        <v>599</v>
      </c>
      <c r="C347" s="276">
        <f>TrialBalance!C347</f>
        <v>0</v>
      </c>
      <c r="D347" s="282"/>
      <c r="E347" s="272"/>
      <c r="F347" s="79">
        <f t="shared" si="84"/>
        <v>0</v>
      </c>
      <c r="G347" s="47">
        <f>SUMIF(JournalsA!D$14:D$920,TrialBalanceA!M347,JournalsA!J$14:J$920)+SUMIF(JournalsA!E$14:E$920,TrialBalanceA!M347,JournalsA!J$14:J$920)</f>
        <v>0</v>
      </c>
      <c r="H347" s="288"/>
      <c r="I347" s="255">
        <f t="shared" si="85"/>
        <v>0</v>
      </c>
      <c r="J347" s="75"/>
      <c r="K347" s="48">
        <f t="shared" si="86"/>
        <v>0</v>
      </c>
      <c r="M347" s="140" t="str">
        <f t="shared" si="80"/>
        <v>7460/0040</v>
      </c>
      <c r="N347" s="70"/>
      <c r="P347" s="71"/>
      <c r="Q347" s="51"/>
      <c r="R347" s="31"/>
    </row>
    <row r="348" spans="1:18" x14ac:dyDescent="0.2">
      <c r="A348" s="238"/>
      <c r="B348" s="54" t="s">
        <v>266</v>
      </c>
      <c r="C348" s="242" t="s">
        <v>636</v>
      </c>
      <c r="D348" s="282"/>
      <c r="E348" s="272"/>
      <c r="F348" s="79"/>
      <c r="G348" s="47">
        <f>SUMIF(JournalsA!D$14:D$920,TrialBalanceA!M348,JournalsA!J$14:J$920)+SUMIF(JournalsA!E$14:E$920,TrialBalanceA!M348,JournalsA!J$14:J$920)</f>
        <v>0</v>
      </c>
      <c r="H348" s="288"/>
      <c r="I348" s="255">
        <f t="shared" ref="I348" si="116">ROUND(D348-E348+G348+F348,0)</f>
        <v>0</v>
      </c>
      <c r="J348" s="75"/>
      <c r="K348" s="48">
        <f t="shared" ref="K348" si="117">ROUND(SUM(A348),0)</f>
        <v>0</v>
      </c>
      <c r="M348" s="140" t="str">
        <f t="shared" ref="M348" si="118">CONCATENATE(B348,C348)</f>
        <v>7460/000Interest free</v>
      </c>
      <c r="N348" s="70"/>
      <c r="P348" s="71"/>
      <c r="Q348" s="51"/>
      <c r="R348" s="31"/>
    </row>
    <row r="349" spans="1:18" x14ac:dyDescent="0.2">
      <c r="A349" s="238"/>
      <c r="B349" s="90" t="s">
        <v>599</v>
      </c>
      <c r="C349" s="276">
        <f>TrialBalance!C349</f>
        <v>0</v>
      </c>
      <c r="D349" s="282"/>
      <c r="E349" s="272"/>
      <c r="F349" s="79">
        <f t="shared" si="84"/>
        <v>0</v>
      </c>
      <c r="G349" s="47">
        <f>SUMIF(JournalsA!D$14:D$920,TrialBalanceA!M349,JournalsA!J$14:J$920)+SUMIF(JournalsA!E$14:E$920,TrialBalanceA!M349,JournalsA!J$14:J$920)</f>
        <v>0</v>
      </c>
      <c r="H349" s="288"/>
      <c r="I349" s="255">
        <f t="shared" si="85"/>
        <v>0</v>
      </c>
      <c r="J349" s="75"/>
      <c r="K349" s="48">
        <f t="shared" si="86"/>
        <v>0</v>
      </c>
      <c r="M349" s="140" t="str">
        <f t="shared" si="80"/>
        <v>7460/0040</v>
      </c>
      <c r="N349" s="70"/>
      <c r="P349" s="71"/>
      <c r="Q349" s="51"/>
      <c r="R349" s="31"/>
    </row>
    <row r="350" spans="1:18" x14ac:dyDescent="0.2">
      <c r="A350" s="238"/>
      <c r="B350" s="90" t="s">
        <v>600</v>
      </c>
      <c r="C350" s="276">
        <f>TrialBalance!C350</f>
        <v>0</v>
      </c>
      <c r="D350" s="282"/>
      <c r="E350" s="272"/>
      <c r="F350" s="79">
        <f t="shared" si="84"/>
        <v>0</v>
      </c>
      <c r="G350" s="47">
        <f>SUMIF(JournalsA!D$14:D$920,TrialBalanceA!M350,JournalsA!J$14:J$920)+SUMIF(JournalsA!E$14:E$920,TrialBalanceA!M350,JournalsA!J$14:J$920)</f>
        <v>0</v>
      </c>
      <c r="H350" s="288"/>
      <c r="I350" s="255">
        <f t="shared" si="85"/>
        <v>0</v>
      </c>
      <c r="J350" s="75"/>
      <c r="K350" s="48">
        <f t="shared" si="86"/>
        <v>0</v>
      </c>
      <c r="M350" s="140" t="str">
        <f t="shared" si="80"/>
        <v>7460/0050</v>
      </c>
      <c r="N350" s="70"/>
      <c r="P350" s="71"/>
      <c r="Q350" s="51"/>
      <c r="R350" s="31"/>
    </row>
    <row r="351" spans="1:18" x14ac:dyDescent="0.2">
      <c r="A351" s="238"/>
      <c r="B351" s="90" t="s">
        <v>271</v>
      </c>
      <c r="C351" s="276">
        <f>TrialBalance!C351</f>
        <v>0</v>
      </c>
      <c r="D351" s="282"/>
      <c r="E351" s="272"/>
      <c r="F351" s="79">
        <f>K351</f>
        <v>0</v>
      </c>
      <c r="G351" s="47">
        <f>SUMIF(JournalsA!D$14:D$920,TrialBalanceA!M351,JournalsA!J$14:J$920)+SUMIF(JournalsA!E$14:E$920,TrialBalanceA!M351,JournalsA!J$14:J$920)</f>
        <v>0</v>
      </c>
      <c r="H351" s="288"/>
      <c r="I351" s="255">
        <f t="shared" si="85"/>
        <v>0</v>
      </c>
      <c r="J351" s="75"/>
      <c r="K351" s="48">
        <f t="shared" si="86"/>
        <v>0</v>
      </c>
      <c r="M351" s="140" t="str">
        <f t="shared" si="80"/>
        <v>7460/0060</v>
      </c>
      <c r="N351" s="70"/>
      <c r="P351" s="71"/>
      <c r="Q351" s="51"/>
      <c r="R351" s="31"/>
    </row>
    <row r="352" spans="1:18" x14ac:dyDescent="0.2">
      <c r="A352" s="238"/>
      <c r="B352" s="90" t="s">
        <v>272</v>
      </c>
      <c r="C352" s="276">
        <f>TrialBalance!C352</f>
        <v>0</v>
      </c>
      <c r="D352" s="282"/>
      <c r="E352" s="272"/>
      <c r="F352" s="79">
        <f>K352</f>
        <v>0</v>
      </c>
      <c r="G352" s="47">
        <f>SUMIF(JournalsA!D$14:D$920,TrialBalanceA!M352,JournalsA!J$14:J$920)+SUMIF(JournalsA!E$14:E$920,TrialBalanceA!M352,JournalsA!J$14:J$920)</f>
        <v>0</v>
      </c>
      <c r="H352" s="288"/>
      <c r="I352" s="255">
        <f t="shared" si="85"/>
        <v>0</v>
      </c>
      <c r="J352" s="75"/>
      <c r="K352" s="48">
        <f t="shared" si="86"/>
        <v>0</v>
      </c>
      <c r="M352" s="140" t="str">
        <f t="shared" si="80"/>
        <v>7460/0070</v>
      </c>
      <c r="N352" s="70"/>
      <c r="P352" s="71"/>
      <c r="Q352" s="51"/>
      <c r="R352" s="31"/>
    </row>
    <row r="353" spans="1:18" x14ac:dyDescent="0.2">
      <c r="A353" s="238"/>
      <c r="B353" s="90" t="s">
        <v>480</v>
      </c>
      <c r="C353" s="276">
        <f>TrialBalance!C353</f>
        <v>0</v>
      </c>
      <c r="D353" s="282"/>
      <c r="E353" s="272"/>
      <c r="F353" s="79">
        <f>K353</f>
        <v>0</v>
      </c>
      <c r="G353" s="47">
        <f>SUMIF(JournalsA!D$14:D$920,TrialBalanceA!M353,JournalsA!J$14:J$920)+SUMIF(JournalsA!E$14:E$920,TrialBalanceA!M353,JournalsA!J$14:J$920)</f>
        <v>0</v>
      </c>
      <c r="H353" s="288"/>
      <c r="I353" s="255">
        <f t="shared" si="85"/>
        <v>0</v>
      </c>
      <c r="J353" s="75"/>
      <c r="K353" s="48">
        <f t="shared" si="86"/>
        <v>0</v>
      </c>
      <c r="M353" s="140" t="str">
        <f t="shared" si="80"/>
        <v>7460/0080</v>
      </c>
      <c r="N353" s="70"/>
      <c r="P353" s="71"/>
      <c r="Q353" s="51"/>
      <c r="R353" s="31"/>
    </row>
    <row r="354" spans="1:18" x14ac:dyDescent="0.2">
      <c r="A354" s="238"/>
      <c r="B354" s="54" t="s">
        <v>391</v>
      </c>
      <c r="C354" s="239" t="s">
        <v>44</v>
      </c>
      <c r="D354" s="283"/>
      <c r="E354" s="272"/>
      <c r="F354" s="79"/>
      <c r="G354" s="47">
        <f>SUMIF(JournalsA!D$14:D$920,TrialBalanceA!M354,JournalsA!J$14:J$920)+SUMIF(JournalsA!E$14:E$920,TrialBalanceA!M354,JournalsA!J$14:J$920)</f>
        <v>0</v>
      </c>
      <c r="H354" s="288"/>
      <c r="I354" s="255">
        <f t="shared" si="85"/>
        <v>0</v>
      </c>
      <c r="J354" s="75"/>
      <c r="K354" s="48">
        <f t="shared" si="86"/>
        <v>0</v>
      </c>
      <c r="M354" s="140" t="str">
        <f t="shared" si="80"/>
        <v>7500/000INVENTORY</v>
      </c>
      <c r="N354" s="70"/>
      <c r="P354" s="71"/>
      <c r="Q354" s="51"/>
      <c r="R354" s="31"/>
    </row>
    <row r="355" spans="1:18" x14ac:dyDescent="0.2">
      <c r="A355" s="238"/>
      <c r="B355" s="54" t="s">
        <v>392</v>
      </c>
      <c r="C355" s="240" t="s">
        <v>393</v>
      </c>
      <c r="D355" s="282"/>
      <c r="E355" s="272"/>
      <c r="F355" s="79">
        <f t="shared" si="84"/>
        <v>0</v>
      </c>
      <c r="G355" s="47">
        <f>SUMIF(JournalsA!D$14:D$920,TrialBalanceA!M355,JournalsA!J$14:J$920)+SUMIF(JournalsA!E$14:E$920,TrialBalanceA!M355,JournalsA!J$14:J$920)</f>
        <v>0</v>
      </c>
      <c r="H355" s="288"/>
      <c r="I355" s="255">
        <f t="shared" si="85"/>
        <v>0</v>
      </c>
      <c r="J355" s="75"/>
      <c r="K355" s="48">
        <f t="shared" si="86"/>
        <v>0</v>
      </c>
      <c r="M355" s="140" t="str">
        <f t="shared" si="80"/>
        <v>7500/001Raw materials</v>
      </c>
      <c r="N355" s="70"/>
      <c r="P355" s="71"/>
      <c r="Q355" s="51"/>
      <c r="R355" s="31"/>
    </row>
    <row r="356" spans="1:18" x14ac:dyDescent="0.2">
      <c r="A356" s="238"/>
      <c r="B356" s="54" t="s">
        <v>19</v>
      </c>
      <c r="C356" s="240" t="s">
        <v>20</v>
      </c>
      <c r="D356" s="282"/>
      <c r="E356" s="272"/>
      <c r="F356" s="79">
        <f t="shared" si="84"/>
        <v>0</v>
      </c>
      <c r="G356" s="47">
        <f>SUMIF(JournalsA!D$14:D$920,TrialBalanceA!M356,JournalsA!J$14:J$920)+SUMIF(JournalsA!E$14:E$920,TrialBalanceA!M356,JournalsA!J$14:J$920)</f>
        <v>0</v>
      </c>
      <c r="H356" s="288"/>
      <c r="I356" s="255">
        <f t="shared" si="85"/>
        <v>0</v>
      </c>
      <c r="J356" s="75"/>
      <c r="K356" s="48">
        <f t="shared" si="86"/>
        <v>0</v>
      </c>
      <c r="M356" s="140" t="str">
        <f t="shared" si="80"/>
        <v>7500/002Work in progress</v>
      </c>
      <c r="N356" s="70"/>
      <c r="P356" s="71"/>
      <c r="Q356" s="51"/>
      <c r="R356" s="31"/>
    </row>
    <row r="357" spans="1:18" x14ac:dyDescent="0.2">
      <c r="A357" s="238"/>
      <c r="B357" s="54" t="s">
        <v>21</v>
      </c>
      <c r="C357" s="240" t="s">
        <v>22</v>
      </c>
      <c r="D357" s="282"/>
      <c r="E357" s="272"/>
      <c r="F357" s="79">
        <f t="shared" si="84"/>
        <v>0</v>
      </c>
      <c r="G357" s="47">
        <f>SUMIF(JournalsA!D$14:D$920,TrialBalanceA!M357,JournalsA!J$14:J$920)+SUMIF(JournalsA!E$14:E$920,TrialBalanceA!M357,JournalsA!J$14:J$920)</f>
        <v>0</v>
      </c>
      <c r="H357" s="288"/>
      <c r="I357" s="255">
        <f t="shared" si="85"/>
        <v>0</v>
      </c>
      <c r="J357" s="75"/>
      <c r="K357" s="48">
        <f t="shared" si="86"/>
        <v>0</v>
      </c>
      <c r="M357" s="140" t="str">
        <f t="shared" si="80"/>
        <v>7500/003Finished goods</v>
      </c>
      <c r="N357" s="70"/>
      <c r="P357" s="71"/>
      <c r="Q357" s="51"/>
      <c r="R357" s="31"/>
    </row>
    <row r="358" spans="1:18" x14ac:dyDescent="0.2">
      <c r="A358" s="238"/>
      <c r="B358" s="54" t="s">
        <v>25</v>
      </c>
      <c r="C358" s="240" t="s">
        <v>26</v>
      </c>
      <c r="D358" s="282"/>
      <c r="E358" s="272"/>
      <c r="F358" s="79">
        <f t="shared" si="84"/>
        <v>0</v>
      </c>
      <c r="G358" s="47">
        <f>SUMIF(JournalsA!D$14:D$920,TrialBalanceA!M358,JournalsA!J$14:J$920)+SUMIF(JournalsA!E$14:E$920,TrialBalanceA!M358,JournalsA!J$14:J$920)</f>
        <v>0</v>
      </c>
      <c r="H358" s="288"/>
      <c r="I358" s="255">
        <f t="shared" si="85"/>
        <v>0</v>
      </c>
      <c r="J358" s="75"/>
      <c r="K358" s="48">
        <f t="shared" si="86"/>
        <v>0</v>
      </c>
      <c r="M358" s="140" t="str">
        <f t="shared" si="80"/>
        <v>7500/004Trading stock</v>
      </c>
      <c r="N358" s="70"/>
      <c r="P358" s="71"/>
      <c r="Q358" s="51"/>
      <c r="R358" s="31"/>
    </row>
    <row r="359" spans="1:18" x14ac:dyDescent="0.2">
      <c r="A359" s="238"/>
      <c r="B359" s="54" t="s">
        <v>28</v>
      </c>
      <c r="C359" s="239" t="s">
        <v>29</v>
      </c>
      <c r="D359" s="283"/>
      <c r="E359" s="272"/>
      <c r="F359" s="79"/>
      <c r="G359" s="47">
        <f>SUMIF(JournalsA!D$14:D$920,TrialBalanceA!M359,JournalsA!J$14:J$920)+SUMIF(JournalsA!E$14:E$920,TrialBalanceA!M359,JournalsA!J$14:J$920)</f>
        <v>0</v>
      </c>
      <c r="H359" s="288"/>
      <c r="I359" s="255">
        <f t="shared" si="85"/>
        <v>0</v>
      </c>
      <c r="J359" s="75"/>
      <c r="K359" s="48">
        <f t="shared" si="86"/>
        <v>0</v>
      </c>
      <c r="M359" s="140" t="str">
        <f t="shared" si="80"/>
        <v>8000/000DEBTORS</v>
      </c>
      <c r="N359" s="70"/>
      <c r="P359" s="71"/>
      <c r="Q359" s="51"/>
      <c r="R359" s="31"/>
    </row>
    <row r="360" spans="1:18" x14ac:dyDescent="0.2">
      <c r="A360" s="238"/>
      <c r="B360" s="54" t="s">
        <v>30</v>
      </c>
      <c r="C360" s="240" t="s">
        <v>31</v>
      </c>
      <c r="D360" s="282"/>
      <c r="E360" s="272"/>
      <c r="F360" s="79">
        <f t="shared" si="84"/>
        <v>0</v>
      </c>
      <c r="G360" s="47">
        <f>SUMIF(JournalsA!D$14:D$920,TrialBalanceA!M360,JournalsA!J$14:J$920)+SUMIF(JournalsA!E$14:E$920,TrialBalanceA!M360,JournalsA!J$14:J$920)</f>
        <v>0</v>
      </c>
      <c r="H360" s="288"/>
      <c r="I360" s="255">
        <f t="shared" si="85"/>
        <v>0</v>
      </c>
      <c r="J360" s="75"/>
      <c r="K360" s="48">
        <f t="shared" si="86"/>
        <v>0</v>
      </c>
      <c r="M360" s="140" t="str">
        <f t="shared" si="80"/>
        <v>8010/000Trade debtors</v>
      </c>
      <c r="N360" s="70"/>
      <c r="P360" s="71"/>
      <c r="Q360" s="51"/>
      <c r="R360" s="31"/>
    </row>
    <row r="361" spans="1:18" x14ac:dyDescent="0.2">
      <c r="A361" s="238"/>
      <c r="B361" s="90" t="s">
        <v>32</v>
      </c>
      <c r="C361" s="242" t="s">
        <v>548</v>
      </c>
      <c r="D361" s="282"/>
      <c r="E361" s="272"/>
      <c r="F361" s="79">
        <f t="shared" si="84"/>
        <v>0</v>
      </c>
      <c r="G361" s="47">
        <f>SUMIF(JournalsA!D$14:D$920,TrialBalanceA!M361,JournalsA!J$14:J$920)+SUMIF(JournalsA!E$14:E$920,TrialBalanceA!M361,JournalsA!J$14:J$920)</f>
        <v>0</v>
      </c>
      <c r="H361" s="288"/>
      <c r="I361" s="255">
        <f t="shared" si="85"/>
        <v>0</v>
      </c>
      <c r="J361" s="75"/>
      <c r="K361" s="48">
        <f t="shared" si="86"/>
        <v>0</v>
      </c>
      <c r="M361" s="140" t="str">
        <f t="shared" si="80"/>
        <v>8020/000Less: Provision for doubtful debts</v>
      </c>
      <c r="N361" s="70"/>
      <c r="P361" s="71"/>
      <c r="Q361" s="51"/>
      <c r="R361" s="31"/>
    </row>
    <row r="362" spans="1:18" x14ac:dyDescent="0.2">
      <c r="A362" s="238"/>
      <c r="B362" s="90" t="s">
        <v>550</v>
      </c>
      <c r="C362" s="240" t="s">
        <v>307</v>
      </c>
      <c r="D362" s="282"/>
      <c r="E362" s="272"/>
      <c r="F362" s="79">
        <f t="shared" si="84"/>
        <v>0</v>
      </c>
      <c r="G362" s="47">
        <f>SUMIF(JournalsA!D$14:D$920,TrialBalanceA!M362,JournalsA!J$14:J$920)+SUMIF(JournalsA!E$14:E$920,TrialBalanceA!M362,JournalsA!J$14:J$920)</f>
        <v>0</v>
      </c>
      <c r="H362" s="288"/>
      <c r="I362" s="255">
        <f t="shared" si="85"/>
        <v>0</v>
      </c>
      <c r="J362" s="75"/>
      <c r="K362" s="48">
        <f t="shared" si="86"/>
        <v>0</v>
      </c>
      <c r="M362" s="140" t="str">
        <f t="shared" si="80"/>
        <v>8030/000Service deposits</v>
      </c>
      <c r="N362" s="70"/>
      <c r="P362" s="71"/>
      <c r="Q362" s="51"/>
      <c r="R362" s="31"/>
    </row>
    <row r="363" spans="1:18" x14ac:dyDescent="0.2">
      <c r="A363" s="238"/>
      <c r="B363" s="54" t="s">
        <v>451</v>
      </c>
      <c r="C363" s="242" t="s">
        <v>755</v>
      </c>
      <c r="D363" s="282"/>
      <c r="E363" s="272"/>
      <c r="F363" s="79">
        <f t="shared" si="84"/>
        <v>0</v>
      </c>
      <c r="G363" s="47">
        <f>SUMIF(JournalsA!D$14:D$920,TrialBalanceA!M363,JournalsA!J$14:J$920)+SUMIF(JournalsA!E$14:E$920,TrialBalanceA!M363,JournalsA!J$14:J$920)</f>
        <v>0</v>
      </c>
      <c r="H363" s="288"/>
      <c r="I363" s="255">
        <f t="shared" si="85"/>
        <v>0</v>
      </c>
      <c r="J363" s="75"/>
      <c r="K363" s="48">
        <f t="shared" si="86"/>
        <v>0</v>
      </c>
      <c r="M363" s="140" t="str">
        <f t="shared" si="80"/>
        <v>8200/000Sundry customers</v>
      </c>
      <c r="N363" s="70"/>
      <c r="P363" s="71"/>
      <c r="Q363" s="51"/>
      <c r="R363" s="31"/>
    </row>
    <row r="364" spans="1:18" x14ac:dyDescent="0.2">
      <c r="A364" s="238"/>
      <c r="B364" s="54" t="s">
        <v>452</v>
      </c>
      <c r="C364" s="240" t="s">
        <v>350</v>
      </c>
      <c r="D364" s="282"/>
      <c r="E364" s="272"/>
      <c r="F364" s="79">
        <f t="shared" si="84"/>
        <v>0</v>
      </c>
      <c r="G364" s="47">
        <f>SUMIF(JournalsA!D$14:D$920,TrialBalanceA!M364,JournalsA!J$14:J$920)+SUMIF(JournalsA!E$14:E$920,TrialBalanceA!M364,JournalsA!J$14:J$920)</f>
        <v>0</v>
      </c>
      <c r="H364" s="288"/>
      <c r="I364" s="255">
        <f t="shared" si="85"/>
        <v>0</v>
      </c>
      <c r="J364" s="75"/>
      <c r="K364" s="48">
        <f t="shared" si="86"/>
        <v>0</v>
      </c>
      <c r="M364" s="140" t="str">
        <f t="shared" si="80"/>
        <v>8200/010Prepayments</v>
      </c>
      <c r="N364" s="70"/>
      <c r="P364" s="71"/>
      <c r="Q364" s="51"/>
      <c r="R364" s="31"/>
    </row>
    <row r="365" spans="1:18" x14ac:dyDescent="0.2">
      <c r="A365" s="238"/>
      <c r="B365" s="54" t="s">
        <v>221</v>
      </c>
      <c r="C365" s="241" t="s">
        <v>523</v>
      </c>
      <c r="D365" s="272"/>
      <c r="E365" s="272"/>
      <c r="F365" s="79">
        <f t="shared" si="84"/>
        <v>0</v>
      </c>
      <c r="G365" s="47">
        <f>SUMIF(JournalsA!D$14:D$920,TrialBalanceA!M365,JournalsA!J$14:J$920)+SUMIF(JournalsA!E$14:E$920,TrialBalanceA!M365,JournalsA!J$14:J$920)</f>
        <v>0</v>
      </c>
      <c r="H365" s="288"/>
      <c r="I365" s="255">
        <f t="shared" si="85"/>
        <v>0</v>
      </c>
      <c r="J365" s="75"/>
      <c r="K365" s="48">
        <f t="shared" si="86"/>
        <v>0</v>
      </c>
      <c r="M365" s="140" t="str">
        <f t="shared" si="80"/>
        <v>8200/020Staff loans</v>
      </c>
      <c r="N365" s="70"/>
      <c r="P365" s="71"/>
      <c r="Q365" s="51"/>
      <c r="R365" s="31"/>
    </row>
    <row r="366" spans="1:18" x14ac:dyDescent="0.2">
      <c r="A366" s="238"/>
      <c r="B366" s="54" t="s">
        <v>222</v>
      </c>
      <c r="C366" s="244" t="s">
        <v>112</v>
      </c>
      <c r="D366" s="270"/>
      <c r="E366" s="272"/>
      <c r="F366" s="79"/>
      <c r="G366" s="47">
        <f>SUMIF(JournalsA!D$14:D$920,TrialBalanceA!M366,JournalsA!J$14:J$920)+SUMIF(JournalsA!E$14:E$920,TrialBalanceA!M366,JournalsA!J$14:J$920)</f>
        <v>0</v>
      </c>
      <c r="H366" s="288"/>
      <c r="I366" s="255">
        <f t="shared" si="85"/>
        <v>0</v>
      </c>
      <c r="J366" s="75"/>
      <c r="K366" s="48">
        <f t="shared" si="86"/>
        <v>0</v>
      </c>
      <c r="M366" s="140" t="str">
        <f t="shared" si="80"/>
        <v>8400/000BANK ACCOUNTS</v>
      </c>
      <c r="N366" s="70"/>
      <c r="P366" s="71"/>
      <c r="Q366" s="51"/>
      <c r="R366" s="31"/>
    </row>
    <row r="367" spans="1:18" x14ac:dyDescent="0.2">
      <c r="A367" s="238"/>
      <c r="B367" s="54" t="s">
        <v>223</v>
      </c>
      <c r="C367" s="276">
        <f>TrialBalance!C367</f>
        <v>0</v>
      </c>
      <c r="D367" s="281"/>
      <c r="E367" s="272"/>
      <c r="F367" s="79">
        <f t="shared" si="84"/>
        <v>0</v>
      </c>
      <c r="G367" s="47">
        <f>SUMIF(JournalsA!D$14:D$920,TrialBalanceA!M367,JournalsA!J$14:J$920)+SUMIF(JournalsA!E$14:E$920,TrialBalanceA!M367,JournalsA!J$14:J$920)</f>
        <v>0</v>
      </c>
      <c r="H367" s="288"/>
      <c r="I367" s="255">
        <f t="shared" si="85"/>
        <v>0</v>
      </c>
      <c r="J367" s="75"/>
      <c r="K367" s="48">
        <f t="shared" si="86"/>
        <v>0</v>
      </c>
      <c r="M367" s="140" t="str">
        <f t="shared" si="80"/>
        <v>8410/0000</v>
      </c>
      <c r="N367" s="70"/>
      <c r="P367" s="71"/>
      <c r="Q367" s="51"/>
      <c r="R367" s="31"/>
    </row>
    <row r="368" spans="1:18" x14ac:dyDescent="0.2">
      <c r="A368" s="238"/>
      <c r="B368" s="54" t="s">
        <v>224</v>
      </c>
      <c r="C368" s="276">
        <f>TrialBalance!C368</f>
        <v>0</v>
      </c>
      <c r="D368" s="281"/>
      <c r="E368" s="281"/>
      <c r="F368" s="79">
        <f t="shared" si="84"/>
        <v>0</v>
      </c>
      <c r="G368" s="47">
        <f>SUMIF(JournalsA!D$14:D$920,TrialBalanceA!M368,JournalsA!J$14:J$920)+SUMIF(JournalsA!E$14:E$920,TrialBalanceA!M368,JournalsA!J$14:J$920)</f>
        <v>0</v>
      </c>
      <c r="H368" s="288"/>
      <c r="I368" s="255">
        <f t="shared" si="85"/>
        <v>0</v>
      </c>
      <c r="J368" s="75"/>
      <c r="K368" s="48">
        <f t="shared" si="86"/>
        <v>0</v>
      </c>
      <c r="M368" s="140" t="str">
        <f t="shared" si="80"/>
        <v>8420/0000</v>
      </c>
      <c r="N368" s="70"/>
      <c r="P368" s="71"/>
      <c r="Q368" s="51"/>
      <c r="R368" s="31"/>
    </row>
    <row r="369" spans="1:18" x14ac:dyDescent="0.2">
      <c r="A369" s="238"/>
      <c r="B369" s="54" t="s">
        <v>225</v>
      </c>
      <c r="C369" s="276">
        <f>TrialBalance!C369</f>
        <v>0</v>
      </c>
      <c r="D369" s="272"/>
      <c r="E369" s="272"/>
      <c r="F369" s="79">
        <f t="shared" si="84"/>
        <v>0</v>
      </c>
      <c r="G369" s="47">
        <f>SUMIF(JournalsA!D$14:D$920,TrialBalanceA!M369,JournalsA!J$14:J$920)+SUMIF(JournalsA!E$14:E$920,TrialBalanceA!M369,JournalsA!J$14:J$920)</f>
        <v>0</v>
      </c>
      <c r="H369" s="288"/>
      <c r="I369" s="255">
        <f t="shared" ref="I369:I401" si="119">ROUND(D369-E369+G369+F369,0)</f>
        <v>0</v>
      </c>
      <c r="J369" s="75"/>
      <c r="K369" s="48">
        <f t="shared" ref="K369:K401" si="120">ROUND(SUM(A369),0)</f>
        <v>0</v>
      </c>
      <c r="M369" s="140" t="str">
        <f t="shared" si="80"/>
        <v>8430/0000</v>
      </c>
      <c r="N369" s="70"/>
      <c r="P369" s="71"/>
      <c r="Q369" s="51"/>
      <c r="R369" s="31"/>
    </row>
    <row r="370" spans="1:18" x14ac:dyDescent="0.2">
      <c r="A370" s="238"/>
      <c r="B370" s="54" t="s">
        <v>226</v>
      </c>
      <c r="C370" s="276">
        <f>TrialBalance!C370</f>
        <v>0</v>
      </c>
      <c r="D370" s="282"/>
      <c r="E370" s="272"/>
      <c r="F370" s="79">
        <f t="shared" si="84"/>
        <v>0</v>
      </c>
      <c r="G370" s="47">
        <f>SUMIF(JournalsA!D$14:D$920,TrialBalanceA!M370,JournalsA!J$14:J$920)+SUMIF(JournalsA!E$14:E$920,TrialBalanceA!M370,JournalsA!J$14:J$920)</f>
        <v>0</v>
      </c>
      <c r="H370" s="288"/>
      <c r="I370" s="255">
        <f t="shared" si="119"/>
        <v>0</v>
      </c>
      <c r="J370" s="75"/>
      <c r="K370" s="48">
        <f t="shared" si="120"/>
        <v>0</v>
      </c>
      <c r="M370" s="140" t="str">
        <f t="shared" ref="M370:M401" si="121">CONCATENATE(B370,C370)</f>
        <v>8440/0000</v>
      </c>
      <c r="N370" s="70"/>
      <c r="P370" s="71"/>
      <c r="Q370" s="51"/>
      <c r="R370" s="31"/>
    </row>
    <row r="371" spans="1:18" x14ac:dyDescent="0.2">
      <c r="A371" s="238"/>
      <c r="B371" s="54" t="s">
        <v>227</v>
      </c>
      <c r="C371" s="276">
        <f>TrialBalance!C371</f>
        <v>0</v>
      </c>
      <c r="D371" s="282"/>
      <c r="E371" s="272"/>
      <c r="F371" s="79">
        <f t="shared" si="84"/>
        <v>0</v>
      </c>
      <c r="G371" s="47">
        <f>SUMIF(JournalsA!D$14:D$920,TrialBalanceA!M371,JournalsA!J$14:J$920)+SUMIF(JournalsA!E$14:E$920,TrialBalanceA!M371,JournalsA!J$14:J$920)</f>
        <v>0</v>
      </c>
      <c r="H371" s="288"/>
      <c r="I371" s="255">
        <f t="shared" si="119"/>
        <v>0</v>
      </c>
      <c r="J371" s="75"/>
      <c r="K371" s="48">
        <f t="shared" si="120"/>
        <v>0</v>
      </c>
      <c r="M371" s="140" t="str">
        <f t="shared" si="121"/>
        <v>8450/0000</v>
      </c>
      <c r="N371" s="70"/>
      <c r="P371" s="71"/>
      <c r="Q371" s="51"/>
      <c r="R371" s="31"/>
    </row>
    <row r="372" spans="1:18" x14ac:dyDescent="0.2">
      <c r="A372" s="238"/>
      <c r="B372" s="54" t="s">
        <v>113</v>
      </c>
      <c r="C372" s="276">
        <f>TrialBalance!C372</f>
        <v>0</v>
      </c>
      <c r="D372" s="282"/>
      <c r="E372" s="272"/>
      <c r="F372" s="79">
        <f t="shared" si="84"/>
        <v>0</v>
      </c>
      <c r="G372" s="47">
        <f>SUMIF(JournalsA!D$14:D$920,TrialBalanceA!M372,JournalsA!J$14:J$920)+SUMIF(JournalsA!E$14:E$920,TrialBalanceA!M372,JournalsA!J$14:J$920)</f>
        <v>0</v>
      </c>
      <c r="H372" s="288"/>
      <c r="I372" s="255">
        <f t="shared" si="119"/>
        <v>0</v>
      </c>
      <c r="J372" s="75"/>
      <c r="K372" s="48">
        <f t="shared" si="120"/>
        <v>0</v>
      </c>
      <c r="M372" s="140" t="str">
        <f t="shared" si="121"/>
        <v>8460/0000</v>
      </c>
      <c r="N372" s="70"/>
      <c r="P372" s="71"/>
      <c r="Q372" s="51"/>
      <c r="R372" s="31"/>
    </row>
    <row r="373" spans="1:18" x14ac:dyDescent="0.2">
      <c r="A373" s="238"/>
      <c r="B373" s="54" t="s">
        <v>398</v>
      </c>
      <c r="C373" s="246" t="s">
        <v>399</v>
      </c>
      <c r="D373" s="272"/>
      <c r="E373" s="272"/>
      <c r="F373" s="79">
        <f t="shared" si="84"/>
        <v>0</v>
      </c>
      <c r="G373" s="47">
        <f>SUMIF(JournalsA!D$14:D$920,TrialBalanceA!M373,JournalsA!J$14:J$920)+SUMIF(JournalsA!E$14:E$920,TrialBalanceA!M373,JournalsA!J$14:J$920)</f>
        <v>0</v>
      </c>
      <c r="H373" s="288"/>
      <c r="I373" s="255">
        <f t="shared" si="119"/>
        <v>0</v>
      </c>
      <c r="J373" s="75"/>
      <c r="K373" s="48">
        <f t="shared" si="120"/>
        <v>0</v>
      </c>
      <c r="M373" s="140" t="str">
        <f t="shared" si="121"/>
        <v>8500/000Cash on hand</v>
      </c>
      <c r="N373" s="70"/>
      <c r="P373" s="71"/>
      <c r="Q373" s="51"/>
      <c r="R373" s="31"/>
    </row>
    <row r="374" spans="1:18" x14ac:dyDescent="0.2">
      <c r="A374" s="238"/>
      <c r="B374" s="54" t="s">
        <v>400</v>
      </c>
      <c r="C374" s="244" t="s">
        <v>262</v>
      </c>
      <c r="D374" s="270"/>
      <c r="E374" s="272"/>
      <c r="F374" s="79"/>
      <c r="G374" s="47">
        <f>SUMIF(JournalsA!D$14:D$920,TrialBalanceA!M374,JournalsA!J$14:J$920)+SUMIF(JournalsA!E$14:E$920,TrialBalanceA!M374,JournalsA!J$14:J$920)</f>
        <v>0</v>
      </c>
      <c r="H374" s="288"/>
      <c r="I374" s="255">
        <f t="shared" si="119"/>
        <v>0</v>
      </c>
      <c r="J374" s="75"/>
      <c r="K374" s="48">
        <f t="shared" si="120"/>
        <v>0</v>
      </c>
      <c r="M374" s="140" t="str">
        <f t="shared" si="121"/>
        <v>8900/000SHORT TERM LOANS</v>
      </c>
      <c r="N374" s="70"/>
      <c r="P374" s="71"/>
      <c r="Q374" s="51"/>
      <c r="R374" s="31"/>
    </row>
    <row r="375" spans="1:18" x14ac:dyDescent="0.2">
      <c r="A375" s="238"/>
      <c r="B375" s="54" t="s">
        <v>401</v>
      </c>
      <c r="C375" s="276">
        <f>TrialBalance!C375</f>
        <v>0</v>
      </c>
      <c r="D375" s="272"/>
      <c r="E375" s="272"/>
      <c r="F375" s="79">
        <f t="shared" si="84"/>
        <v>0</v>
      </c>
      <c r="G375" s="47">
        <f>SUMIF(JournalsA!D$14:D$920,TrialBalanceA!M375,JournalsA!J$14:J$920)+SUMIF(JournalsA!E$14:E$920,TrialBalanceA!M375,JournalsA!J$14:J$920)</f>
        <v>0</v>
      </c>
      <c r="H375" s="288"/>
      <c r="I375" s="255">
        <f t="shared" si="119"/>
        <v>0</v>
      </c>
      <c r="J375" s="75"/>
      <c r="K375" s="48">
        <f t="shared" si="120"/>
        <v>0</v>
      </c>
      <c r="M375" s="140" t="str">
        <f t="shared" si="121"/>
        <v>8900/0010</v>
      </c>
      <c r="N375" s="70"/>
      <c r="P375" s="71"/>
      <c r="Q375" s="51"/>
      <c r="R375" s="31"/>
    </row>
    <row r="376" spans="1:18" x14ac:dyDescent="0.2">
      <c r="A376" s="238"/>
      <c r="B376" s="54" t="s">
        <v>402</v>
      </c>
      <c r="C376" s="276">
        <f>TrialBalance!C376</f>
        <v>0</v>
      </c>
      <c r="D376" s="282"/>
      <c r="E376" s="272"/>
      <c r="F376" s="79">
        <f t="shared" si="84"/>
        <v>0</v>
      </c>
      <c r="G376" s="47">
        <f>SUMIF(JournalsA!D$14:D$920,TrialBalanceA!M376,JournalsA!J$14:J$920)+SUMIF(JournalsA!E$14:E$920,TrialBalanceA!M376,JournalsA!J$14:J$920)</f>
        <v>0</v>
      </c>
      <c r="H376" s="288"/>
      <c r="I376" s="255">
        <f t="shared" si="119"/>
        <v>0</v>
      </c>
      <c r="J376" s="75"/>
      <c r="K376" s="48">
        <f t="shared" si="120"/>
        <v>0</v>
      </c>
      <c r="M376" s="140" t="str">
        <f t="shared" si="121"/>
        <v>8900/0020</v>
      </c>
      <c r="N376" s="70"/>
      <c r="P376" s="71"/>
      <c r="Q376" s="51"/>
      <c r="R376" s="31"/>
    </row>
    <row r="377" spans="1:18" x14ac:dyDescent="0.2">
      <c r="A377" s="238"/>
      <c r="B377" s="54" t="s">
        <v>403</v>
      </c>
      <c r="C377" s="276">
        <f>TrialBalance!C377</f>
        <v>0</v>
      </c>
      <c r="D377" s="282"/>
      <c r="E377" s="272"/>
      <c r="F377" s="79">
        <f t="shared" si="84"/>
        <v>0</v>
      </c>
      <c r="G377" s="47">
        <f>SUMIF(JournalsA!D$14:D$920,TrialBalanceA!M377,JournalsA!J$14:J$920)+SUMIF(JournalsA!E$14:E$920,TrialBalanceA!M377,JournalsA!J$14:J$920)</f>
        <v>0</v>
      </c>
      <c r="H377" s="288"/>
      <c r="I377" s="255">
        <f t="shared" si="119"/>
        <v>0</v>
      </c>
      <c r="J377" s="75"/>
      <c r="K377" s="48">
        <f t="shared" si="120"/>
        <v>0</v>
      </c>
      <c r="M377" s="140" t="str">
        <f t="shared" si="121"/>
        <v>8900/0030</v>
      </c>
      <c r="N377" s="70"/>
      <c r="P377" s="71"/>
      <c r="Q377" s="51"/>
      <c r="R377" s="31"/>
    </row>
    <row r="378" spans="1:18" x14ac:dyDescent="0.2">
      <c r="A378" s="238"/>
      <c r="B378" s="54" t="s">
        <v>404</v>
      </c>
      <c r="C378" s="239" t="s">
        <v>237</v>
      </c>
      <c r="D378" s="283"/>
      <c r="E378" s="272"/>
      <c r="F378" s="79"/>
      <c r="G378" s="47">
        <f>SUMIF(JournalsA!D$14:D$920,TrialBalanceA!M378,JournalsA!J$14:J$920)+SUMIF(JournalsA!E$14:E$920,TrialBalanceA!M378,JournalsA!J$14:J$920)</f>
        <v>0</v>
      </c>
      <c r="H378" s="288"/>
      <c r="I378" s="255">
        <f t="shared" si="119"/>
        <v>0</v>
      </c>
      <c r="J378" s="75"/>
      <c r="K378" s="48">
        <f t="shared" si="120"/>
        <v>0</v>
      </c>
      <c r="M378" s="140" t="str">
        <f t="shared" si="121"/>
        <v>8900/004Short term portion of long term loans</v>
      </c>
      <c r="N378" s="70"/>
      <c r="P378" s="71"/>
      <c r="Q378" s="51"/>
      <c r="R378" s="31"/>
    </row>
    <row r="379" spans="1:18" x14ac:dyDescent="0.2">
      <c r="A379" s="238"/>
      <c r="B379" s="54" t="s">
        <v>405</v>
      </c>
      <c r="C379" s="239" t="s">
        <v>406</v>
      </c>
      <c r="D379" s="283"/>
      <c r="E379" s="272"/>
      <c r="F379" s="79"/>
      <c r="G379" s="47">
        <f>SUMIF(JournalsA!D$14:D$920,TrialBalanceA!M379,JournalsA!J$14:J$920)+SUMIF(JournalsA!E$14:E$920,TrialBalanceA!M379,JournalsA!J$14:J$920)</f>
        <v>0</v>
      </c>
      <c r="H379" s="288"/>
      <c r="I379" s="255">
        <f t="shared" si="119"/>
        <v>0</v>
      </c>
      <c r="J379" s="75"/>
      <c r="K379" s="48">
        <f t="shared" si="120"/>
        <v>0</v>
      </c>
      <c r="M379" s="140" t="str">
        <f t="shared" si="121"/>
        <v>9000/000CREDITORS</v>
      </c>
      <c r="N379" s="70"/>
      <c r="P379" s="71"/>
      <c r="Q379" s="51"/>
      <c r="R379" s="31"/>
    </row>
    <row r="380" spans="1:18" x14ac:dyDescent="0.2">
      <c r="A380" s="238"/>
      <c r="B380" s="54" t="s">
        <v>407</v>
      </c>
      <c r="C380" s="240" t="s">
        <v>408</v>
      </c>
      <c r="D380" s="282"/>
      <c r="E380" s="272"/>
      <c r="F380" s="79">
        <f>K380</f>
        <v>0</v>
      </c>
      <c r="G380" s="47">
        <f>SUMIF(JournalsA!D$14:D$920,TrialBalanceA!M380,JournalsA!J$14:J$920)+SUMIF(JournalsA!E$14:E$920,TrialBalanceA!M380,JournalsA!J$14:J$920)</f>
        <v>0</v>
      </c>
      <c r="H380" s="288"/>
      <c r="I380" s="255">
        <f t="shared" si="119"/>
        <v>0</v>
      </c>
      <c r="J380" s="75"/>
      <c r="K380" s="48">
        <f t="shared" si="120"/>
        <v>0</v>
      </c>
      <c r="M380" s="140" t="str">
        <f t="shared" si="121"/>
        <v>9010/000Trade creditors</v>
      </c>
      <c r="N380" s="70"/>
      <c r="P380" s="71"/>
      <c r="Q380" s="51"/>
      <c r="R380" s="31"/>
    </row>
    <row r="381" spans="1:18" x14ac:dyDescent="0.2">
      <c r="A381" s="238"/>
      <c r="B381" s="54" t="s">
        <v>409</v>
      </c>
      <c r="C381" s="242" t="s">
        <v>538</v>
      </c>
      <c r="D381" s="282"/>
      <c r="E381" s="272"/>
      <c r="F381" s="79">
        <f>K381</f>
        <v>0</v>
      </c>
      <c r="G381" s="47">
        <f>SUMIF(JournalsA!D$14:D$920,TrialBalanceA!M381,JournalsA!J$14:J$920)+SUMIF(JournalsA!E$14:E$920,TrialBalanceA!M381,JournalsA!J$14:J$920)</f>
        <v>0</v>
      </c>
      <c r="H381" s="288"/>
      <c r="I381" s="255">
        <f t="shared" si="119"/>
        <v>0</v>
      </c>
      <c r="J381" s="75"/>
      <c r="K381" s="48">
        <f t="shared" si="120"/>
        <v>0</v>
      </c>
      <c r="M381" s="140" t="str">
        <f t="shared" si="121"/>
        <v>9200/000Sundry suppliers</v>
      </c>
      <c r="N381" s="70"/>
      <c r="P381" s="71"/>
      <c r="Q381" s="51"/>
      <c r="R381" s="31"/>
    </row>
    <row r="382" spans="1:18" x14ac:dyDescent="0.2">
      <c r="A382" s="238"/>
      <c r="B382" s="54" t="s">
        <v>410</v>
      </c>
      <c r="C382" s="242" t="s">
        <v>705</v>
      </c>
      <c r="D382" s="284"/>
      <c r="E382" s="272"/>
      <c r="F382" s="79">
        <f>K382</f>
        <v>0</v>
      </c>
      <c r="G382" s="47">
        <f>SUMIF(JournalsA!D$14:D$920,TrialBalanceA!M382,JournalsA!J$14:J$920)+SUMIF(JournalsA!E$14:E$920,TrialBalanceA!M382,JournalsA!J$14:J$920)</f>
        <v>0</v>
      </c>
      <c r="H382" s="288"/>
      <c r="I382" s="255">
        <f t="shared" si="119"/>
        <v>0</v>
      </c>
      <c r="J382" s="75"/>
      <c r="K382" s="48">
        <f t="shared" si="120"/>
        <v>0</v>
      </c>
      <c r="M382" s="140" t="str">
        <f t="shared" si="121"/>
        <v>9200/010Audit and accounting fee accrual</v>
      </c>
      <c r="N382" s="70"/>
      <c r="P382" s="71"/>
      <c r="Q382" s="51"/>
      <c r="R382" s="31"/>
    </row>
    <row r="383" spans="1:18" x14ac:dyDescent="0.2">
      <c r="A383" s="238"/>
      <c r="B383" s="54" t="s">
        <v>411</v>
      </c>
      <c r="C383" s="242" t="s">
        <v>539</v>
      </c>
      <c r="D383" s="282"/>
      <c r="E383" s="272"/>
      <c r="F383" s="79">
        <f>K383</f>
        <v>0</v>
      </c>
      <c r="G383" s="47">
        <f>SUMIF(JournalsA!D$14:D$920,TrialBalanceA!M383,JournalsA!J$14:J$920)+SUMIF(JournalsA!E$14:E$920,TrialBalanceA!M383,JournalsA!J$14:J$920)</f>
        <v>0</v>
      </c>
      <c r="H383" s="288"/>
      <c r="I383" s="255">
        <f t="shared" si="119"/>
        <v>0</v>
      </c>
      <c r="J383" s="75"/>
      <c r="K383" s="48">
        <f t="shared" si="120"/>
        <v>0</v>
      </c>
      <c r="M383" s="140" t="str">
        <f t="shared" si="121"/>
        <v>9200/020Other accruals</v>
      </c>
      <c r="N383" s="70"/>
      <c r="P383" s="71"/>
      <c r="Q383" s="51"/>
      <c r="R383" s="31"/>
    </row>
    <row r="384" spans="1:18" x14ac:dyDescent="0.2">
      <c r="A384" s="238"/>
      <c r="B384" s="54" t="s">
        <v>412</v>
      </c>
      <c r="C384" s="242" t="s">
        <v>701</v>
      </c>
      <c r="D384" s="282"/>
      <c r="E384" s="272"/>
      <c r="F384" s="79">
        <f>K384</f>
        <v>0</v>
      </c>
      <c r="G384" s="47">
        <f>SUMIF(JournalsA!D$14:D$920,TrialBalanceA!M384,JournalsA!J$14:J$920)+SUMIF(JournalsA!E$14:E$920,TrialBalanceA!M384,JournalsA!J$14:J$920)</f>
        <v>0</v>
      </c>
      <c r="H384" s="288"/>
      <c r="I384" s="255">
        <f t="shared" si="119"/>
        <v>0</v>
      </c>
      <c r="J384" s="75"/>
      <c r="K384" s="48">
        <f t="shared" si="120"/>
        <v>0</v>
      </c>
      <c r="M384" s="140" t="str">
        <f t="shared" si="121"/>
        <v>9250/000Salary and wages control</v>
      </c>
      <c r="N384" s="70"/>
      <c r="P384" s="71"/>
      <c r="Q384" s="51"/>
      <c r="R384" s="31"/>
    </row>
    <row r="385" spans="1:18" x14ac:dyDescent="0.2">
      <c r="A385" s="238"/>
      <c r="B385" s="54" t="s">
        <v>313</v>
      </c>
      <c r="C385" s="239" t="s">
        <v>104</v>
      </c>
      <c r="D385" s="283"/>
      <c r="E385" s="272"/>
      <c r="F385" s="79"/>
      <c r="G385" s="47">
        <f>SUMIF(JournalsA!D$14:D$920,TrialBalanceA!M385,JournalsA!J$14:J$920)+SUMIF(JournalsA!E$14:E$920,TrialBalanceA!M385,JournalsA!J$14:J$920)</f>
        <v>0</v>
      </c>
      <c r="H385" s="288"/>
      <c r="I385" s="255">
        <f t="shared" si="119"/>
        <v>0</v>
      </c>
      <c r="J385" s="75"/>
      <c r="K385" s="48">
        <f t="shared" si="120"/>
        <v>0</v>
      </c>
      <c r="M385" s="140" t="str">
        <f t="shared" si="121"/>
        <v>9300/000TAXATION</v>
      </c>
      <c r="N385" s="70"/>
      <c r="P385" s="71"/>
      <c r="Q385" s="51"/>
      <c r="R385" s="31"/>
    </row>
    <row r="386" spans="1:18" x14ac:dyDescent="0.2">
      <c r="A386" s="238"/>
      <c r="B386" s="54" t="s">
        <v>423</v>
      </c>
      <c r="C386" s="240" t="s">
        <v>78</v>
      </c>
      <c r="D386" s="282"/>
      <c r="E386" s="272"/>
      <c r="F386" s="79">
        <f>SUM(K386:K393)</f>
        <v>0</v>
      </c>
      <c r="G386" s="47">
        <f>SUMIF(JournalsA!D$14:D$920,TrialBalanceA!M386,JournalsA!J$14:J$920)+SUMIF(JournalsA!E$14:E$920,TrialBalanceA!M386,JournalsA!J$14:J$920)</f>
        <v>0</v>
      </c>
      <c r="H386" s="288"/>
      <c r="I386" s="255">
        <f t="shared" si="119"/>
        <v>0</v>
      </c>
      <c r="J386" s="75"/>
      <c r="K386" s="48">
        <f t="shared" si="120"/>
        <v>0</v>
      </c>
      <c r="M386" s="140" t="str">
        <f t="shared" si="121"/>
        <v>9300/010Balance b/fwd</v>
      </c>
      <c r="N386" s="70"/>
      <c r="P386" s="71"/>
      <c r="Q386" s="51"/>
      <c r="R386" s="31"/>
    </row>
    <row r="387" spans="1:18" x14ac:dyDescent="0.2">
      <c r="A387" s="238"/>
      <c r="B387" s="54" t="s">
        <v>424</v>
      </c>
      <c r="C387" s="246" t="s">
        <v>110</v>
      </c>
      <c r="D387" s="272"/>
      <c r="E387" s="272"/>
      <c r="F387" s="79"/>
      <c r="G387" s="47">
        <f>SUMIF(JournalsA!D$14:D$920,TrialBalanceA!M387,JournalsA!J$14:J$920)+SUMIF(JournalsA!E$14:E$920,TrialBalanceA!M387,JournalsA!J$14:J$920)</f>
        <v>0</v>
      </c>
      <c r="H387" s="288"/>
      <c r="I387" s="255">
        <f t="shared" si="119"/>
        <v>0</v>
      </c>
      <c r="J387" s="75"/>
      <c r="K387" s="48">
        <f t="shared" si="120"/>
        <v>0</v>
      </c>
      <c r="M387" s="140" t="str">
        <f t="shared" si="121"/>
        <v>9300/020Tax provision this year</v>
      </c>
      <c r="N387" s="70"/>
      <c r="P387" s="71"/>
      <c r="Q387" s="51"/>
      <c r="R387" s="31"/>
    </row>
    <row r="388" spans="1:18" x14ac:dyDescent="0.2">
      <c r="A388" s="238"/>
      <c r="B388" s="54" t="s">
        <v>425</v>
      </c>
      <c r="C388" s="242" t="s">
        <v>784</v>
      </c>
      <c r="D388" s="282"/>
      <c r="E388" s="272"/>
      <c r="F388" s="79"/>
      <c r="G388" s="47">
        <f>SUMIF(JournalsA!D$14:D$920,TrialBalanceA!M388,JournalsA!J$14:J$920)+SUMIF(JournalsA!E$14:E$920,TrialBalanceA!M388,JournalsA!J$14:J$920)</f>
        <v>0</v>
      </c>
      <c r="H388" s="288"/>
      <c r="I388" s="255">
        <f t="shared" si="119"/>
        <v>0</v>
      </c>
      <c r="J388" s="75"/>
      <c r="K388" s="48">
        <f t="shared" si="120"/>
        <v>0</v>
      </c>
      <c r="M388" s="140" t="str">
        <f t="shared" si="121"/>
        <v>9300/030Over-/(Under) provision previous year</v>
      </c>
      <c r="N388" s="70"/>
      <c r="P388" s="71"/>
      <c r="Q388" s="51"/>
      <c r="R388" s="31"/>
    </row>
    <row r="389" spans="1:18" x14ac:dyDescent="0.2">
      <c r="A389" s="238"/>
      <c r="B389" s="54" t="s">
        <v>426</v>
      </c>
      <c r="C389" s="242" t="s">
        <v>785</v>
      </c>
      <c r="D389" s="282"/>
      <c r="E389" s="272"/>
      <c r="F389" s="79"/>
      <c r="G389" s="47">
        <f>SUMIF(JournalsA!D$14:D$920,TrialBalanceA!M389,JournalsA!J$14:J$920)+SUMIF(JournalsA!E$14:E$920,TrialBalanceA!M389,JournalsA!J$14:J$920)</f>
        <v>0</v>
      </c>
      <c r="H389" s="288"/>
      <c r="I389" s="255">
        <f t="shared" si="119"/>
        <v>0</v>
      </c>
      <c r="J389" s="75"/>
      <c r="K389" s="48">
        <f t="shared" si="120"/>
        <v>0</v>
      </c>
      <c r="M389" s="140" t="str">
        <f t="shared" si="121"/>
        <v>9300/040Tax paid/(refund) for previous year provisions</v>
      </c>
      <c r="N389" s="70"/>
      <c r="P389" s="71"/>
      <c r="Q389" s="51"/>
      <c r="R389" s="31"/>
    </row>
    <row r="390" spans="1:18" x14ac:dyDescent="0.2">
      <c r="A390" s="238"/>
      <c r="B390" s="54" t="s">
        <v>427</v>
      </c>
      <c r="C390" s="242" t="s">
        <v>756</v>
      </c>
      <c r="D390" s="282"/>
      <c r="E390" s="272"/>
      <c r="F390" s="79"/>
      <c r="G390" s="47">
        <f>SUMIF(JournalsA!D$14:D$920,TrialBalanceA!M390,JournalsA!J$14:J$920)+SUMIF(JournalsA!E$14:E$920,TrialBalanceA!M390,JournalsA!J$14:J$920)</f>
        <v>0</v>
      </c>
      <c r="H390" s="288"/>
      <c r="I390" s="255">
        <f t="shared" si="119"/>
        <v>0</v>
      </c>
      <c r="J390" s="75"/>
      <c r="K390" s="48">
        <f t="shared" si="120"/>
        <v>0</v>
      </c>
      <c r="M390" s="140" t="str">
        <f t="shared" si="121"/>
        <v>9300/0501st Provisional paid</v>
      </c>
      <c r="N390" s="70"/>
      <c r="P390" s="71"/>
      <c r="Q390" s="51"/>
      <c r="R390" s="31"/>
    </row>
    <row r="391" spans="1:18" x14ac:dyDescent="0.2">
      <c r="A391" s="238"/>
      <c r="B391" s="54" t="s">
        <v>428</v>
      </c>
      <c r="C391" s="242" t="s">
        <v>757</v>
      </c>
      <c r="D391" s="282"/>
      <c r="E391" s="272"/>
      <c r="F391" s="79"/>
      <c r="G391" s="47">
        <f>SUMIF(JournalsA!D$14:D$920,TrialBalanceA!M391,JournalsA!J$14:J$920)+SUMIF(JournalsA!E$14:E$920,TrialBalanceA!M391,JournalsA!J$14:J$920)</f>
        <v>0</v>
      </c>
      <c r="H391" s="288"/>
      <c r="I391" s="255">
        <f t="shared" si="119"/>
        <v>0</v>
      </c>
      <c r="J391" s="75"/>
      <c r="K391" s="48">
        <f t="shared" si="120"/>
        <v>0</v>
      </c>
      <c r="M391" s="140" t="str">
        <f t="shared" si="121"/>
        <v>9300/0602nd Provisional paid</v>
      </c>
      <c r="N391" s="70"/>
      <c r="P391" s="71"/>
      <c r="Q391" s="51"/>
      <c r="R391" s="31"/>
    </row>
    <row r="392" spans="1:18" x14ac:dyDescent="0.2">
      <c r="A392" s="238"/>
      <c r="B392" s="54" t="s">
        <v>429</v>
      </c>
      <c r="C392" s="240" t="s">
        <v>111</v>
      </c>
      <c r="D392" s="282"/>
      <c r="E392" s="272"/>
      <c r="F392" s="79"/>
      <c r="G392" s="47">
        <f>SUMIF(JournalsA!D$14:D$920,TrialBalanceA!M392,JournalsA!J$14:J$920)+SUMIF(JournalsA!E$14:E$920,TrialBalanceA!M392,JournalsA!J$14:J$920)</f>
        <v>0</v>
      </c>
      <c r="H392" s="288"/>
      <c r="I392" s="255">
        <f t="shared" si="119"/>
        <v>0</v>
      </c>
      <c r="J392" s="75"/>
      <c r="K392" s="48">
        <f t="shared" si="120"/>
        <v>0</v>
      </c>
      <c r="M392" s="140" t="str">
        <f t="shared" si="121"/>
        <v>9300/0703rd Provisional paid</v>
      </c>
      <c r="N392" s="70"/>
      <c r="P392" s="71"/>
      <c r="Q392" s="51"/>
      <c r="R392" s="31"/>
    </row>
    <row r="393" spans="1:18" x14ac:dyDescent="0.2">
      <c r="A393" s="238"/>
      <c r="B393" s="54" t="s">
        <v>430</v>
      </c>
      <c r="C393" s="242" t="s">
        <v>787</v>
      </c>
      <c r="D393" s="282"/>
      <c r="E393" s="272"/>
      <c r="F393" s="79"/>
      <c r="G393" s="47">
        <f>SUMIF(JournalsA!D$14:D$920,TrialBalanceA!M393,JournalsA!J$14:J$920)+SUMIF(JournalsA!E$14:E$920,TrialBalanceA!M393,JournalsA!J$14:J$920)</f>
        <v>0</v>
      </c>
      <c r="H393" s="288"/>
      <c r="I393" s="255">
        <f t="shared" si="119"/>
        <v>0</v>
      </c>
      <c r="J393" s="75"/>
      <c r="K393" s="48">
        <f t="shared" si="120"/>
        <v>0</v>
      </c>
      <c r="M393" s="140" t="str">
        <f t="shared" si="121"/>
        <v>9300/090Dividends tax provision</v>
      </c>
      <c r="N393" s="70"/>
      <c r="P393" s="71"/>
      <c r="Q393" s="51"/>
      <c r="R393" s="31"/>
    </row>
    <row r="394" spans="1:18" x14ac:dyDescent="0.2">
      <c r="A394" s="238"/>
      <c r="B394" s="54" t="s">
        <v>314</v>
      </c>
      <c r="C394" s="242" t="s">
        <v>525</v>
      </c>
      <c r="D394" s="284"/>
      <c r="E394" s="272"/>
      <c r="F394" s="79">
        <f>K394</f>
        <v>0</v>
      </c>
      <c r="G394" s="47">
        <f>SUMIF(JournalsA!D$14:D$920,TrialBalanceA!M394,JournalsA!J$14:J$920)+SUMIF(JournalsA!E$14:E$920,TrialBalanceA!M394,JournalsA!J$14:J$920)</f>
        <v>0</v>
      </c>
      <c r="H394" s="288"/>
      <c r="I394" s="255">
        <f t="shared" si="119"/>
        <v>0</v>
      </c>
      <c r="J394" s="75"/>
      <c r="K394" s="48">
        <f t="shared" si="120"/>
        <v>0</v>
      </c>
      <c r="M394" s="140" t="str">
        <f t="shared" si="121"/>
        <v>9350/000Dividends payable</v>
      </c>
      <c r="N394" s="70"/>
      <c r="P394" s="71"/>
      <c r="Q394" s="51"/>
      <c r="R394" s="31"/>
    </row>
    <row r="395" spans="1:18" x14ac:dyDescent="0.2">
      <c r="A395" s="238"/>
      <c r="B395" s="54" t="s">
        <v>315</v>
      </c>
      <c r="C395" s="242" t="s">
        <v>526</v>
      </c>
      <c r="D395" s="284"/>
      <c r="E395" s="272"/>
      <c r="F395" s="79">
        <f>K395</f>
        <v>0</v>
      </c>
      <c r="G395" s="47">
        <f>SUMIF(JournalsA!D$14:D$920,TrialBalanceA!M395,JournalsA!J$14:J$920)+SUMIF(JournalsA!E$14:E$920,TrialBalanceA!M395,JournalsA!J$14:J$920)</f>
        <v>0</v>
      </c>
      <c r="H395" s="288"/>
      <c r="I395" s="255">
        <f t="shared" si="119"/>
        <v>0</v>
      </c>
      <c r="J395" s="75"/>
      <c r="K395" s="48">
        <f t="shared" si="120"/>
        <v>0</v>
      </c>
      <c r="M395" s="140" t="str">
        <f t="shared" si="121"/>
        <v>9400/000Provision for future expenses</v>
      </c>
      <c r="N395" s="70"/>
      <c r="P395" s="71"/>
      <c r="Q395" s="51"/>
      <c r="R395" s="31"/>
    </row>
    <row r="396" spans="1:18" x14ac:dyDescent="0.2">
      <c r="A396" s="238"/>
      <c r="B396" s="54" t="s">
        <v>316</v>
      </c>
      <c r="C396" s="242" t="s">
        <v>527</v>
      </c>
      <c r="D396" s="284"/>
      <c r="E396" s="272"/>
      <c r="F396" s="79">
        <f>K396</f>
        <v>0</v>
      </c>
      <c r="G396" s="47">
        <f>SUMIF(JournalsA!D$14:D$920,TrialBalanceA!M396,JournalsA!J$14:J$920)+SUMIF(JournalsA!E$14:E$920,TrialBalanceA!M396,JournalsA!J$14:J$920)</f>
        <v>0</v>
      </c>
      <c r="H396" s="288"/>
      <c r="I396" s="255">
        <f t="shared" si="119"/>
        <v>0</v>
      </c>
      <c r="J396" s="75"/>
      <c r="K396" s="48">
        <f t="shared" si="120"/>
        <v>0</v>
      </c>
      <c r="M396" s="140" t="str">
        <f t="shared" si="121"/>
        <v>9400/010Provision for insurance</v>
      </c>
      <c r="N396" s="70"/>
      <c r="P396" s="71"/>
      <c r="Q396" s="51"/>
      <c r="R396" s="31"/>
    </row>
    <row r="397" spans="1:18" x14ac:dyDescent="0.2">
      <c r="A397" s="238"/>
      <c r="B397" s="54" t="s">
        <v>317</v>
      </c>
      <c r="C397" s="242" t="s">
        <v>528</v>
      </c>
      <c r="D397" s="284"/>
      <c r="E397" s="272"/>
      <c r="F397" s="79">
        <f>K397</f>
        <v>0</v>
      </c>
      <c r="G397" s="47">
        <f>SUMIF(JournalsA!D$14:D$920,TrialBalanceA!M397,JournalsA!J$14:J$920)+SUMIF(JournalsA!E$14:E$920,TrialBalanceA!M397,JournalsA!J$14:J$920)</f>
        <v>0</v>
      </c>
      <c r="H397" s="288"/>
      <c r="I397" s="255">
        <f t="shared" si="119"/>
        <v>0</v>
      </c>
      <c r="J397" s="75"/>
      <c r="K397" s="48">
        <f t="shared" si="120"/>
        <v>0</v>
      </c>
      <c r="M397" s="140" t="str">
        <f t="shared" si="121"/>
        <v>9400/020Provision for salary bonus</v>
      </c>
      <c r="N397" s="70"/>
      <c r="P397" s="71"/>
      <c r="Q397" s="51"/>
      <c r="R397" s="31"/>
    </row>
    <row r="398" spans="1:18" x14ac:dyDescent="0.2">
      <c r="A398" s="238"/>
      <c r="B398" s="54" t="s">
        <v>318</v>
      </c>
      <c r="C398" s="239" t="s">
        <v>319</v>
      </c>
      <c r="D398" s="283"/>
      <c r="E398" s="272"/>
      <c r="F398" s="79"/>
      <c r="G398" s="47">
        <f>SUMIF(JournalsA!D$14:D$920,TrialBalanceA!M398,JournalsA!J$14:J$920)+SUMIF(JournalsA!E$14:E$920,TrialBalanceA!M398,JournalsA!J$14:J$920)</f>
        <v>0</v>
      </c>
      <c r="H398" s="288"/>
      <c r="I398" s="255">
        <f t="shared" si="119"/>
        <v>0</v>
      </c>
      <c r="J398" s="75"/>
      <c r="K398" s="48">
        <f t="shared" si="120"/>
        <v>0</v>
      </c>
      <c r="M398" s="140" t="str">
        <f t="shared" si="121"/>
        <v>9500/000VALUE ADDED TAX</v>
      </c>
      <c r="N398" s="70"/>
      <c r="P398" s="71"/>
      <c r="Q398" s="51"/>
      <c r="R398" s="31"/>
    </row>
    <row r="399" spans="1:18" x14ac:dyDescent="0.2">
      <c r="A399" s="238"/>
      <c r="B399" s="54" t="s">
        <v>320</v>
      </c>
      <c r="C399" s="240" t="s">
        <v>321</v>
      </c>
      <c r="D399" s="282"/>
      <c r="E399" s="282"/>
      <c r="F399" s="79">
        <f>K399</f>
        <v>0</v>
      </c>
      <c r="G399" s="47">
        <f>SUMIF(JournalsA!D$14:D$920,TrialBalanceA!M399,JournalsA!J$14:J$920)+SUMIF(JournalsA!E$14:E$920,TrialBalanceA!M399,JournalsA!J$14:J$920)</f>
        <v>0</v>
      </c>
      <c r="H399" s="288"/>
      <c r="I399" s="255">
        <f t="shared" si="119"/>
        <v>0</v>
      </c>
      <c r="J399" s="75"/>
      <c r="K399" s="48">
        <f t="shared" si="120"/>
        <v>0</v>
      </c>
      <c r="M399" s="140" t="str">
        <f t="shared" si="121"/>
        <v>9501/000VAT account</v>
      </c>
      <c r="N399" s="70"/>
      <c r="P399" s="71"/>
      <c r="Q399" s="51"/>
      <c r="R399" s="31"/>
    </row>
    <row r="400" spans="1:18" x14ac:dyDescent="0.2">
      <c r="A400" s="238"/>
      <c r="B400" s="54" t="s">
        <v>322</v>
      </c>
      <c r="C400" s="240" t="s">
        <v>27</v>
      </c>
      <c r="D400" s="284"/>
      <c r="E400" s="272"/>
      <c r="F400" s="79"/>
      <c r="G400" s="47">
        <f>SUMIF(JournalsA!D$14:D$920,TrialBalanceA!M400,JournalsA!J$14:J$920)+SUMIF(JournalsA!E$14:E$920,TrialBalanceA!M400,JournalsA!J$14:J$920)</f>
        <v>0</v>
      </c>
      <c r="H400" s="288"/>
      <c r="I400" s="255">
        <f t="shared" si="119"/>
        <v>0</v>
      </c>
      <c r="J400" s="75"/>
      <c r="K400" s="48">
        <f t="shared" si="120"/>
        <v>0</v>
      </c>
      <c r="M400" s="140" t="str">
        <f t="shared" si="121"/>
        <v>9510/000----------------------------------------</v>
      </c>
      <c r="N400" s="70"/>
      <c r="P400" s="71"/>
      <c r="Q400" s="51"/>
      <c r="R400" s="31"/>
    </row>
    <row r="401" spans="1:18" x14ac:dyDescent="0.2">
      <c r="A401" s="238"/>
      <c r="B401" s="54" t="s">
        <v>323</v>
      </c>
      <c r="C401" s="239" t="s">
        <v>758</v>
      </c>
      <c r="D401" s="283"/>
      <c r="E401" s="272"/>
      <c r="F401" s="79">
        <f>K401</f>
        <v>0</v>
      </c>
      <c r="G401" s="47">
        <f>SUMIF(JournalsA!D$14:D$920,TrialBalanceA!M401,JournalsA!J$14:J$920)+SUMIF(JournalsA!E$14:E$920,TrialBalanceA!M401,JournalsA!J$14:J$920)</f>
        <v>0</v>
      </c>
      <c r="H401" s="288"/>
      <c r="I401" s="255">
        <f t="shared" si="119"/>
        <v>0</v>
      </c>
      <c r="J401" s="75"/>
      <c r="K401" s="48">
        <f t="shared" si="120"/>
        <v>0</v>
      </c>
      <c r="M401" s="140" t="str">
        <f t="shared" si="121"/>
        <v>9990/000Suspense account</v>
      </c>
      <c r="N401" s="70"/>
      <c r="P401" s="71"/>
      <c r="Q401" s="51"/>
      <c r="R401" s="31"/>
    </row>
    <row r="402" spans="1:18" x14ac:dyDescent="0.2">
      <c r="A402" s="238"/>
      <c r="B402" s="54"/>
      <c r="C402" s="54"/>
      <c r="D402" s="282"/>
      <c r="E402" s="272"/>
      <c r="F402" s="79"/>
      <c r="G402" s="47"/>
      <c r="H402" s="288"/>
      <c r="I402" s="255"/>
      <c r="J402" s="75"/>
      <c r="K402" s="48"/>
      <c r="M402" s="140"/>
      <c r="N402" s="70"/>
      <c r="P402" s="71"/>
      <c r="Q402" s="51"/>
      <c r="R402" s="31"/>
    </row>
    <row r="403" spans="1:18" x14ac:dyDescent="0.2">
      <c r="A403" s="238"/>
      <c r="B403" s="54" t="s">
        <v>212</v>
      </c>
      <c r="C403" s="55" t="s">
        <v>212</v>
      </c>
      <c r="D403" s="263"/>
      <c r="E403" s="263"/>
      <c r="F403" s="82"/>
      <c r="G403" s="47"/>
      <c r="H403" s="288"/>
      <c r="I403" s="255"/>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122">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153"/>
      <c r="J405" s="59"/>
      <c r="K405" s="38"/>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PoGZG53a2OWxq+/ScPG+FKxuB06dvL3/i3P6SDrKjpDWXBkmwiOz5Y3hQhsE6GrNw7ga4XCegCEaGDGZKtbeRg==" saltValue="qPfnyq1OYI+yiwPrWBqAmA=="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EB0625A9-7A1C-4168-B43A-54167DBF18A5}"/>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3472"/>
  <sheetViews>
    <sheetView view="pageBreakPreview" zoomScale="60" zoomScaleNormal="100" workbookViewId="0">
      <selection activeCell="A2786" sqref="A2786"/>
    </sheetView>
  </sheetViews>
  <sheetFormatPr defaultRowHeight="31.5" x14ac:dyDescent="0.45"/>
  <cols>
    <col min="1" max="1" width="4.28515625" style="345" customWidth="1"/>
    <col min="2" max="2" width="6.140625" style="345" customWidth="1"/>
    <col min="3" max="3" width="9.7109375" style="345" customWidth="1"/>
    <col min="4" max="4" width="10.28515625" style="345" customWidth="1"/>
    <col min="5" max="5" width="9.7109375" style="345" customWidth="1"/>
    <col min="6" max="6" width="5.140625" style="345" customWidth="1"/>
    <col min="7" max="7" width="17.5703125" style="345" customWidth="1"/>
    <col min="8" max="8" width="21.85546875" style="345" customWidth="1"/>
    <col min="9" max="9" width="4.7109375" style="345" customWidth="1"/>
    <col min="10" max="10" width="22" style="345" customWidth="1"/>
    <col min="11" max="11" width="21.85546875" style="345" customWidth="1"/>
    <col min="12" max="12" width="3.28515625" style="345" customWidth="1"/>
    <col min="13" max="13" width="26.5703125" style="346" customWidth="1"/>
    <col min="14" max="14" width="3.7109375" style="347" customWidth="1"/>
    <col min="15" max="15" width="26.5703125" style="346" customWidth="1"/>
    <col min="16" max="16" width="3.42578125" style="347" customWidth="1"/>
    <col min="17" max="17" width="6.42578125" style="345" customWidth="1"/>
    <col min="18" max="18" width="17.42578125" style="348" customWidth="1"/>
    <col min="19" max="19" width="20.85546875" style="331" bestFit="1" customWidth="1"/>
    <col min="20" max="20" width="4.85546875" style="331" customWidth="1"/>
    <col min="21" max="21" width="20.85546875" style="331" bestFit="1" customWidth="1"/>
    <col min="22" max="22" width="18.7109375" style="331" bestFit="1" customWidth="1"/>
    <col min="23" max="23" width="6.28515625" style="331" customWidth="1"/>
    <col min="24" max="24" width="19.85546875" style="331" customWidth="1"/>
    <col min="25" max="25" width="12" style="331" bestFit="1" customWidth="1"/>
    <col min="26" max="26" width="8.85546875" style="331" customWidth="1"/>
    <col min="27" max="27" width="21.85546875" style="331" bestFit="1" customWidth="1"/>
    <col min="28" max="29" width="8.85546875" style="349" customWidth="1"/>
    <col min="30" max="53" width="9.140625" style="349"/>
    <col min="54" max="16384" width="9.140625" style="350"/>
  </cols>
  <sheetData>
    <row r="1" spans="1:24" ht="31.5" customHeight="1" x14ac:dyDescent="0.45">
      <c r="V1" s="477" t="s">
        <v>648</v>
      </c>
      <c r="W1" s="477"/>
      <c r="X1" s="477"/>
    </row>
    <row r="2" spans="1:24" ht="31.5" customHeight="1" x14ac:dyDescent="0.45">
      <c r="V2" s="315" t="str">
        <f>IF(COUNTIF(V3:V3472,"FALSE")&gt;0,"NO","YES")</f>
        <v>YES</v>
      </c>
      <c r="W2" s="196"/>
      <c r="X2" s="315" t="str">
        <f>IF(COUNTIF(X3:X3472,"FALSE")&gt;0,"NO","YES")</f>
        <v>YES</v>
      </c>
    </row>
    <row r="3" spans="1:24" ht="31.5" customHeight="1" x14ac:dyDescent="0.45"/>
    <row r="4" spans="1:24" ht="31.5" customHeight="1" x14ac:dyDescent="0.45">
      <c r="H4" s="351"/>
      <c r="J4" s="351"/>
      <c r="K4" s="351"/>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50"/>
      <c r="B14" s="450"/>
      <c r="C14" s="450"/>
      <c r="D14" s="450"/>
      <c r="E14" s="450"/>
      <c r="F14" s="450"/>
      <c r="G14" s="450"/>
      <c r="H14" s="450"/>
      <c r="I14" s="450"/>
      <c r="J14" s="450"/>
      <c r="K14" s="450"/>
      <c r="L14" s="450"/>
      <c r="M14" s="451"/>
      <c r="N14" s="451"/>
      <c r="O14" s="451"/>
      <c r="P14" s="451"/>
      <c r="Q14" s="450"/>
    </row>
    <row r="15" spans="1:24" ht="36" customHeight="1" x14ac:dyDescent="0.5">
      <c r="A15" s="450"/>
      <c r="B15" s="450"/>
      <c r="C15" s="450"/>
      <c r="D15" s="450"/>
      <c r="E15" s="450"/>
      <c r="F15" s="450"/>
      <c r="G15" s="450"/>
      <c r="H15" s="450"/>
      <c r="I15" s="450"/>
      <c r="J15" s="450"/>
      <c r="K15" s="450"/>
      <c r="L15" s="450"/>
      <c r="M15" s="452"/>
      <c r="N15" s="452"/>
      <c r="O15" s="451"/>
      <c r="P15" s="451"/>
      <c r="Q15" s="450"/>
    </row>
    <row r="16" spans="1:24" ht="36" customHeight="1" x14ac:dyDescent="0.4">
      <c r="A16" s="479" t="str">
        <f>Criteria!E9</f>
        <v>HOLDING COMPANY 268 (PROPRIETARY) LIMITED</v>
      </c>
      <c r="B16" s="479"/>
      <c r="C16" s="479"/>
      <c r="D16" s="479"/>
      <c r="E16" s="479"/>
      <c r="F16" s="479"/>
      <c r="G16" s="479"/>
      <c r="H16" s="479"/>
      <c r="I16" s="479"/>
      <c r="J16" s="479"/>
      <c r="K16" s="479"/>
      <c r="L16" s="479"/>
      <c r="M16" s="479"/>
      <c r="N16" s="479"/>
      <c r="O16" s="479"/>
      <c r="P16" s="479"/>
      <c r="Q16" s="479"/>
    </row>
    <row r="17" spans="1:17" ht="36" customHeight="1" x14ac:dyDescent="0.4">
      <c r="A17" s="434"/>
      <c r="B17" s="434"/>
      <c r="C17" s="434"/>
      <c r="D17" s="434"/>
      <c r="E17" s="434"/>
      <c r="F17" s="455"/>
      <c r="G17" s="455"/>
      <c r="H17" s="455"/>
      <c r="I17" s="455"/>
      <c r="J17" s="455"/>
      <c r="K17" s="455"/>
      <c r="L17" s="455"/>
      <c r="M17" s="455"/>
      <c r="N17" s="442"/>
      <c r="O17" s="435"/>
      <c r="P17" s="435"/>
      <c r="Q17" s="434"/>
    </row>
    <row r="18" spans="1:17" ht="36" customHeight="1" x14ac:dyDescent="0.4">
      <c r="A18" s="479" t="s">
        <v>1135</v>
      </c>
      <c r="B18" s="479"/>
      <c r="C18" s="479"/>
      <c r="D18" s="479"/>
      <c r="E18" s="479"/>
      <c r="F18" s="479"/>
      <c r="G18" s="479"/>
      <c r="H18" s="479"/>
      <c r="I18" s="479"/>
      <c r="J18" s="479"/>
      <c r="K18" s="479"/>
      <c r="L18" s="479"/>
      <c r="M18" s="479"/>
      <c r="N18" s="479"/>
      <c r="O18" s="479"/>
      <c r="P18" s="479"/>
      <c r="Q18" s="479"/>
    </row>
    <row r="19" spans="1:17" ht="36" customHeight="1" x14ac:dyDescent="0.4">
      <c r="A19" s="434"/>
      <c r="B19" s="434"/>
      <c r="C19" s="434"/>
      <c r="D19" s="434"/>
      <c r="E19" s="434"/>
      <c r="F19" s="455"/>
      <c r="G19" s="455"/>
      <c r="H19" s="455"/>
      <c r="I19" s="455"/>
      <c r="J19" s="455"/>
      <c r="K19" s="455"/>
      <c r="L19" s="455"/>
      <c r="M19" s="455"/>
      <c r="N19" s="455"/>
      <c r="O19" s="435"/>
      <c r="P19" s="435"/>
      <c r="Q19" s="434"/>
    </row>
    <row r="20" spans="1:17" ht="36" customHeight="1" x14ac:dyDescent="0.4">
      <c r="A20" s="479" t="str">
        <f>Criteria!E20</f>
        <v>28 FEBRUARY 2025</v>
      </c>
      <c r="B20" s="479"/>
      <c r="C20" s="479"/>
      <c r="D20" s="479"/>
      <c r="E20" s="479"/>
      <c r="F20" s="479"/>
      <c r="G20" s="479"/>
      <c r="H20" s="479"/>
      <c r="I20" s="479"/>
      <c r="J20" s="479"/>
      <c r="K20" s="479"/>
      <c r="L20" s="479"/>
      <c r="M20" s="479"/>
      <c r="N20" s="479"/>
      <c r="O20" s="479"/>
      <c r="P20" s="479"/>
      <c r="Q20" s="479"/>
    </row>
    <row r="21" spans="1:17" ht="36" customHeight="1" x14ac:dyDescent="0.5">
      <c r="A21" s="450"/>
      <c r="B21" s="450"/>
      <c r="C21" s="450"/>
      <c r="D21" s="450"/>
      <c r="E21" s="450"/>
      <c r="F21" s="450"/>
      <c r="G21" s="450"/>
      <c r="H21" s="450"/>
      <c r="I21" s="450"/>
      <c r="J21" s="450"/>
      <c r="K21" s="450"/>
      <c r="L21" s="450"/>
      <c r="M21" s="452"/>
      <c r="N21" s="452"/>
      <c r="O21" s="451"/>
      <c r="P21" s="451"/>
      <c r="Q21" s="450"/>
    </row>
    <row r="22" spans="1:17" ht="31.5" customHeight="1" x14ac:dyDescent="0.5">
      <c r="A22" s="450"/>
      <c r="B22" s="450"/>
      <c r="C22" s="450"/>
      <c r="D22" s="450"/>
      <c r="E22" s="450"/>
      <c r="F22" s="450"/>
      <c r="G22" s="450"/>
      <c r="H22" s="450"/>
      <c r="I22" s="450"/>
      <c r="J22" s="450"/>
      <c r="K22" s="450"/>
      <c r="L22" s="450"/>
      <c r="M22" s="451"/>
      <c r="N22" s="451"/>
      <c r="O22" s="451"/>
      <c r="P22" s="451"/>
      <c r="Q22" s="450"/>
    </row>
    <row r="23" spans="1:17" ht="31.5" customHeight="1" x14ac:dyDescent="0.5">
      <c r="A23" s="450"/>
      <c r="B23" s="450"/>
      <c r="C23" s="450"/>
      <c r="D23" s="450"/>
      <c r="E23" s="450"/>
      <c r="F23" s="450"/>
      <c r="G23" s="450"/>
      <c r="H23" s="450"/>
      <c r="I23" s="450"/>
      <c r="J23" s="450"/>
      <c r="K23" s="450"/>
      <c r="L23" s="450"/>
      <c r="M23" s="451"/>
      <c r="N23" s="451"/>
      <c r="O23" s="451"/>
      <c r="P23" s="451"/>
      <c r="Q23" s="450"/>
    </row>
    <row r="24" spans="1:17" ht="31.5" customHeight="1" x14ac:dyDescent="0.5">
      <c r="A24" s="450"/>
      <c r="B24" s="450"/>
      <c r="C24" s="450"/>
      <c r="D24" s="450"/>
      <c r="E24" s="450"/>
      <c r="F24" s="450"/>
      <c r="G24" s="450"/>
      <c r="H24" s="450"/>
      <c r="I24" s="450"/>
      <c r="J24" s="450"/>
      <c r="K24" s="450"/>
      <c r="L24" s="450"/>
      <c r="M24" s="451"/>
      <c r="N24" s="451"/>
      <c r="O24" s="451"/>
      <c r="P24" s="451"/>
      <c r="Q24" s="450"/>
    </row>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33" t="str">
        <f>Criteria!E9</f>
        <v>HOLDING COMPANY 268 (PROPRIETARY) LIMITED</v>
      </c>
      <c r="E57" s="434"/>
      <c r="F57" s="434"/>
      <c r="G57" s="434"/>
      <c r="H57" s="434"/>
      <c r="I57" s="434"/>
      <c r="J57" s="434"/>
      <c r="K57" s="434"/>
      <c r="L57" s="434"/>
      <c r="M57" s="435"/>
      <c r="N57" s="435"/>
      <c r="O57" s="435"/>
      <c r="P57" s="435"/>
      <c r="Q57" s="434"/>
    </row>
    <row r="58" spans="4:18" ht="36" customHeight="1" x14ac:dyDescent="0.45">
      <c r="D58" s="433" t="str">
        <f>Criteria!E10</f>
        <v>CONSOLIDATED FINANCIAL STATEMENTS</v>
      </c>
      <c r="E58" s="434"/>
      <c r="F58" s="434"/>
      <c r="G58" s="434"/>
      <c r="H58" s="434"/>
      <c r="I58" s="434"/>
      <c r="J58" s="434"/>
      <c r="K58" s="434"/>
      <c r="L58" s="434"/>
      <c r="M58" s="435"/>
      <c r="N58" s="435"/>
      <c r="O58" s="435"/>
      <c r="P58" s="435"/>
      <c r="Q58" s="434"/>
      <c r="R58" s="348" t="str">
        <f>IF(D58=0,"DELETE"," ")</f>
        <v xml:space="preserve"> </v>
      </c>
    </row>
    <row r="59" spans="4:18" ht="36" customHeight="1" x14ac:dyDescent="0.45">
      <c r="D59" s="433" t="str">
        <f>Criteria!E18</f>
        <v>2000/123456/07</v>
      </c>
      <c r="E59" s="434"/>
      <c r="F59" s="434"/>
      <c r="G59" s="434"/>
      <c r="H59" s="434"/>
      <c r="I59" s="434"/>
      <c r="J59" s="434"/>
      <c r="K59" s="434"/>
      <c r="L59" s="434"/>
      <c r="M59" s="435"/>
      <c r="N59" s="435"/>
      <c r="O59" s="435"/>
      <c r="P59" s="435"/>
      <c r="Q59" s="434"/>
    </row>
    <row r="60" spans="4:18" ht="36" customHeight="1" x14ac:dyDescent="0.45">
      <c r="D60" s="433"/>
      <c r="E60" s="434"/>
      <c r="F60" s="434"/>
      <c r="G60" s="434"/>
      <c r="H60" s="434"/>
      <c r="I60" s="434"/>
      <c r="J60" s="434"/>
      <c r="K60" s="434"/>
      <c r="L60" s="434"/>
      <c r="M60" s="435"/>
      <c r="N60" s="435"/>
      <c r="O60" s="435"/>
      <c r="P60" s="435"/>
      <c r="Q60" s="434"/>
    </row>
    <row r="61" spans="4:18" ht="36" customHeight="1" x14ac:dyDescent="0.45">
      <c r="D61" s="433" t="s">
        <v>825</v>
      </c>
      <c r="E61" s="434"/>
      <c r="F61" s="434"/>
      <c r="G61" s="434"/>
      <c r="H61" s="434"/>
      <c r="I61" s="434"/>
      <c r="J61" s="434"/>
      <c r="K61" s="434"/>
      <c r="L61" s="434"/>
      <c r="M61" s="435"/>
      <c r="N61" s="435"/>
      <c r="O61" s="435"/>
      <c r="P61" s="435"/>
      <c r="Q61" s="434"/>
    </row>
    <row r="62" spans="4:18" ht="36" customHeight="1" x14ac:dyDescent="0.45">
      <c r="D62" s="433" t="str">
        <f>Criteria!E20</f>
        <v>28 FEBRUARY 2025</v>
      </c>
      <c r="E62" s="434"/>
      <c r="F62" s="434"/>
      <c r="G62" s="434"/>
      <c r="H62" s="434"/>
      <c r="I62" s="434"/>
      <c r="J62" s="434"/>
      <c r="K62" s="434"/>
      <c r="L62" s="434"/>
      <c r="M62" s="435"/>
      <c r="N62" s="435"/>
      <c r="O62" s="435"/>
      <c r="P62" s="435"/>
      <c r="Q62" s="434"/>
    </row>
    <row r="63" spans="4:18" ht="36" customHeight="1" x14ac:dyDescent="0.45">
      <c r="D63" s="434"/>
      <c r="E63" s="434"/>
      <c r="F63" s="434"/>
      <c r="G63" s="434"/>
      <c r="H63" s="434"/>
      <c r="I63" s="434"/>
      <c r="J63" s="434"/>
      <c r="K63" s="434"/>
      <c r="L63" s="434"/>
      <c r="M63" s="435"/>
      <c r="N63" s="435"/>
      <c r="O63" s="435"/>
      <c r="P63" s="435"/>
      <c r="Q63" s="434"/>
    </row>
    <row r="64" spans="4:18" ht="36" customHeight="1" x14ac:dyDescent="0.45">
      <c r="D64" s="434" t="s">
        <v>831</v>
      </c>
      <c r="E64" s="434"/>
      <c r="F64" s="434"/>
      <c r="G64" s="434"/>
      <c r="H64" s="434"/>
      <c r="I64" s="434"/>
      <c r="J64" s="434"/>
      <c r="K64" s="434"/>
      <c r="L64" s="434"/>
      <c r="M64" s="435"/>
      <c r="N64" s="435"/>
      <c r="O64" s="435"/>
      <c r="P64" s="435"/>
      <c r="Q64" s="434"/>
    </row>
    <row r="65" spans="4:17" ht="36" customHeight="1" x14ac:dyDescent="0.45">
      <c r="D65" s="434" t="str">
        <f>IF(MAX(Criteria!H51:H55)=1,"Statements presented to the Shareholder:","Statements presented to the Shareholders:")</f>
        <v>Statements presented to the Shareholders:</v>
      </c>
      <c r="E65" s="434"/>
      <c r="F65" s="434"/>
      <c r="G65" s="434"/>
      <c r="H65" s="434"/>
      <c r="I65" s="434"/>
      <c r="J65" s="434"/>
      <c r="K65" s="434"/>
      <c r="L65" s="434"/>
      <c r="M65" s="435"/>
      <c r="N65" s="435"/>
      <c r="O65" s="435"/>
      <c r="P65" s="435"/>
      <c r="Q65" s="434"/>
    </row>
    <row r="66" spans="4:17" ht="36" customHeight="1" x14ac:dyDescent="0.45">
      <c r="D66" s="434"/>
      <c r="E66" s="434"/>
      <c r="F66" s="434"/>
      <c r="G66" s="434"/>
      <c r="H66" s="434"/>
      <c r="I66" s="434"/>
      <c r="J66" s="434"/>
      <c r="K66" s="434"/>
      <c r="L66" s="434"/>
      <c r="M66" s="435"/>
      <c r="N66" s="435"/>
      <c r="O66" s="435"/>
      <c r="P66" s="435"/>
      <c r="Q66" s="434"/>
    </row>
    <row r="67" spans="4:17" ht="36" customHeight="1" x14ac:dyDescent="0.45">
      <c r="D67" s="433" t="s">
        <v>1026</v>
      </c>
      <c r="E67" s="434"/>
      <c r="F67" s="434"/>
      <c r="G67" s="434"/>
      <c r="H67" s="434"/>
      <c r="I67" s="434"/>
      <c r="J67" s="434"/>
      <c r="K67" s="434"/>
      <c r="L67" s="434"/>
      <c r="M67" s="435"/>
      <c r="N67" s="436"/>
      <c r="O67" s="436" t="s">
        <v>1027</v>
      </c>
      <c r="P67" s="435"/>
      <c r="Q67" s="434"/>
    </row>
    <row r="68" spans="4:17" ht="36" customHeight="1" x14ac:dyDescent="0.45">
      <c r="D68" s="434"/>
      <c r="E68" s="434"/>
      <c r="F68" s="434"/>
      <c r="G68" s="434"/>
      <c r="H68" s="434"/>
      <c r="I68" s="434"/>
      <c r="J68" s="434"/>
      <c r="K68" s="434"/>
      <c r="L68" s="434"/>
      <c r="M68" s="435"/>
      <c r="N68" s="435"/>
      <c r="O68" s="435"/>
      <c r="P68" s="435"/>
      <c r="Q68" s="434"/>
    </row>
    <row r="69" spans="4:17" ht="36" customHeight="1" x14ac:dyDescent="0.45">
      <c r="D69" s="434" t="s">
        <v>1028</v>
      </c>
      <c r="E69" s="434"/>
      <c r="F69" s="434"/>
      <c r="G69" s="434"/>
      <c r="H69" s="434"/>
      <c r="I69" s="434"/>
      <c r="J69" s="434"/>
      <c r="K69" s="434"/>
      <c r="L69" s="434"/>
      <c r="M69" s="435"/>
      <c r="N69" s="437"/>
      <c r="O69" s="437">
        <f>Q105</f>
        <v>1</v>
      </c>
      <c r="P69" s="435"/>
      <c r="Q69" s="434"/>
    </row>
    <row r="70" spans="4:17" ht="36" customHeight="1" x14ac:dyDescent="0.45">
      <c r="D70" s="434"/>
      <c r="E70" s="434"/>
      <c r="F70" s="434"/>
      <c r="G70" s="434"/>
      <c r="H70" s="434"/>
      <c r="I70" s="434"/>
      <c r="J70" s="434"/>
      <c r="K70" s="434"/>
      <c r="L70" s="434"/>
      <c r="M70" s="435"/>
      <c r="N70" s="437"/>
      <c r="O70" s="437"/>
      <c r="P70" s="435"/>
      <c r="Q70" s="434"/>
    </row>
    <row r="71" spans="4:17" ht="36" customHeight="1" x14ac:dyDescent="0.45">
      <c r="D71" s="434" t="s">
        <v>1029</v>
      </c>
      <c r="E71" s="434"/>
      <c r="F71" s="434"/>
      <c r="G71" s="434"/>
      <c r="H71" s="434"/>
      <c r="I71" s="434"/>
      <c r="J71" s="434"/>
      <c r="K71" s="434"/>
      <c r="L71" s="434"/>
      <c r="M71" s="435"/>
      <c r="N71" s="437"/>
      <c r="O71" s="437" t="str">
        <f>CONCATENATE(Q157," - ",MAX($Q$105:Q253))</f>
        <v>2 - 3</v>
      </c>
      <c r="P71" s="435"/>
      <c r="Q71" s="434"/>
    </row>
    <row r="72" spans="4:17" ht="36" customHeight="1" x14ac:dyDescent="0.45">
      <c r="D72" s="434"/>
      <c r="E72" s="434"/>
      <c r="F72" s="434"/>
      <c r="G72" s="434"/>
      <c r="H72" s="434"/>
      <c r="I72" s="434"/>
      <c r="J72" s="434"/>
      <c r="K72" s="434"/>
      <c r="L72" s="434"/>
      <c r="M72" s="435"/>
      <c r="N72" s="437"/>
      <c r="O72" s="437"/>
      <c r="P72" s="435"/>
      <c r="Q72" s="434"/>
    </row>
    <row r="73" spans="4:17" ht="36" customHeight="1" x14ac:dyDescent="0.45">
      <c r="D73" s="434" t="str">
        <f>IF(MAX(Criteria!I38:I42)&gt;1,"Directors' report","Director's report")</f>
        <v>Directors' report</v>
      </c>
      <c r="E73" s="434"/>
      <c r="F73" s="434"/>
      <c r="G73" s="434"/>
      <c r="H73" s="434"/>
      <c r="I73" s="434"/>
      <c r="J73" s="434"/>
      <c r="K73" s="434"/>
      <c r="L73" s="434"/>
      <c r="M73" s="435"/>
      <c r="N73" s="437"/>
      <c r="O73" s="437" t="str">
        <f>CONCATENATE(Q254," - ",MAX(Q254:Q410))</f>
        <v>4 - 8</v>
      </c>
      <c r="P73" s="435"/>
      <c r="Q73" s="434"/>
    </row>
    <row r="74" spans="4:17" ht="36" customHeight="1" x14ac:dyDescent="0.45">
      <c r="D74" s="434"/>
      <c r="E74" s="434"/>
      <c r="F74" s="434"/>
      <c r="G74" s="434"/>
      <c r="H74" s="434"/>
      <c r="I74" s="434"/>
      <c r="J74" s="434"/>
      <c r="K74" s="434"/>
      <c r="L74" s="434"/>
      <c r="M74" s="435"/>
      <c r="N74" s="437"/>
      <c r="O74" s="437"/>
      <c r="P74" s="435"/>
      <c r="Q74" s="434"/>
    </row>
    <row r="75" spans="4:17" ht="36" customHeight="1" x14ac:dyDescent="0.45">
      <c r="D75" s="434" t="s">
        <v>1030</v>
      </c>
      <c r="E75" s="434"/>
      <c r="F75" s="434"/>
      <c r="G75" s="434"/>
      <c r="H75" s="434"/>
      <c r="I75" s="434"/>
      <c r="J75" s="434"/>
      <c r="K75" s="434"/>
      <c r="L75" s="434"/>
      <c r="M75" s="435"/>
      <c r="N75" s="437"/>
      <c r="O75" s="437">
        <f>Q411</f>
        <v>9</v>
      </c>
      <c r="P75" s="435"/>
      <c r="Q75" s="434"/>
    </row>
    <row r="76" spans="4:17" ht="36" customHeight="1" x14ac:dyDescent="0.45">
      <c r="D76" s="434"/>
      <c r="E76" s="434"/>
      <c r="F76" s="434"/>
      <c r="G76" s="434"/>
      <c r="H76" s="434"/>
      <c r="I76" s="434"/>
      <c r="J76" s="434"/>
      <c r="K76" s="434"/>
      <c r="L76" s="434"/>
      <c r="M76" s="435"/>
      <c r="N76" s="437"/>
      <c r="O76" s="437"/>
      <c r="P76" s="435"/>
      <c r="Q76" s="434"/>
    </row>
    <row r="77" spans="4:17" ht="36" customHeight="1" x14ac:dyDescent="0.45">
      <c r="D77" s="434" t="s">
        <v>1031</v>
      </c>
      <c r="E77" s="434"/>
      <c r="F77" s="434"/>
      <c r="G77" s="434"/>
      <c r="H77" s="434"/>
      <c r="I77" s="434"/>
      <c r="J77" s="434"/>
      <c r="K77" s="434"/>
      <c r="L77" s="434"/>
      <c r="M77" s="435"/>
      <c r="N77" s="437"/>
      <c r="O77" s="437">
        <f>Q464</f>
        <v>10</v>
      </c>
      <c r="P77" s="435"/>
      <c r="Q77" s="434"/>
    </row>
    <row r="78" spans="4:17" ht="36" customHeight="1" x14ac:dyDescent="0.45">
      <c r="D78" s="434"/>
      <c r="E78" s="434"/>
      <c r="F78" s="434"/>
      <c r="G78" s="434"/>
      <c r="H78" s="434"/>
      <c r="I78" s="434"/>
      <c r="J78" s="434"/>
      <c r="K78" s="434"/>
      <c r="L78" s="434"/>
      <c r="M78" s="435"/>
      <c r="N78" s="437"/>
      <c r="O78" s="437"/>
      <c r="P78" s="435"/>
      <c r="Q78" s="434"/>
    </row>
    <row r="79" spans="4:17" ht="36" customHeight="1" x14ac:dyDescent="0.45">
      <c r="D79" s="434" t="s">
        <v>1032</v>
      </c>
      <c r="E79" s="434"/>
      <c r="F79" s="434"/>
      <c r="G79" s="434"/>
      <c r="H79" s="434"/>
      <c r="I79" s="434"/>
      <c r="J79" s="434"/>
      <c r="K79" s="434"/>
      <c r="L79" s="434"/>
      <c r="M79" s="435"/>
      <c r="N79" s="437"/>
      <c r="O79" s="437">
        <f>Q539</f>
        <v>11</v>
      </c>
      <c r="P79" s="435"/>
      <c r="Q79" s="434"/>
    </row>
    <row r="80" spans="4:17" ht="36" customHeight="1" x14ac:dyDescent="0.45">
      <c r="D80" s="434"/>
      <c r="E80" s="434"/>
      <c r="F80" s="434"/>
      <c r="G80" s="434"/>
      <c r="H80" s="434"/>
      <c r="I80" s="434"/>
      <c r="J80" s="434"/>
      <c r="K80" s="434"/>
      <c r="L80" s="434"/>
      <c r="M80" s="435"/>
      <c r="N80" s="437"/>
      <c r="O80" s="437"/>
      <c r="P80" s="435"/>
      <c r="Q80" s="434"/>
    </row>
    <row r="81" spans="4:18" ht="36" customHeight="1" x14ac:dyDescent="0.45">
      <c r="D81" s="434" t="s">
        <v>1033</v>
      </c>
      <c r="E81" s="434"/>
      <c r="F81" s="434"/>
      <c r="G81" s="434"/>
      <c r="H81" s="434"/>
      <c r="I81" s="434"/>
      <c r="J81" s="434"/>
      <c r="K81" s="434"/>
      <c r="L81" s="434"/>
      <c r="M81" s="435"/>
      <c r="N81" s="437"/>
      <c r="O81" s="437" t="str">
        <f>CONCATENATE(Q594," - ",MAX(Q594:Q2306))</f>
        <v>12 - 62</v>
      </c>
      <c r="P81" s="435"/>
      <c r="Q81" s="434"/>
    </row>
    <row r="82" spans="4:18" ht="36" customHeight="1" x14ac:dyDescent="0.45">
      <c r="D82" s="434"/>
      <c r="E82" s="434"/>
      <c r="F82" s="434"/>
      <c r="G82" s="434"/>
      <c r="H82" s="434"/>
      <c r="I82" s="434"/>
      <c r="J82" s="434"/>
      <c r="K82" s="434"/>
      <c r="L82" s="434"/>
      <c r="M82" s="435"/>
      <c r="N82" s="437"/>
      <c r="O82" s="437"/>
      <c r="P82" s="435"/>
      <c r="Q82" s="434"/>
    </row>
    <row r="83" spans="4:18" ht="36" customHeight="1" x14ac:dyDescent="0.45">
      <c r="D83" s="434" t="s">
        <v>1034</v>
      </c>
      <c r="E83" s="434"/>
      <c r="F83" s="434"/>
      <c r="G83" s="434"/>
      <c r="H83" s="434"/>
      <c r="I83" s="434"/>
      <c r="J83" s="434"/>
      <c r="K83" s="434"/>
      <c r="L83" s="434"/>
      <c r="M83" s="435"/>
      <c r="N83" s="437"/>
      <c r="O83" s="437" t="str">
        <f>IF(Q2307&lt;MAX(Q2307:Q2482),CONCATENATE(Q2307," - ",MAX(Q2307:Q2482)),Q2307)</f>
        <v>63 - 64</v>
      </c>
      <c r="P83" s="435"/>
      <c r="Q83" s="434"/>
    </row>
    <row r="84" spans="4:18" ht="36" customHeight="1" x14ac:dyDescent="0.45">
      <c r="D84" s="434"/>
      <c r="E84" s="434"/>
      <c r="F84" s="434"/>
      <c r="G84" s="434"/>
      <c r="H84" s="434"/>
      <c r="I84" s="434"/>
      <c r="J84" s="434"/>
      <c r="K84" s="434"/>
      <c r="L84" s="434"/>
      <c r="M84" s="437"/>
      <c r="N84" s="437"/>
      <c r="O84" s="435"/>
      <c r="P84" s="435"/>
      <c r="Q84" s="434"/>
    </row>
    <row r="85" spans="4:18" ht="36" customHeight="1" x14ac:dyDescent="0.45">
      <c r="D85" s="434" t="s">
        <v>1035</v>
      </c>
      <c r="E85" s="434"/>
      <c r="F85" s="434"/>
      <c r="G85" s="434"/>
      <c r="H85" s="434"/>
      <c r="I85" s="434"/>
      <c r="J85" s="434"/>
      <c r="K85" s="434"/>
      <c r="L85" s="434"/>
      <c r="M85" s="435"/>
      <c r="N85" s="435"/>
      <c r="O85" s="435"/>
      <c r="P85" s="435"/>
      <c r="Q85" s="434"/>
      <c r="R85" s="348" t="str">
        <f>IF(Criteria!E14=0,"DELETE"," ")</f>
        <v xml:space="preserve"> </v>
      </c>
    </row>
    <row r="86" spans="4:18" ht="36" customHeight="1" x14ac:dyDescent="0.45">
      <c r="D86" s="434" t="s">
        <v>23</v>
      </c>
      <c r="E86" s="434" t="str">
        <f>CONCATENATE("Detailed income statement"," - ",Criteria!H14)</f>
        <v>Detailed income statement - Subsidiary One 111 (Pty) Ltd</v>
      </c>
      <c r="F86" s="434"/>
      <c r="G86" s="434"/>
      <c r="H86" s="434"/>
      <c r="I86" s="434"/>
      <c r="J86" s="434"/>
      <c r="K86" s="434"/>
      <c r="L86" s="434"/>
      <c r="M86" s="435"/>
      <c r="N86" s="435"/>
      <c r="O86" s="435"/>
      <c r="P86" s="435"/>
      <c r="Q86" s="434"/>
      <c r="R86" s="348" t="str">
        <f>IF(Criteria!E14=0,"DELETE"," ")</f>
        <v xml:space="preserve"> </v>
      </c>
    </row>
    <row r="87" spans="4:18" ht="36" customHeight="1" x14ac:dyDescent="0.45">
      <c r="D87" s="434" t="s">
        <v>603</v>
      </c>
      <c r="E87" s="434" t="str">
        <f>CONCATENATE("Detailed income statement"," - ",Criteria!H15)</f>
        <v>Detailed income statement - Subsidiary Two 15 (Pty) Ltd</v>
      </c>
      <c r="F87" s="434"/>
      <c r="G87" s="434"/>
      <c r="H87" s="434"/>
      <c r="I87" s="434"/>
      <c r="J87" s="434"/>
      <c r="K87" s="434"/>
      <c r="L87" s="434"/>
      <c r="M87" s="435"/>
      <c r="N87" s="435"/>
      <c r="O87" s="435"/>
      <c r="P87" s="435"/>
      <c r="Q87" s="434"/>
      <c r="R87" s="348" t="str">
        <f>IF(Criteria!E15=0,"DELETE"," ")</f>
        <v xml:space="preserve"> </v>
      </c>
    </row>
    <row r="88" spans="4:18" ht="36" customHeight="1" x14ac:dyDescent="0.45">
      <c r="D88" s="434" t="s">
        <v>608</v>
      </c>
      <c r="E88" s="434" t="str">
        <f>CONCATENATE("Detailed income statement"," - ",Criteria!H16)</f>
        <v xml:space="preserve">Detailed income statement - </v>
      </c>
      <c r="F88" s="434"/>
      <c r="G88" s="434"/>
      <c r="H88" s="434"/>
      <c r="I88" s="434"/>
      <c r="J88" s="434"/>
      <c r="K88" s="434"/>
      <c r="L88" s="434"/>
      <c r="M88" s="435"/>
      <c r="N88" s="435"/>
      <c r="O88" s="435"/>
      <c r="P88" s="435"/>
      <c r="Q88" s="434"/>
      <c r="R88" s="348" t="str">
        <f>IF(Criteria!E16=0,"DELETE"," ")</f>
        <v>DELETE</v>
      </c>
    </row>
    <row r="89" spans="4:18" ht="36" customHeight="1" x14ac:dyDescent="0.45">
      <c r="D89" s="434"/>
      <c r="E89" s="434"/>
      <c r="F89" s="434"/>
      <c r="G89" s="434"/>
      <c r="H89" s="434"/>
      <c r="I89" s="434"/>
      <c r="J89" s="434"/>
      <c r="K89" s="434"/>
      <c r="L89" s="434"/>
      <c r="M89" s="435"/>
      <c r="N89" s="435"/>
      <c r="O89" s="435"/>
      <c r="P89" s="435"/>
      <c r="Q89" s="434"/>
    </row>
    <row r="90" spans="4:18" ht="36" customHeight="1" x14ac:dyDescent="0.45">
      <c r="D90" s="438"/>
      <c r="E90" s="434"/>
      <c r="F90" s="434"/>
      <c r="G90" s="434"/>
      <c r="H90" s="434"/>
      <c r="I90" s="434"/>
      <c r="J90" s="434"/>
      <c r="K90" s="434"/>
      <c r="L90" s="434"/>
      <c r="M90" s="435"/>
      <c r="N90" s="435"/>
      <c r="O90" s="435"/>
      <c r="P90" s="435"/>
      <c r="Q90" s="434"/>
    </row>
    <row r="91" spans="4:18" ht="36" customHeight="1" x14ac:dyDescent="0.45">
      <c r="D91" s="433" t="s">
        <v>815</v>
      </c>
      <c r="E91" s="434"/>
      <c r="F91" s="434"/>
      <c r="G91" s="434"/>
      <c r="H91" s="434"/>
      <c r="I91" s="434"/>
      <c r="J91" s="434"/>
      <c r="K91" s="434"/>
      <c r="L91" s="434"/>
      <c r="M91" s="435"/>
      <c r="N91" s="435"/>
      <c r="O91" s="435"/>
      <c r="P91" s="435"/>
      <c r="Q91" s="434"/>
    </row>
    <row r="92" spans="4:18" ht="36" customHeight="1" x14ac:dyDescent="0.45">
      <c r="D92" s="434"/>
      <c r="E92" s="434"/>
      <c r="F92" s="434"/>
      <c r="G92" s="434"/>
      <c r="H92" s="434"/>
      <c r="I92" s="434"/>
      <c r="J92" s="434"/>
      <c r="K92" s="434"/>
      <c r="L92" s="434"/>
      <c r="M92" s="435"/>
      <c r="N92" s="435"/>
      <c r="O92" s="435"/>
      <c r="P92" s="435"/>
      <c r="Q92" s="434"/>
    </row>
    <row r="93" spans="4:18" ht="36" customHeight="1" x14ac:dyDescent="0.45">
      <c r="D93" s="480" t="str">
        <f>CONCATENATE("The Consolidated Financial Statements of ",Criteria!E11,IF(MAX(Criteria!I38:I42)&gt;1," were approved by the Board of directors and signed on their behalf by:"," was approved by the director and signed accordingly:"))</f>
        <v>The Consolidated Financial Statements of Holding Company 268 (Pty) Ltd were approved by the Board of directors and signed on their behalf by:</v>
      </c>
      <c r="E93" s="480"/>
      <c r="F93" s="480"/>
      <c r="G93" s="480"/>
      <c r="H93" s="480"/>
      <c r="I93" s="480"/>
      <c r="J93" s="480"/>
      <c r="K93" s="480"/>
      <c r="L93" s="480"/>
      <c r="M93" s="480"/>
      <c r="N93" s="480"/>
      <c r="O93" s="480"/>
      <c r="P93" s="480"/>
      <c r="Q93" s="480"/>
    </row>
    <row r="94" spans="4:18" ht="36" customHeight="1" x14ac:dyDescent="0.45">
      <c r="D94" s="480"/>
      <c r="E94" s="480"/>
      <c r="F94" s="480"/>
      <c r="G94" s="480"/>
      <c r="H94" s="480"/>
      <c r="I94" s="480"/>
      <c r="J94" s="480"/>
      <c r="K94" s="480"/>
      <c r="L94" s="480"/>
      <c r="M94" s="480"/>
      <c r="N94" s="480"/>
      <c r="O94" s="480"/>
      <c r="P94" s="480"/>
      <c r="Q94" s="480"/>
    </row>
    <row r="95" spans="4:18" ht="36" customHeight="1" x14ac:dyDescent="0.45">
      <c r="D95" s="480"/>
      <c r="E95" s="480"/>
      <c r="F95" s="480"/>
      <c r="G95" s="480"/>
      <c r="H95" s="480"/>
      <c r="I95" s="480"/>
      <c r="J95" s="480"/>
      <c r="K95" s="480"/>
      <c r="L95" s="480"/>
      <c r="M95" s="480"/>
      <c r="N95" s="480"/>
      <c r="O95" s="480"/>
      <c r="P95" s="480"/>
      <c r="Q95" s="480"/>
    </row>
    <row r="96" spans="4:18" ht="36" customHeight="1" x14ac:dyDescent="0.45">
      <c r="D96" s="434"/>
      <c r="E96" s="434"/>
      <c r="F96" s="434"/>
      <c r="G96" s="434"/>
      <c r="H96" s="434"/>
      <c r="I96" s="434"/>
      <c r="J96" s="434"/>
      <c r="K96" s="434"/>
      <c r="L96" s="434"/>
      <c r="M96" s="435"/>
      <c r="N96" s="435"/>
      <c r="O96" s="435"/>
      <c r="P96" s="435"/>
      <c r="Q96" s="434"/>
    </row>
    <row r="97" spans="4:18" ht="36" customHeight="1" x14ac:dyDescent="0.45">
      <c r="D97" s="434"/>
      <c r="E97" s="434"/>
      <c r="F97" s="434"/>
      <c r="G97" s="434"/>
      <c r="H97" s="434"/>
      <c r="I97" s="434"/>
      <c r="J97" s="434"/>
      <c r="K97" s="434"/>
      <c r="L97" s="434"/>
      <c r="M97" s="435"/>
      <c r="N97" s="435"/>
      <c r="O97" s="435"/>
      <c r="P97" s="435"/>
      <c r="Q97" s="434"/>
    </row>
    <row r="98" spans="4:18" ht="36" customHeight="1" x14ac:dyDescent="0.45">
      <c r="D98" s="434" t="s">
        <v>813</v>
      </c>
      <c r="E98" s="434"/>
      <c r="F98" s="434"/>
      <c r="G98" s="434"/>
      <c r="H98" s="434"/>
      <c r="I98" s="434"/>
      <c r="J98" s="434"/>
      <c r="K98" s="434"/>
      <c r="L98" s="434"/>
      <c r="M98" s="435" t="str">
        <f>IF(Criteria!F39="Signature",D98," ")</f>
        <v>. . . . . . . . . . . . . . . . . . . . . . .</v>
      </c>
      <c r="N98" s="435"/>
      <c r="O98" s="435"/>
      <c r="P98" s="435"/>
      <c r="Q98" s="434"/>
    </row>
    <row r="99" spans="4:18" ht="36" customHeight="1" x14ac:dyDescent="0.45">
      <c r="D99" s="434" t="str">
        <f>Criteria!E38</f>
        <v>A Director</v>
      </c>
      <c r="E99" s="434"/>
      <c r="F99" s="434"/>
      <c r="G99" s="434"/>
      <c r="H99" s="434"/>
      <c r="I99" s="434"/>
      <c r="J99" s="434"/>
      <c r="K99" s="434"/>
      <c r="L99" s="434"/>
      <c r="M99" s="435" t="str">
        <f>IF(Criteria!F39="Signature",Criteria!E39," ")</f>
        <v>B Director</v>
      </c>
      <c r="N99" s="435"/>
      <c r="O99" s="435"/>
      <c r="P99" s="435"/>
      <c r="Q99" s="434"/>
    </row>
    <row r="100" spans="4:18" ht="36" customHeight="1" x14ac:dyDescent="0.45">
      <c r="D100" s="434"/>
      <c r="E100" s="434"/>
      <c r="F100" s="434"/>
      <c r="G100" s="434"/>
      <c r="H100" s="434"/>
      <c r="I100" s="434"/>
      <c r="J100" s="434"/>
      <c r="K100" s="434"/>
      <c r="L100" s="434"/>
      <c r="M100" s="435"/>
      <c r="N100" s="435"/>
      <c r="O100" s="435"/>
      <c r="P100" s="435"/>
      <c r="Q100" s="434"/>
    </row>
    <row r="101" spans="4:18" ht="36" customHeight="1" x14ac:dyDescent="0.45">
      <c r="D101" s="434" t="str">
        <f>Criteria!F29</f>
        <v>Johannesburg</v>
      </c>
      <c r="E101" s="434"/>
      <c r="F101" s="434"/>
      <c r="G101" s="434"/>
      <c r="H101" s="434" t="s">
        <v>94</v>
      </c>
      <c r="I101" s="434"/>
      <c r="J101" s="434"/>
      <c r="K101" s="434"/>
      <c r="L101" s="434"/>
      <c r="M101" s="435"/>
      <c r="N101" s="435"/>
      <c r="O101" s="435"/>
      <c r="P101" s="435"/>
      <c r="Q101" s="434"/>
    </row>
    <row r="102" spans="4:18" ht="21" customHeight="1" x14ac:dyDescent="0.45">
      <c r="D102" s="350"/>
      <c r="E102" s="434"/>
      <c r="F102" s="434"/>
      <c r="G102" s="434"/>
      <c r="H102" s="350"/>
      <c r="I102" s="434"/>
      <c r="J102" s="434" t="s">
        <v>814</v>
      </c>
      <c r="K102" s="434"/>
      <c r="L102" s="434"/>
      <c r="M102" s="435"/>
      <c r="N102" s="435"/>
      <c r="O102" s="435"/>
      <c r="P102" s="435"/>
      <c r="Q102" s="434"/>
    </row>
    <row r="103" spans="4:18" ht="36" customHeight="1" x14ac:dyDescent="0.45">
      <c r="D103" s="350"/>
      <c r="E103" s="434"/>
      <c r="F103" s="434"/>
      <c r="G103" s="434"/>
      <c r="H103" s="350"/>
      <c r="I103" s="434"/>
      <c r="J103" s="434"/>
      <c r="K103" s="434"/>
      <c r="L103" s="434"/>
      <c r="M103" s="435"/>
      <c r="N103" s="435"/>
      <c r="O103" s="435"/>
      <c r="P103" s="435"/>
      <c r="Q103" s="434"/>
    </row>
    <row r="104" spans="4:18" ht="36" customHeight="1" x14ac:dyDescent="0.45">
      <c r="D104" s="434"/>
      <c r="E104" s="434"/>
      <c r="F104" s="434"/>
      <c r="G104" s="434"/>
      <c r="H104" s="434"/>
      <c r="I104" s="434"/>
      <c r="J104" s="350"/>
      <c r="K104" s="434"/>
      <c r="L104" s="434"/>
      <c r="M104" s="435"/>
      <c r="N104" s="435"/>
      <c r="O104" s="435"/>
      <c r="P104" s="435"/>
      <c r="Q104" s="434"/>
    </row>
    <row r="105" spans="4:18" ht="36" customHeight="1" x14ac:dyDescent="0.45">
      <c r="M105" s="347"/>
      <c r="O105" s="295" t="s">
        <v>89</v>
      </c>
      <c r="P105" s="295"/>
      <c r="Q105" s="292">
        <v>1</v>
      </c>
    </row>
    <row r="106" spans="4:18" ht="36" customHeight="1" x14ac:dyDescent="0.45">
      <c r="D106" s="433" t="str">
        <f>Criteria!E9</f>
        <v>HOLDING COMPANY 268 (PROPRIETARY) LIMITED</v>
      </c>
      <c r="E106" s="434"/>
      <c r="F106" s="434"/>
      <c r="G106" s="434"/>
      <c r="H106" s="434"/>
      <c r="I106" s="434"/>
      <c r="J106" s="434"/>
      <c r="K106" s="434"/>
      <c r="L106" s="434"/>
      <c r="M106" s="435"/>
      <c r="N106" s="435"/>
      <c r="O106" s="435"/>
      <c r="P106" s="435"/>
      <c r="Q106" s="434"/>
    </row>
    <row r="107" spans="4:18" ht="36" customHeight="1" x14ac:dyDescent="0.45">
      <c r="D107" s="433" t="str">
        <f>Criteria!E10</f>
        <v>CONSOLIDATED FINANCIAL STATEMENTS</v>
      </c>
      <c r="E107" s="434"/>
      <c r="F107" s="434"/>
      <c r="G107" s="434"/>
      <c r="H107" s="434"/>
      <c r="I107" s="434"/>
      <c r="J107" s="434"/>
      <c r="K107" s="434"/>
      <c r="L107" s="434"/>
      <c r="M107" s="435"/>
      <c r="N107" s="435"/>
      <c r="O107" s="435"/>
      <c r="P107" s="435"/>
      <c r="Q107" s="434"/>
      <c r="R107" s="348" t="str">
        <f>IF(D107=0,"DELETE"," ")</f>
        <v xml:space="preserve"> </v>
      </c>
    </row>
    <row r="108" spans="4:18" ht="36" customHeight="1" x14ac:dyDescent="0.45">
      <c r="D108" s="434"/>
      <c r="E108" s="434"/>
      <c r="F108" s="434"/>
      <c r="G108" s="434"/>
      <c r="H108" s="434"/>
      <c r="I108" s="434"/>
      <c r="J108" s="434"/>
      <c r="K108" s="434"/>
      <c r="L108" s="434"/>
      <c r="M108" s="435"/>
      <c r="N108" s="435"/>
      <c r="O108" s="435"/>
      <c r="P108" s="435"/>
      <c r="Q108" s="434"/>
    </row>
    <row r="109" spans="4:18" ht="36" customHeight="1" x14ac:dyDescent="0.45">
      <c r="D109" s="433" t="s">
        <v>150</v>
      </c>
      <c r="E109" s="434"/>
      <c r="F109" s="434"/>
      <c r="G109" s="434"/>
      <c r="H109" s="434"/>
      <c r="I109" s="434"/>
      <c r="J109" s="434"/>
      <c r="K109" s="434"/>
      <c r="L109" s="434"/>
      <c r="M109" s="435"/>
      <c r="N109" s="435"/>
      <c r="O109" s="435"/>
      <c r="P109" s="435"/>
      <c r="Q109" s="434"/>
    </row>
    <row r="110" spans="4:18" ht="36" customHeight="1" x14ac:dyDescent="0.45">
      <c r="D110" s="434"/>
      <c r="E110" s="434"/>
      <c r="F110" s="434"/>
      <c r="G110" s="434"/>
      <c r="H110" s="434"/>
      <c r="I110" s="434"/>
      <c r="J110" s="434"/>
      <c r="K110" s="434"/>
      <c r="L110" s="434"/>
      <c r="M110" s="435"/>
      <c r="N110" s="435"/>
      <c r="O110" s="435"/>
      <c r="P110" s="435"/>
      <c r="Q110" s="434"/>
    </row>
    <row r="111" spans="4:18" ht="36" customHeight="1" x14ac:dyDescent="0.45">
      <c r="D111" s="434" t="s">
        <v>833</v>
      </c>
      <c r="E111" s="434"/>
      <c r="F111" s="434"/>
      <c r="G111" s="434"/>
      <c r="H111" s="434"/>
      <c r="I111" s="434"/>
      <c r="J111" s="434"/>
      <c r="K111" s="434"/>
      <c r="L111" s="434"/>
      <c r="M111" s="435"/>
      <c r="N111" s="435"/>
      <c r="O111" s="435"/>
      <c r="P111" s="435"/>
      <c r="Q111" s="434"/>
    </row>
    <row r="112" spans="4:18" ht="36" customHeight="1" x14ac:dyDescent="0.45">
      <c r="D112" s="434" t="s">
        <v>832</v>
      </c>
      <c r="E112" s="434"/>
      <c r="F112" s="434"/>
      <c r="G112" s="434"/>
      <c r="H112" s="434"/>
      <c r="I112" s="434"/>
      <c r="J112" s="439" t="s">
        <v>609</v>
      </c>
      <c r="K112" s="434"/>
      <c r="L112" s="434"/>
      <c r="M112" s="435"/>
      <c r="N112" s="435"/>
      <c r="O112" s="435"/>
      <c r="P112" s="435"/>
      <c r="Q112" s="434"/>
    </row>
    <row r="113" spans="4:18" ht="36" customHeight="1" x14ac:dyDescent="0.45">
      <c r="D113" s="434"/>
      <c r="E113" s="434"/>
      <c r="F113" s="434"/>
      <c r="G113" s="434"/>
      <c r="H113" s="434"/>
      <c r="I113" s="434"/>
      <c r="J113" s="439"/>
      <c r="K113" s="434"/>
      <c r="L113" s="434"/>
      <c r="M113" s="435"/>
      <c r="N113" s="435"/>
      <c r="O113" s="435"/>
      <c r="P113" s="435"/>
      <c r="Q113" s="434"/>
    </row>
    <row r="114" spans="4:18" ht="36" customHeight="1" x14ac:dyDescent="0.45">
      <c r="D114" s="434" t="s">
        <v>672</v>
      </c>
      <c r="E114" s="434"/>
      <c r="F114" s="434"/>
      <c r="G114" s="434"/>
      <c r="H114" s="434"/>
      <c r="I114" s="434"/>
      <c r="J114" s="439" t="s">
        <v>673</v>
      </c>
      <c r="K114" s="434"/>
      <c r="L114" s="434"/>
      <c r="M114" s="435"/>
      <c r="N114" s="435"/>
      <c r="O114" s="435"/>
      <c r="P114" s="435"/>
      <c r="Q114" s="434"/>
    </row>
    <row r="115" spans="4:18" ht="36" customHeight="1" x14ac:dyDescent="0.45">
      <c r="D115" s="434"/>
      <c r="E115" s="434"/>
      <c r="F115" s="434"/>
      <c r="G115" s="434"/>
      <c r="H115" s="434"/>
      <c r="I115" s="434"/>
      <c r="J115" s="439"/>
      <c r="K115" s="434"/>
      <c r="L115" s="434"/>
      <c r="M115" s="435"/>
      <c r="N115" s="435"/>
      <c r="O115" s="435"/>
      <c r="P115" s="435"/>
      <c r="Q115" s="434"/>
    </row>
    <row r="116" spans="4:18" ht="36" customHeight="1" x14ac:dyDescent="0.45">
      <c r="D116" s="434" t="s">
        <v>1023</v>
      </c>
      <c r="E116" s="434"/>
      <c r="F116" s="434"/>
      <c r="G116" s="434"/>
      <c r="H116" s="434"/>
      <c r="I116" s="434"/>
      <c r="J116" s="439"/>
      <c r="K116" s="434"/>
      <c r="L116" s="434"/>
      <c r="M116" s="435"/>
      <c r="N116" s="435"/>
      <c r="O116" s="435"/>
      <c r="P116" s="435"/>
      <c r="Q116" s="434"/>
    </row>
    <row r="117" spans="4:18" ht="36" customHeight="1" x14ac:dyDescent="0.45">
      <c r="D117" s="434" t="s">
        <v>1024</v>
      </c>
      <c r="E117" s="434"/>
      <c r="F117" s="434"/>
      <c r="G117" s="434"/>
      <c r="H117" s="434"/>
      <c r="I117" s="434"/>
      <c r="J117" s="439" t="str">
        <f>Criteria!E33</f>
        <v>Investment in financial instruments</v>
      </c>
      <c r="K117" s="434"/>
      <c r="L117" s="434"/>
      <c r="M117" s="435"/>
      <c r="N117" s="435"/>
      <c r="O117" s="435"/>
      <c r="P117" s="435"/>
      <c r="Q117" s="434"/>
    </row>
    <row r="118" spans="4:18" ht="36" customHeight="1" x14ac:dyDescent="0.45">
      <c r="D118" s="438"/>
      <c r="E118" s="434"/>
      <c r="F118" s="434"/>
      <c r="G118" s="434"/>
      <c r="H118" s="434"/>
      <c r="I118" s="434"/>
      <c r="J118" s="439" t="str">
        <f>Criteria!E34</f>
        <v>Investment in immovable properties</v>
      </c>
      <c r="K118" s="434"/>
      <c r="L118" s="434"/>
      <c r="M118" s="435"/>
      <c r="N118" s="435"/>
      <c r="O118" s="435"/>
      <c r="P118" s="435"/>
      <c r="Q118" s="434"/>
      <c r="R118" s="348" t="str">
        <f>IF(J118=0,"DELETE"," ")</f>
        <v xml:space="preserve"> </v>
      </c>
    </row>
    <row r="119" spans="4:18" ht="36" customHeight="1" x14ac:dyDescent="0.45">
      <c r="D119" s="434"/>
      <c r="E119" s="434"/>
      <c r="F119" s="434"/>
      <c r="G119" s="434"/>
      <c r="H119" s="434"/>
      <c r="I119" s="434"/>
      <c r="J119" s="439">
        <f>Criteria!E35</f>
        <v>0</v>
      </c>
      <c r="K119" s="434"/>
      <c r="L119" s="434"/>
      <c r="M119" s="435"/>
      <c r="N119" s="435"/>
      <c r="O119" s="435"/>
      <c r="P119" s="435"/>
      <c r="Q119" s="434"/>
      <c r="R119" s="348" t="str">
        <f>IF(J119=0,"DELETE"," ")</f>
        <v>DELETE</v>
      </c>
    </row>
    <row r="120" spans="4:18" ht="36" customHeight="1" x14ac:dyDescent="0.45">
      <c r="D120" s="434"/>
      <c r="E120" s="434"/>
      <c r="F120" s="434"/>
      <c r="G120" s="434"/>
      <c r="H120" s="434"/>
      <c r="I120" s="434"/>
      <c r="J120" s="439">
        <f>Criteria!E36</f>
        <v>0</v>
      </c>
      <c r="K120" s="434"/>
      <c r="L120" s="434"/>
      <c r="M120" s="435"/>
      <c r="N120" s="435"/>
      <c r="O120" s="435"/>
      <c r="P120" s="435"/>
      <c r="Q120" s="434"/>
      <c r="R120" s="348" t="str">
        <f>IF(J120=0,"DELETE"," ")</f>
        <v>DELETE</v>
      </c>
    </row>
    <row r="121" spans="4:18" ht="36" customHeight="1" x14ac:dyDescent="0.45">
      <c r="D121" s="434"/>
      <c r="E121" s="434"/>
      <c r="F121" s="434"/>
      <c r="G121" s="434"/>
      <c r="H121" s="434"/>
      <c r="I121" s="434"/>
      <c r="J121" s="439"/>
      <c r="K121" s="434"/>
      <c r="L121" s="434"/>
      <c r="M121" s="435"/>
      <c r="N121" s="435"/>
      <c r="O121" s="435"/>
      <c r="P121" s="435"/>
      <c r="Q121" s="434"/>
    </row>
    <row r="122" spans="4:18" ht="36" customHeight="1" x14ac:dyDescent="0.45">
      <c r="D122" s="434" t="str">
        <f>IF(MAX(Criteria!I38:I42)&gt;1,"Directors","Director")</f>
        <v>Directors</v>
      </c>
      <c r="E122" s="434"/>
      <c r="F122" s="434"/>
      <c r="G122" s="434"/>
      <c r="H122" s="434"/>
      <c r="I122" s="434"/>
      <c r="J122" s="439" t="str">
        <f>Criteria!E38</f>
        <v>A Director</v>
      </c>
      <c r="K122" s="434"/>
      <c r="L122" s="434"/>
      <c r="M122" s="435"/>
      <c r="N122" s="435"/>
      <c r="O122" s="435"/>
      <c r="P122" s="435"/>
      <c r="Q122" s="434"/>
    </row>
    <row r="123" spans="4:18" ht="36" customHeight="1" x14ac:dyDescent="0.45">
      <c r="D123" s="434"/>
      <c r="E123" s="434"/>
      <c r="F123" s="434"/>
      <c r="G123" s="434"/>
      <c r="H123" s="434"/>
      <c r="I123" s="434"/>
      <c r="J123" s="439" t="str">
        <f>Criteria!E39</f>
        <v>B Director</v>
      </c>
      <c r="K123" s="434"/>
      <c r="L123" s="434"/>
      <c r="M123" s="435"/>
      <c r="N123" s="435"/>
      <c r="O123" s="435"/>
      <c r="P123" s="435"/>
      <c r="Q123" s="434"/>
      <c r="R123" s="348" t="str">
        <f>IF(J123=0,"DELETE"," ")</f>
        <v xml:space="preserve"> </v>
      </c>
    </row>
    <row r="124" spans="4:18" ht="36" customHeight="1" x14ac:dyDescent="0.45">
      <c r="D124" s="434"/>
      <c r="E124" s="434"/>
      <c r="F124" s="434"/>
      <c r="G124" s="434"/>
      <c r="H124" s="434"/>
      <c r="I124" s="434"/>
      <c r="J124" s="439">
        <f>Criteria!E40</f>
        <v>0</v>
      </c>
      <c r="K124" s="434"/>
      <c r="L124" s="434"/>
      <c r="M124" s="435"/>
      <c r="N124" s="435"/>
      <c r="O124" s="435"/>
      <c r="P124" s="435"/>
      <c r="Q124" s="434"/>
      <c r="R124" s="348" t="str">
        <f>IF(J124=0,"DELETE"," ")</f>
        <v>DELETE</v>
      </c>
    </row>
    <row r="125" spans="4:18" ht="36" customHeight="1" x14ac:dyDescent="0.45">
      <c r="D125" s="434"/>
      <c r="E125" s="434"/>
      <c r="F125" s="434"/>
      <c r="G125" s="434"/>
      <c r="H125" s="434"/>
      <c r="I125" s="434"/>
      <c r="J125" s="439">
        <f>Criteria!E41</f>
        <v>0</v>
      </c>
      <c r="K125" s="434"/>
      <c r="L125" s="434"/>
      <c r="M125" s="435"/>
      <c r="N125" s="435"/>
      <c r="O125" s="435"/>
      <c r="P125" s="435"/>
      <c r="Q125" s="434"/>
      <c r="R125" s="348" t="str">
        <f>IF(J125=0,"DELETE"," ")</f>
        <v>DELETE</v>
      </c>
    </row>
    <row r="126" spans="4:18" ht="36" customHeight="1" x14ac:dyDescent="0.45">
      <c r="D126" s="434"/>
      <c r="E126" s="434"/>
      <c r="F126" s="434"/>
      <c r="G126" s="434"/>
      <c r="H126" s="434"/>
      <c r="I126" s="434"/>
      <c r="J126" s="439">
        <f>Criteria!E42</f>
        <v>0</v>
      </c>
      <c r="K126" s="434"/>
      <c r="L126" s="434"/>
      <c r="M126" s="435"/>
      <c r="N126" s="435"/>
      <c r="O126" s="435"/>
      <c r="P126" s="435"/>
      <c r="Q126" s="434"/>
      <c r="R126" s="348" t="str">
        <f>IF(J126=0,"DELETE"," ")</f>
        <v>DELETE</v>
      </c>
    </row>
    <row r="127" spans="4:18" ht="36" customHeight="1" x14ac:dyDescent="0.45">
      <c r="D127" s="434"/>
      <c r="E127" s="434"/>
      <c r="F127" s="434"/>
      <c r="G127" s="434"/>
      <c r="H127" s="434"/>
      <c r="I127" s="434"/>
      <c r="J127" s="439"/>
      <c r="K127" s="434"/>
      <c r="L127" s="434"/>
      <c r="M127" s="435"/>
      <c r="N127" s="435"/>
      <c r="O127" s="435"/>
      <c r="P127" s="435"/>
      <c r="Q127" s="434"/>
    </row>
    <row r="128" spans="4:18" ht="36" customHeight="1" x14ac:dyDescent="0.45">
      <c r="D128" s="434" t="s">
        <v>91</v>
      </c>
      <c r="E128" s="434"/>
      <c r="F128" s="434"/>
      <c r="G128" s="434"/>
      <c r="H128" s="434"/>
      <c r="I128" s="434"/>
      <c r="J128" s="439">
        <f>Criteria!E57</f>
        <v>0</v>
      </c>
      <c r="K128" s="434"/>
      <c r="L128" s="434"/>
      <c r="M128" s="435"/>
      <c r="N128" s="435"/>
      <c r="O128" s="435"/>
      <c r="P128" s="435"/>
      <c r="Q128" s="434"/>
    </row>
    <row r="129" spans="4:18" ht="36" customHeight="1" x14ac:dyDescent="0.45">
      <c r="D129" s="434"/>
      <c r="E129" s="434"/>
      <c r="F129" s="434"/>
      <c r="G129" s="434"/>
      <c r="H129" s="434"/>
      <c r="I129" s="434"/>
      <c r="J129" s="439">
        <f>Criteria!E58</f>
        <v>0</v>
      </c>
      <c r="K129" s="434"/>
      <c r="L129" s="434"/>
      <c r="M129" s="435"/>
      <c r="N129" s="435"/>
      <c r="O129" s="435"/>
      <c r="P129" s="435"/>
      <c r="Q129" s="434"/>
    </row>
    <row r="130" spans="4:18" ht="36" customHeight="1" x14ac:dyDescent="0.45">
      <c r="D130" s="434"/>
      <c r="E130" s="434"/>
      <c r="F130" s="434"/>
      <c r="G130" s="434"/>
      <c r="H130" s="434"/>
      <c r="I130" s="434"/>
      <c r="J130" s="439">
        <f>Criteria!E59</f>
        <v>0</v>
      </c>
      <c r="K130" s="434"/>
      <c r="L130" s="434"/>
      <c r="M130" s="435"/>
      <c r="N130" s="435"/>
      <c r="O130" s="435"/>
      <c r="P130" s="435"/>
      <c r="Q130" s="434"/>
      <c r="R130" s="348" t="str">
        <f>IF(J130=0,"DELETE"," ")</f>
        <v>DELETE</v>
      </c>
    </row>
    <row r="131" spans="4:18" ht="36" customHeight="1" x14ac:dyDescent="0.45">
      <c r="D131" s="434"/>
      <c r="E131" s="434"/>
      <c r="F131" s="434"/>
      <c r="G131" s="434"/>
      <c r="H131" s="434"/>
      <c r="I131" s="434"/>
      <c r="J131" s="439">
        <f>Criteria!E60</f>
        <v>0</v>
      </c>
      <c r="K131" s="434"/>
      <c r="L131" s="434"/>
      <c r="M131" s="435"/>
      <c r="N131" s="435"/>
      <c r="O131" s="435"/>
      <c r="P131" s="435"/>
      <c r="Q131" s="434"/>
      <c r="R131" s="348" t="str">
        <f>IF(J131=0,"DELETE"," ")</f>
        <v>DELETE</v>
      </c>
    </row>
    <row r="132" spans="4:18" ht="36" customHeight="1" x14ac:dyDescent="0.45">
      <c r="D132" s="434"/>
      <c r="E132" s="434"/>
      <c r="F132" s="434"/>
      <c r="G132" s="434"/>
      <c r="H132" s="434"/>
      <c r="I132" s="434"/>
      <c r="J132" s="439"/>
      <c r="K132" s="434"/>
      <c r="L132" s="434"/>
      <c r="M132" s="435"/>
      <c r="N132" s="435"/>
      <c r="O132" s="435"/>
      <c r="P132" s="435"/>
      <c r="Q132" s="434"/>
      <c r="R132" s="348" t="str">
        <f>R133</f>
        <v>DELETE</v>
      </c>
    </row>
    <row r="133" spans="4:18" ht="36" customHeight="1" x14ac:dyDescent="0.45">
      <c r="D133" s="434" t="s">
        <v>767</v>
      </c>
      <c r="E133" s="434"/>
      <c r="F133" s="434"/>
      <c r="G133" s="434"/>
      <c r="H133" s="434"/>
      <c r="I133" s="434"/>
      <c r="J133" s="439">
        <f>Criteria!E62</f>
        <v>0</v>
      </c>
      <c r="K133" s="434"/>
      <c r="L133" s="434"/>
      <c r="M133" s="435"/>
      <c r="N133" s="435"/>
      <c r="O133" s="435"/>
      <c r="P133" s="435"/>
      <c r="Q133" s="434"/>
      <c r="R133" s="348" t="str">
        <f t="shared" ref="R133:R136" si="0">IF(J133=0,"DELETE"," ")</f>
        <v>DELETE</v>
      </c>
    </row>
    <row r="134" spans="4:18" ht="36" customHeight="1" x14ac:dyDescent="0.45">
      <c r="D134" s="434"/>
      <c r="E134" s="434"/>
      <c r="F134" s="434"/>
      <c r="G134" s="434"/>
      <c r="H134" s="434"/>
      <c r="I134" s="434"/>
      <c r="J134" s="439">
        <f>Criteria!E63</f>
        <v>0</v>
      </c>
      <c r="K134" s="434"/>
      <c r="L134" s="434"/>
      <c r="M134" s="435"/>
      <c r="N134" s="435"/>
      <c r="O134" s="435"/>
      <c r="P134" s="435"/>
      <c r="Q134" s="434"/>
      <c r="R134" s="348" t="str">
        <f t="shared" si="0"/>
        <v>DELETE</v>
      </c>
    </row>
    <row r="135" spans="4:18" ht="36" customHeight="1" x14ac:dyDescent="0.45">
      <c r="D135" s="434"/>
      <c r="E135" s="434"/>
      <c r="F135" s="434"/>
      <c r="G135" s="434"/>
      <c r="H135" s="434"/>
      <c r="I135" s="434"/>
      <c r="J135" s="439">
        <f>Criteria!E64</f>
        <v>0</v>
      </c>
      <c r="K135" s="434"/>
      <c r="L135" s="434"/>
      <c r="M135" s="435"/>
      <c r="N135" s="435"/>
      <c r="O135" s="435"/>
      <c r="P135" s="435"/>
      <c r="Q135" s="434"/>
      <c r="R135" s="348" t="str">
        <f t="shared" si="0"/>
        <v>DELETE</v>
      </c>
    </row>
    <row r="136" spans="4:18" ht="36" customHeight="1" x14ac:dyDescent="0.45">
      <c r="D136" s="434"/>
      <c r="E136" s="434"/>
      <c r="F136" s="434"/>
      <c r="G136" s="434"/>
      <c r="H136" s="434"/>
      <c r="I136" s="434"/>
      <c r="J136" s="439">
        <f>Criteria!E65</f>
        <v>0</v>
      </c>
      <c r="K136" s="434"/>
      <c r="L136" s="434"/>
      <c r="M136" s="435"/>
      <c r="N136" s="435"/>
      <c r="O136" s="435"/>
      <c r="P136" s="435"/>
      <c r="Q136" s="434"/>
      <c r="R136" s="348" t="str">
        <f t="shared" si="0"/>
        <v>DELETE</v>
      </c>
    </row>
    <row r="137" spans="4:18" ht="36" customHeight="1" x14ac:dyDescent="0.45">
      <c r="D137" s="434"/>
      <c r="E137" s="434"/>
      <c r="F137" s="434"/>
      <c r="G137" s="434"/>
      <c r="H137" s="434"/>
      <c r="I137" s="434"/>
      <c r="J137" s="439"/>
      <c r="K137" s="434"/>
      <c r="L137" s="434"/>
      <c r="M137" s="435"/>
      <c r="N137" s="435"/>
      <c r="O137" s="435"/>
      <c r="P137" s="435"/>
      <c r="Q137" s="434"/>
    </row>
    <row r="138" spans="4:18" ht="36" customHeight="1" x14ac:dyDescent="0.45">
      <c r="D138" s="434" t="s">
        <v>92</v>
      </c>
      <c r="E138" s="434"/>
      <c r="F138" s="434"/>
      <c r="G138" s="434"/>
      <c r="H138" s="434"/>
      <c r="I138" s="434"/>
      <c r="J138" s="439">
        <f>Criteria!E67</f>
        <v>0</v>
      </c>
      <c r="K138" s="434"/>
      <c r="L138" s="434"/>
      <c r="M138" s="435"/>
      <c r="N138" s="435"/>
      <c r="O138" s="435"/>
      <c r="P138" s="435"/>
      <c r="Q138" s="434"/>
      <c r="R138" s="348" t="str">
        <f>IF(J138=0,"DELETE"," ")</f>
        <v>DELETE</v>
      </c>
    </row>
    <row r="139" spans="4:18" ht="36" customHeight="1" x14ac:dyDescent="0.45">
      <c r="D139" s="434"/>
      <c r="E139" s="434"/>
      <c r="F139" s="434"/>
      <c r="G139" s="434"/>
      <c r="H139" s="434"/>
      <c r="I139" s="434"/>
      <c r="J139" s="439">
        <f>Criteria!E68</f>
        <v>0</v>
      </c>
      <c r="K139" s="434"/>
      <c r="L139" s="434"/>
      <c r="M139" s="435"/>
      <c r="N139" s="435"/>
      <c r="O139" s="435"/>
      <c r="P139" s="435"/>
      <c r="Q139" s="434"/>
      <c r="R139" s="348" t="str">
        <f>IF(J139=0,"DELETE"," ")</f>
        <v>DELETE</v>
      </c>
    </row>
    <row r="140" spans="4:18" ht="36" customHeight="1" x14ac:dyDescent="0.45">
      <c r="D140" s="434"/>
      <c r="E140" s="434"/>
      <c r="F140" s="434"/>
      <c r="G140" s="434"/>
      <c r="H140" s="434"/>
      <c r="I140" s="434"/>
      <c r="J140" s="439">
        <f>Criteria!E69</f>
        <v>0</v>
      </c>
      <c r="K140" s="434"/>
      <c r="L140" s="434"/>
      <c r="M140" s="435"/>
      <c r="N140" s="435"/>
      <c r="O140" s="435"/>
      <c r="P140" s="435"/>
      <c r="Q140" s="434"/>
      <c r="R140" s="348" t="str">
        <f>IF(J140=0,"DELETE"," ")</f>
        <v>DELETE</v>
      </c>
    </row>
    <row r="141" spans="4:18" ht="36" customHeight="1" x14ac:dyDescent="0.45">
      <c r="D141" s="434"/>
      <c r="E141" s="434"/>
      <c r="F141" s="434"/>
      <c r="G141" s="434"/>
      <c r="H141" s="434"/>
      <c r="I141" s="434"/>
      <c r="J141" s="439">
        <f>Criteria!E70</f>
        <v>0</v>
      </c>
      <c r="K141" s="434"/>
      <c r="L141" s="434"/>
      <c r="M141" s="435"/>
      <c r="N141" s="435"/>
      <c r="O141" s="435"/>
      <c r="P141" s="435"/>
      <c r="Q141" s="434"/>
      <c r="R141" s="348" t="str">
        <f>IF(J141=0,"DELETE"," ")</f>
        <v>DELETE</v>
      </c>
    </row>
    <row r="142" spans="4:18" ht="36" customHeight="1" x14ac:dyDescent="0.45">
      <c r="D142" s="434"/>
      <c r="E142" s="434"/>
      <c r="F142" s="434"/>
      <c r="G142" s="434"/>
      <c r="H142" s="434"/>
      <c r="I142" s="434"/>
      <c r="J142" s="439"/>
      <c r="K142" s="434"/>
      <c r="L142" s="434"/>
      <c r="M142" s="435"/>
      <c r="N142" s="435"/>
      <c r="O142" s="435"/>
      <c r="P142" s="435"/>
      <c r="Q142" s="434"/>
    </row>
    <row r="143" spans="4:18" ht="36" customHeight="1" x14ac:dyDescent="0.45">
      <c r="D143" s="434" t="s">
        <v>671</v>
      </c>
      <c r="E143" s="434"/>
      <c r="F143" s="434"/>
      <c r="G143" s="434"/>
      <c r="H143" s="434"/>
      <c r="I143" s="434"/>
      <c r="J143" s="439">
        <f>Criteria!E72</f>
        <v>0</v>
      </c>
      <c r="K143" s="434"/>
      <c r="L143" s="434"/>
      <c r="M143" s="435"/>
      <c r="N143" s="435"/>
      <c r="O143" s="435"/>
      <c r="P143" s="435"/>
      <c r="Q143" s="434"/>
      <c r="R143" s="348" t="str">
        <f t="shared" ref="R143:R145" si="1">IF(J143=0,"DELETE"," ")</f>
        <v>DELETE</v>
      </c>
    </row>
    <row r="144" spans="4:18" ht="36" customHeight="1" x14ac:dyDescent="0.45">
      <c r="D144" s="434"/>
      <c r="E144" s="434"/>
      <c r="F144" s="434"/>
      <c r="G144" s="434"/>
      <c r="H144" s="434"/>
      <c r="I144" s="434"/>
      <c r="J144" s="439">
        <f>Criteria!E73</f>
        <v>0</v>
      </c>
      <c r="K144" s="434"/>
      <c r="L144" s="434"/>
      <c r="M144" s="435"/>
      <c r="N144" s="435"/>
      <c r="O144" s="435"/>
      <c r="P144" s="435"/>
      <c r="Q144" s="434"/>
      <c r="R144" s="348" t="str">
        <f t="shared" si="1"/>
        <v>DELETE</v>
      </c>
    </row>
    <row r="145" spans="4:18" ht="36" customHeight="1" x14ac:dyDescent="0.45">
      <c r="D145" s="434"/>
      <c r="E145" s="434"/>
      <c r="F145" s="434"/>
      <c r="G145" s="434"/>
      <c r="H145" s="434"/>
      <c r="I145" s="434"/>
      <c r="J145" s="439">
        <f>Criteria!E74</f>
        <v>0</v>
      </c>
      <c r="K145" s="434"/>
      <c r="L145" s="434"/>
      <c r="M145" s="435"/>
      <c r="N145" s="435"/>
      <c r="O145" s="435"/>
      <c r="P145" s="435"/>
      <c r="Q145" s="434"/>
      <c r="R145" s="348" t="str">
        <f t="shared" si="1"/>
        <v>DELETE</v>
      </c>
    </row>
    <row r="146" spans="4:18" ht="36" customHeight="1" x14ac:dyDescent="0.45">
      <c r="D146" s="434"/>
      <c r="E146" s="434"/>
      <c r="F146" s="434"/>
      <c r="G146" s="434"/>
      <c r="H146" s="434"/>
      <c r="I146" s="434"/>
      <c r="J146" s="439"/>
      <c r="K146" s="434"/>
      <c r="L146" s="434"/>
      <c r="M146" s="435"/>
      <c r="N146" s="435"/>
      <c r="O146" s="435"/>
      <c r="P146" s="435"/>
      <c r="Q146" s="434"/>
    </row>
    <row r="147" spans="4:18" ht="36" customHeight="1" x14ac:dyDescent="0.45">
      <c r="D147" s="434" t="s">
        <v>688</v>
      </c>
      <c r="E147" s="434"/>
      <c r="F147" s="434"/>
      <c r="G147" s="434"/>
      <c r="H147" s="434"/>
      <c r="I147" s="434"/>
      <c r="J147" s="439" t="str">
        <f>Criteria!E18</f>
        <v>2000/123456/07</v>
      </c>
      <c r="K147" s="434"/>
      <c r="L147" s="434"/>
      <c r="M147" s="435"/>
      <c r="N147" s="435"/>
      <c r="O147" s="435"/>
      <c r="P147" s="435"/>
      <c r="Q147" s="434"/>
    </row>
    <row r="148" spans="4:18" ht="36" customHeight="1" x14ac:dyDescent="0.45">
      <c r="D148" s="434"/>
      <c r="E148" s="434"/>
      <c r="F148" s="434"/>
      <c r="G148" s="434"/>
      <c r="H148" s="434"/>
      <c r="I148" s="434"/>
      <c r="J148" s="439"/>
      <c r="K148" s="434"/>
      <c r="L148" s="434"/>
      <c r="M148" s="435"/>
      <c r="N148" s="435"/>
      <c r="O148" s="435"/>
      <c r="P148" s="435"/>
      <c r="Q148" s="434"/>
    </row>
    <row r="149" spans="4:18" ht="36" customHeight="1" x14ac:dyDescent="0.45">
      <c r="D149" s="434" t="s">
        <v>642</v>
      </c>
      <c r="E149" s="434"/>
      <c r="F149" s="434"/>
      <c r="G149" s="434"/>
      <c r="H149" s="434"/>
      <c r="I149" s="434"/>
      <c r="J149" s="440"/>
      <c r="K149" s="434"/>
      <c r="L149" s="434"/>
      <c r="M149" s="435"/>
      <c r="N149" s="435"/>
      <c r="O149" s="435"/>
      <c r="P149" s="435"/>
      <c r="Q149" s="434"/>
    </row>
    <row r="150" spans="4:18" ht="36" customHeight="1" x14ac:dyDescent="0.45">
      <c r="D150" s="434"/>
      <c r="E150" s="434"/>
      <c r="F150" s="434"/>
      <c r="G150" s="434"/>
      <c r="H150" s="434"/>
      <c r="I150" s="434"/>
      <c r="J150" s="440"/>
      <c r="K150" s="434"/>
      <c r="L150" s="434"/>
      <c r="M150" s="435"/>
      <c r="N150" s="435"/>
      <c r="O150" s="435"/>
      <c r="P150" s="435"/>
      <c r="Q150" s="434"/>
    </row>
    <row r="151" spans="4:18" ht="36" customHeight="1" x14ac:dyDescent="0.45">
      <c r="D151" s="434"/>
      <c r="E151" s="434"/>
      <c r="F151" s="434"/>
      <c r="G151" s="434"/>
      <c r="H151" s="434"/>
      <c r="I151" s="434"/>
      <c r="J151" s="440"/>
      <c r="K151" s="434"/>
      <c r="L151" s="434"/>
      <c r="M151" s="435"/>
      <c r="N151" s="435"/>
      <c r="O151" s="435"/>
      <c r="P151" s="435"/>
      <c r="Q151" s="434"/>
    </row>
    <row r="152" spans="4:18" ht="36" customHeight="1" x14ac:dyDescent="0.45">
      <c r="D152" s="434"/>
      <c r="E152" s="434"/>
      <c r="F152" s="434"/>
      <c r="G152" s="434"/>
      <c r="H152" s="434"/>
      <c r="I152" s="434"/>
      <c r="J152" s="440"/>
      <c r="K152" s="434"/>
      <c r="L152" s="434"/>
      <c r="M152" s="435"/>
      <c r="N152" s="435"/>
      <c r="O152" s="435"/>
      <c r="P152" s="435"/>
      <c r="Q152" s="434"/>
    </row>
    <row r="153" spans="4:18" ht="36" customHeight="1" x14ac:dyDescent="0.45">
      <c r="D153" s="434"/>
      <c r="E153" s="434"/>
      <c r="F153" s="434"/>
      <c r="G153" s="434"/>
      <c r="H153" s="434"/>
      <c r="I153" s="434"/>
      <c r="J153" s="440"/>
      <c r="K153" s="434"/>
      <c r="L153" s="434"/>
      <c r="M153" s="435"/>
      <c r="N153" s="435"/>
      <c r="O153" s="435"/>
      <c r="P153" s="435"/>
      <c r="Q153" s="434"/>
    </row>
    <row r="154" spans="4:18" ht="36" customHeight="1" x14ac:dyDescent="0.45">
      <c r="D154" s="434"/>
      <c r="E154" s="434"/>
      <c r="F154" s="434"/>
      <c r="G154" s="434"/>
      <c r="H154" s="434"/>
      <c r="I154" s="434"/>
      <c r="J154" s="439"/>
      <c r="K154" s="434"/>
      <c r="L154" s="434"/>
      <c r="M154" s="435"/>
      <c r="N154" s="435"/>
      <c r="O154" s="435"/>
      <c r="P154" s="435"/>
      <c r="Q154" s="434"/>
    </row>
    <row r="155" spans="4:18" ht="36" customHeight="1" x14ac:dyDescent="0.45">
      <c r="D155" s="434"/>
      <c r="E155" s="434"/>
      <c r="F155" s="434"/>
      <c r="G155" s="434"/>
      <c r="H155" s="434"/>
      <c r="I155" s="434"/>
      <c r="J155" s="439"/>
      <c r="K155" s="434"/>
      <c r="L155" s="434"/>
      <c r="M155" s="435"/>
      <c r="N155" s="435"/>
      <c r="O155" s="435"/>
      <c r="P155" s="435"/>
      <c r="Q155" s="434"/>
    </row>
    <row r="156" spans="4:18" ht="36" customHeight="1" x14ac:dyDescent="0.45">
      <c r="D156" s="434"/>
      <c r="E156" s="434"/>
      <c r="F156" s="434"/>
      <c r="G156" s="434"/>
      <c r="H156" s="434"/>
      <c r="I156" s="434"/>
      <c r="J156" s="439"/>
      <c r="K156" s="434"/>
      <c r="L156" s="434"/>
      <c r="M156" s="435"/>
      <c r="N156" s="435"/>
      <c r="O156" s="435"/>
      <c r="P156" s="435"/>
      <c r="Q156" s="434"/>
    </row>
    <row r="157" spans="4:18" ht="36" customHeight="1" x14ac:dyDescent="0.45">
      <c r="M157" s="347"/>
      <c r="O157" s="295" t="s">
        <v>89</v>
      </c>
      <c r="Q157" s="292">
        <f>MAX($Q$105:Q156)+1</f>
        <v>2</v>
      </c>
    </row>
    <row r="158" spans="4:18" ht="36" customHeight="1" x14ac:dyDescent="0.45">
      <c r="D158" s="434"/>
      <c r="E158" s="434"/>
      <c r="F158" s="434"/>
      <c r="G158" s="434"/>
      <c r="H158" s="434"/>
      <c r="I158" s="434"/>
      <c r="J158" s="434"/>
      <c r="K158" s="438"/>
      <c r="L158" s="438"/>
      <c r="M158" s="438"/>
      <c r="N158" s="438"/>
      <c r="O158" s="435"/>
      <c r="P158" s="435"/>
      <c r="Q158" s="434"/>
    </row>
    <row r="159" spans="4:18" ht="36" customHeight="1" x14ac:dyDescent="0.45">
      <c r="D159" s="434"/>
      <c r="E159" s="434"/>
      <c r="F159" s="434"/>
      <c r="G159" s="434"/>
      <c r="H159" s="434"/>
      <c r="I159" s="434"/>
      <c r="J159" s="434"/>
      <c r="K159" s="434"/>
      <c r="L159" s="434"/>
      <c r="M159" s="434"/>
      <c r="N159" s="435"/>
      <c r="O159" s="434"/>
      <c r="P159" s="435"/>
      <c r="Q159" s="434"/>
    </row>
    <row r="160" spans="4:18" ht="36" customHeight="1" x14ac:dyDescent="0.45">
      <c r="D160" s="434"/>
      <c r="E160" s="434"/>
      <c r="F160" s="434"/>
      <c r="G160" s="434"/>
      <c r="H160" s="434"/>
      <c r="I160" s="434"/>
      <c r="J160" s="434"/>
      <c r="K160" s="434"/>
      <c r="L160" s="438"/>
      <c r="M160" s="438"/>
      <c r="N160" s="435"/>
      <c r="O160" s="441"/>
      <c r="P160" s="435"/>
      <c r="Q160" s="434"/>
    </row>
    <row r="161" spans="4:17" ht="36" customHeight="1" x14ac:dyDescent="0.45">
      <c r="D161" s="434"/>
      <c r="E161" s="434"/>
      <c r="F161" s="434"/>
      <c r="G161" s="434"/>
      <c r="H161" s="434"/>
      <c r="I161" s="434"/>
      <c r="J161" s="434"/>
      <c r="K161" s="434"/>
      <c r="L161" s="438"/>
      <c r="M161" s="438"/>
      <c r="N161" s="435"/>
      <c r="O161" s="441"/>
      <c r="P161" s="435"/>
      <c r="Q161" s="434"/>
    </row>
    <row r="162" spans="4:17" ht="36" customHeight="1" x14ac:dyDescent="0.45">
      <c r="D162" s="434"/>
      <c r="E162" s="434"/>
      <c r="F162" s="434"/>
      <c r="G162" s="434"/>
      <c r="H162" s="434"/>
      <c r="I162" s="434"/>
      <c r="J162" s="434"/>
      <c r="K162" s="434"/>
      <c r="L162" s="438"/>
      <c r="M162" s="435"/>
      <c r="N162" s="435"/>
      <c r="O162" s="435"/>
      <c r="P162" s="435"/>
      <c r="Q162" s="434"/>
    </row>
    <row r="163" spans="4:17" ht="36" customHeight="1" x14ac:dyDescent="0.45">
      <c r="D163" s="434"/>
      <c r="E163" s="434"/>
      <c r="F163" s="434"/>
      <c r="G163" s="434"/>
      <c r="H163" s="434"/>
      <c r="I163" s="434"/>
      <c r="J163" s="434"/>
      <c r="K163" s="434"/>
      <c r="L163" s="434"/>
      <c r="M163" s="442"/>
      <c r="N163" s="442"/>
      <c r="O163" s="442"/>
      <c r="P163" s="442"/>
      <c r="Q163" s="434"/>
    </row>
    <row r="164" spans="4:17" ht="36" customHeight="1" x14ac:dyDescent="0.45">
      <c r="D164" s="434"/>
      <c r="E164" s="434"/>
      <c r="F164" s="434"/>
      <c r="G164" s="434"/>
      <c r="H164" s="434"/>
      <c r="I164" s="434"/>
      <c r="J164" s="434"/>
      <c r="K164" s="434"/>
      <c r="L164" s="434"/>
      <c r="M164" s="435"/>
      <c r="N164" s="435"/>
      <c r="O164" s="435"/>
      <c r="P164" s="435"/>
      <c r="Q164" s="434"/>
    </row>
    <row r="165" spans="4:17" ht="36" customHeight="1" x14ac:dyDescent="0.45">
      <c r="D165" s="434"/>
      <c r="E165" s="434"/>
      <c r="F165" s="434"/>
      <c r="G165" s="434"/>
      <c r="H165" s="434"/>
      <c r="I165" s="434"/>
      <c r="J165" s="434"/>
      <c r="K165" s="434"/>
      <c r="L165" s="434"/>
      <c r="M165" s="435"/>
      <c r="N165" s="435"/>
      <c r="O165" s="435"/>
      <c r="P165" s="435"/>
      <c r="Q165" s="434"/>
    </row>
    <row r="166" spans="4:17" ht="36" customHeight="1" x14ac:dyDescent="0.45">
      <c r="D166" s="433" t="str">
        <f>IF(MAX(Criteria!I38:I42)&gt;1,"AUDITOR'S COMPILATION REPORT TO THE DIRECTORS OF","AUDITOR'S COMPILATION REPORT TO THE DIRECTOR OF")</f>
        <v>AUDITOR'S COMPILATION REPORT TO THE DIRECTORS OF</v>
      </c>
      <c r="E166" s="434"/>
      <c r="F166" s="434"/>
      <c r="G166" s="434"/>
      <c r="H166" s="434"/>
      <c r="I166" s="434"/>
      <c r="J166" s="434"/>
      <c r="K166" s="434"/>
      <c r="L166" s="434"/>
      <c r="M166" s="435"/>
      <c r="N166" s="435"/>
      <c r="O166" s="435"/>
      <c r="P166" s="435"/>
      <c r="Q166" s="434"/>
    </row>
    <row r="167" spans="4:17" ht="36" customHeight="1" x14ac:dyDescent="0.45">
      <c r="D167" s="433" t="str">
        <f>Criteria!E9</f>
        <v>HOLDING COMPANY 268 (PROPRIETARY) LIMITED</v>
      </c>
      <c r="E167" s="434"/>
      <c r="F167" s="434"/>
      <c r="G167" s="434"/>
      <c r="H167" s="434"/>
      <c r="I167" s="434"/>
      <c r="J167" s="434"/>
      <c r="K167" s="434"/>
      <c r="L167" s="434"/>
      <c r="M167" s="435"/>
      <c r="N167" s="435"/>
      <c r="O167" s="435"/>
      <c r="P167" s="435"/>
      <c r="Q167" s="434"/>
    </row>
    <row r="168" spans="4:17" ht="36" customHeight="1" x14ac:dyDescent="0.45">
      <c r="D168" s="433" t="s">
        <v>810</v>
      </c>
      <c r="E168" s="434"/>
      <c r="F168" s="434"/>
      <c r="G168" s="434"/>
      <c r="H168" s="434"/>
      <c r="I168" s="434"/>
      <c r="J168" s="434"/>
      <c r="K168" s="434"/>
      <c r="L168" s="434"/>
      <c r="M168" s="435"/>
      <c r="N168" s="435"/>
      <c r="O168" s="435"/>
      <c r="P168" s="435"/>
      <c r="Q168" s="434"/>
    </row>
    <row r="169" spans="4:17" ht="36" customHeight="1" x14ac:dyDescent="0.45">
      <c r="D169" s="434"/>
      <c r="E169" s="434"/>
      <c r="F169" s="434"/>
      <c r="G169" s="434"/>
      <c r="H169" s="434"/>
      <c r="I169" s="434"/>
      <c r="J169" s="434"/>
      <c r="K169" s="434"/>
      <c r="L169" s="434"/>
      <c r="M169" s="435"/>
      <c r="N169" s="435"/>
      <c r="O169" s="435"/>
      <c r="P169" s="435"/>
      <c r="Q169" s="434"/>
    </row>
    <row r="170" spans="4:17" ht="36" customHeight="1" x14ac:dyDescent="0.45">
      <c r="D170" s="480" t="str">
        <f>CONCATENATE("We have compiled the accompanying Consolidated Financial Statements of ",Criteria!E11,", as set out on pages ",Q411," to ",MAX(Q411:Q2306),", based on information you have provided. These Consolidated Financial Statements comprise the statement of financial position of ",Criteria!E11," as at ",Criteria!G24,", the statement of comprehensive income, statement of changes in equity for the year then ended and notes to the Consolidated Financial Statements, including a summary of significant accounting policies and other explanatory information.")</f>
        <v>We have compiled the accompanying Consolidated Financial Statements of Holding Company 268 (Pty) Ltd, as set out on pages 9 to 62, based on information you have provided. These Consolidated Financial Statements comprise the statement of financial position of Holding Company 268 (Pty) Ltd as at 28 February 2025, the statement of comprehensive income, statement of changes in equity for the year then ended and notes to the Consolidated Financial Statements, including a summary of significant accounting policies and other explanatory information.</v>
      </c>
      <c r="E170" s="480"/>
      <c r="F170" s="480"/>
      <c r="G170" s="480"/>
      <c r="H170" s="480"/>
      <c r="I170" s="480"/>
      <c r="J170" s="480"/>
      <c r="K170" s="480"/>
      <c r="L170" s="480"/>
      <c r="M170" s="480"/>
      <c r="N170" s="480"/>
      <c r="O170" s="480"/>
      <c r="P170" s="480"/>
      <c r="Q170" s="480"/>
    </row>
    <row r="171" spans="4:17" ht="36" customHeight="1" x14ac:dyDescent="0.45">
      <c r="D171" s="480"/>
      <c r="E171" s="480"/>
      <c r="F171" s="480"/>
      <c r="G171" s="480"/>
      <c r="H171" s="480"/>
      <c r="I171" s="480"/>
      <c r="J171" s="480"/>
      <c r="K171" s="480"/>
      <c r="L171" s="480"/>
      <c r="M171" s="480"/>
      <c r="N171" s="480"/>
      <c r="O171" s="480"/>
      <c r="P171" s="480"/>
      <c r="Q171" s="480"/>
    </row>
    <row r="172" spans="4:17" ht="36" customHeight="1" x14ac:dyDescent="0.45">
      <c r="D172" s="480"/>
      <c r="E172" s="480"/>
      <c r="F172" s="480"/>
      <c r="G172" s="480"/>
      <c r="H172" s="480"/>
      <c r="I172" s="480"/>
      <c r="J172" s="480"/>
      <c r="K172" s="480"/>
      <c r="L172" s="480"/>
      <c r="M172" s="480"/>
      <c r="N172" s="480"/>
      <c r="O172" s="480"/>
      <c r="P172" s="480"/>
      <c r="Q172" s="480"/>
    </row>
    <row r="173" spans="4:17" ht="36" customHeight="1" x14ac:dyDescent="0.45">
      <c r="D173" s="480"/>
      <c r="E173" s="480"/>
      <c r="F173" s="480"/>
      <c r="G173" s="480"/>
      <c r="H173" s="480"/>
      <c r="I173" s="480"/>
      <c r="J173" s="480"/>
      <c r="K173" s="480"/>
      <c r="L173" s="480"/>
      <c r="M173" s="480"/>
      <c r="N173" s="480"/>
      <c r="O173" s="480"/>
      <c r="P173" s="480"/>
      <c r="Q173" s="480"/>
    </row>
    <row r="174" spans="4:17" ht="36" customHeight="1" x14ac:dyDescent="0.45">
      <c r="D174" s="480"/>
      <c r="E174" s="480"/>
      <c r="F174" s="480"/>
      <c r="G174" s="480"/>
      <c r="H174" s="480"/>
      <c r="I174" s="480"/>
      <c r="J174" s="480"/>
      <c r="K174" s="480"/>
      <c r="L174" s="480"/>
      <c r="M174" s="480"/>
      <c r="N174" s="480"/>
      <c r="O174" s="480"/>
      <c r="P174" s="480"/>
      <c r="Q174" s="480"/>
    </row>
    <row r="175" spans="4:17" ht="36" customHeight="1" x14ac:dyDescent="0.45">
      <c r="D175" s="480"/>
      <c r="E175" s="480"/>
      <c r="F175" s="480"/>
      <c r="G175" s="480"/>
      <c r="H175" s="480"/>
      <c r="I175" s="480"/>
      <c r="J175" s="480"/>
      <c r="K175" s="480"/>
      <c r="L175" s="480"/>
      <c r="M175" s="480"/>
      <c r="N175" s="480"/>
      <c r="O175" s="480"/>
      <c r="P175" s="480"/>
      <c r="Q175" s="480"/>
    </row>
    <row r="176" spans="4:17" ht="36" customHeight="1" x14ac:dyDescent="0.45">
      <c r="D176" s="480"/>
      <c r="E176" s="480"/>
      <c r="F176" s="480"/>
      <c r="G176" s="480"/>
      <c r="H176" s="480"/>
      <c r="I176" s="480"/>
      <c r="J176" s="480"/>
      <c r="K176" s="480"/>
      <c r="L176" s="480"/>
      <c r="M176" s="480"/>
      <c r="N176" s="480"/>
      <c r="O176" s="480"/>
      <c r="P176" s="480"/>
      <c r="Q176" s="480"/>
    </row>
    <row r="177" spans="4:17" ht="36" customHeight="1" x14ac:dyDescent="0.45">
      <c r="D177" s="480"/>
      <c r="E177" s="480"/>
      <c r="F177" s="480"/>
      <c r="G177" s="480"/>
      <c r="H177" s="480"/>
      <c r="I177" s="480"/>
      <c r="J177" s="480"/>
      <c r="K177" s="480"/>
      <c r="L177" s="480"/>
      <c r="M177" s="480"/>
      <c r="N177" s="480"/>
      <c r="O177" s="480"/>
      <c r="P177" s="480"/>
      <c r="Q177" s="480"/>
    </row>
    <row r="178" spans="4:17" ht="36" customHeight="1" x14ac:dyDescent="0.45">
      <c r="D178" s="434"/>
      <c r="E178" s="434"/>
      <c r="F178" s="434"/>
      <c r="G178" s="434"/>
      <c r="H178" s="434"/>
      <c r="I178" s="434"/>
      <c r="J178" s="434"/>
      <c r="K178" s="434"/>
      <c r="L178" s="434"/>
      <c r="M178" s="435"/>
      <c r="N178" s="435"/>
      <c r="O178" s="435"/>
      <c r="P178" s="435"/>
      <c r="Q178" s="434"/>
    </row>
    <row r="179" spans="4:17" ht="36" customHeight="1" x14ac:dyDescent="0.45">
      <c r="D179" s="434" t="s">
        <v>1116</v>
      </c>
      <c r="E179" s="434"/>
      <c r="F179" s="434"/>
      <c r="G179" s="434"/>
      <c r="H179" s="434"/>
      <c r="I179" s="434"/>
      <c r="J179" s="434"/>
      <c r="K179" s="434"/>
      <c r="L179" s="434"/>
      <c r="M179" s="435"/>
      <c r="N179" s="435"/>
      <c r="O179" s="435"/>
      <c r="P179" s="435"/>
      <c r="Q179" s="434"/>
    </row>
    <row r="180" spans="4:17" ht="36" customHeight="1" x14ac:dyDescent="0.45">
      <c r="D180" s="434" t="s">
        <v>1115</v>
      </c>
      <c r="E180" s="434"/>
      <c r="F180" s="434"/>
      <c r="G180" s="434"/>
      <c r="H180" s="434"/>
      <c r="I180" s="434"/>
      <c r="J180" s="434"/>
      <c r="K180" s="434"/>
      <c r="L180" s="434"/>
      <c r="M180" s="435"/>
      <c r="N180" s="435"/>
      <c r="O180" s="435"/>
      <c r="P180" s="435"/>
      <c r="Q180" s="434"/>
    </row>
    <row r="181" spans="4:17" ht="36" customHeight="1" x14ac:dyDescent="0.45">
      <c r="D181" s="434"/>
      <c r="E181" s="434"/>
      <c r="F181" s="434"/>
      <c r="G181" s="434"/>
      <c r="H181" s="434"/>
      <c r="I181" s="434"/>
      <c r="J181" s="434"/>
      <c r="K181" s="434"/>
      <c r="L181" s="434"/>
      <c r="M181" s="435"/>
      <c r="N181" s="435"/>
      <c r="O181" s="435"/>
      <c r="P181" s="435"/>
      <c r="Q181" s="434"/>
    </row>
    <row r="182" spans="4:17" ht="36" customHeight="1" x14ac:dyDescent="0.45">
      <c r="D182" s="434" t="s">
        <v>1117</v>
      </c>
      <c r="E182" s="434"/>
      <c r="F182" s="434"/>
      <c r="G182" s="434"/>
      <c r="H182" s="434"/>
      <c r="I182" s="434"/>
      <c r="J182" s="434"/>
      <c r="K182" s="434"/>
      <c r="L182" s="434"/>
      <c r="M182" s="435"/>
      <c r="N182" s="435"/>
      <c r="O182" s="435"/>
      <c r="P182" s="435"/>
      <c r="Q182" s="434"/>
    </row>
    <row r="183" spans="4:17" ht="36" customHeight="1" x14ac:dyDescent="0.45">
      <c r="D183" s="434" t="s">
        <v>1118</v>
      </c>
      <c r="E183" s="434"/>
      <c r="F183" s="434"/>
      <c r="G183" s="434"/>
      <c r="H183" s="434"/>
      <c r="I183" s="434"/>
      <c r="J183" s="434"/>
      <c r="K183" s="434"/>
      <c r="L183" s="434"/>
      <c r="M183" s="435"/>
      <c r="N183" s="435"/>
      <c r="O183" s="435"/>
      <c r="P183" s="435"/>
      <c r="Q183" s="434"/>
    </row>
    <row r="184" spans="4:17" ht="36" customHeight="1" x14ac:dyDescent="0.45">
      <c r="D184" s="434" t="s">
        <v>1120</v>
      </c>
      <c r="E184" s="434"/>
      <c r="F184" s="434"/>
      <c r="G184" s="434"/>
      <c r="H184" s="434"/>
      <c r="I184" s="434"/>
      <c r="J184" s="434"/>
      <c r="K184" s="434"/>
      <c r="L184" s="434"/>
      <c r="M184" s="435"/>
      <c r="N184" s="435"/>
      <c r="O184" s="435"/>
      <c r="P184" s="435"/>
      <c r="Q184" s="434"/>
    </row>
    <row r="185" spans="4:17" ht="36" customHeight="1" x14ac:dyDescent="0.45">
      <c r="D185" s="434" t="s">
        <v>1119</v>
      </c>
      <c r="E185" s="434"/>
      <c r="F185" s="434"/>
      <c r="G185" s="434"/>
      <c r="H185" s="434"/>
      <c r="I185" s="434"/>
      <c r="J185" s="434"/>
      <c r="K185" s="434"/>
      <c r="L185" s="434"/>
      <c r="M185" s="435"/>
      <c r="N185" s="435"/>
      <c r="O185" s="435"/>
      <c r="P185" s="435"/>
      <c r="Q185" s="434"/>
    </row>
    <row r="186" spans="4:17" ht="36" customHeight="1" x14ac:dyDescent="0.45">
      <c r="D186" s="434"/>
      <c r="E186" s="434"/>
      <c r="F186" s="434"/>
      <c r="G186" s="434"/>
      <c r="H186" s="434"/>
      <c r="I186" s="434"/>
      <c r="J186" s="434"/>
      <c r="K186" s="434"/>
      <c r="L186" s="434"/>
      <c r="M186" s="435"/>
      <c r="N186" s="435"/>
      <c r="O186" s="435"/>
      <c r="P186" s="435"/>
      <c r="Q186" s="434"/>
    </row>
    <row r="187" spans="4:17" ht="36" customHeight="1" x14ac:dyDescent="0.45">
      <c r="D187" s="434" t="s">
        <v>1082</v>
      </c>
      <c r="E187" s="434"/>
      <c r="F187" s="434"/>
      <c r="G187" s="434"/>
      <c r="H187" s="434"/>
      <c r="I187" s="434"/>
      <c r="J187" s="434"/>
      <c r="K187" s="434"/>
      <c r="L187" s="434"/>
      <c r="M187" s="435"/>
      <c r="N187" s="435"/>
      <c r="O187" s="435"/>
      <c r="P187" s="435"/>
      <c r="Q187" s="434"/>
    </row>
    <row r="188" spans="4:17" ht="36" customHeight="1" x14ac:dyDescent="0.45">
      <c r="D188" s="434" t="s">
        <v>1081</v>
      </c>
      <c r="E188" s="434"/>
      <c r="F188" s="434"/>
      <c r="G188" s="434"/>
      <c r="H188" s="434"/>
      <c r="I188" s="434"/>
      <c r="J188" s="434"/>
      <c r="K188" s="434"/>
      <c r="L188" s="434"/>
      <c r="M188" s="435"/>
      <c r="N188" s="435"/>
      <c r="O188" s="435"/>
      <c r="P188" s="435"/>
      <c r="Q188" s="434"/>
    </row>
    <row r="189" spans="4:17" ht="36" customHeight="1" x14ac:dyDescent="0.45">
      <c r="D189" s="434"/>
      <c r="E189" s="434"/>
      <c r="F189" s="434"/>
      <c r="G189" s="434"/>
      <c r="H189" s="434"/>
      <c r="I189" s="434"/>
      <c r="J189" s="434"/>
      <c r="K189" s="434"/>
      <c r="L189" s="434"/>
      <c r="M189" s="435"/>
      <c r="N189" s="435"/>
      <c r="O189" s="435"/>
      <c r="P189" s="435"/>
      <c r="Q189" s="434"/>
    </row>
    <row r="190" spans="4:17" ht="36" customHeight="1" x14ac:dyDescent="0.45">
      <c r="D190" s="434"/>
      <c r="E190" s="434"/>
      <c r="F190" s="434"/>
      <c r="G190" s="434"/>
      <c r="H190" s="434"/>
      <c r="I190" s="434"/>
      <c r="J190" s="434"/>
      <c r="K190" s="434"/>
      <c r="L190" s="434"/>
      <c r="M190" s="435"/>
      <c r="N190" s="435"/>
      <c r="O190" s="435"/>
      <c r="P190" s="435"/>
      <c r="Q190" s="434"/>
    </row>
    <row r="191" spans="4:17" ht="36" customHeight="1" x14ac:dyDescent="0.45">
      <c r="D191" s="434"/>
      <c r="E191" s="434"/>
      <c r="F191" s="434"/>
      <c r="G191" s="434"/>
      <c r="H191" s="434"/>
      <c r="I191" s="434"/>
      <c r="J191" s="434"/>
      <c r="K191" s="434"/>
      <c r="L191" s="434"/>
      <c r="M191" s="435"/>
      <c r="N191" s="435"/>
      <c r="O191" s="435"/>
      <c r="P191" s="435"/>
      <c r="Q191" s="434"/>
    </row>
    <row r="192" spans="4:17" ht="36" customHeight="1" x14ac:dyDescent="0.45">
      <c r="D192" s="434"/>
      <c r="E192" s="434"/>
      <c r="F192" s="434"/>
      <c r="G192" s="434"/>
      <c r="H192" s="434"/>
      <c r="I192" s="434"/>
      <c r="J192" s="434"/>
      <c r="K192" s="434"/>
      <c r="L192" s="434"/>
      <c r="M192" s="435"/>
      <c r="N192" s="435"/>
      <c r="O192" s="435"/>
      <c r="P192" s="435"/>
      <c r="Q192" s="434"/>
    </row>
    <row r="193" spans="4:17" ht="36" customHeight="1" x14ac:dyDescent="0.45">
      <c r="D193" s="434"/>
      <c r="E193" s="434"/>
      <c r="F193" s="434"/>
      <c r="G193" s="434"/>
      <c r="H193" s="434"/>
      <c r="I193" s="434"/>
      <c r="J193" s="434"/>
      <c r="K193" s="434"/>
      <c r="L193" s="434"/>
      <c r="M193" s="435"/>
      <c r="N193" s="435"/>
      <c r="O193" s="435"/>
      <c r="P193" s="435"/>
      <c r="Q193" s="434"/>
    </row>
    <row r="194" spans="4:17" ht="36" customHeight="1" x14ac:dyDescent="0.45">
      <c r="D194" s="434"/>
      <c r="E194" s="434"/>
      <c r="F194" s="434"/>
      <c r="G194" s="434"/>
      <c r="H194" s="434"/>
      <c r="I194" s="434"/>
      <c r="J194" s="434"/>
      <c r="K194" s="434"/>
      <c r="L194" s="434"/>
      <c r="M194" s="435"/>
      <c r="N194" s="435"/>
      <c r="O194" s="435"/>
      <c r="P194" s="435"/>
      <c r="Q194" s="434"/>
    </row>
    <row r="195" spans="4:17" ht="36" customHeight="1" x14ac:dyDescent="0.45">
      <c r="D195" s="434"/>
      <c r="E195" s="434"/>
      <c r="F195" s="434"/>
      <c r="G195" s="434"/>
      <c r="H195" s="434"/>
      <c r="I195" s="434"/>
      <c r="J195" s="434"/>
      <c r="K195" s="434"/>
      <c r="L195" s="434"/>
      <c r="M195" s="435"/>
      <c r="N195" s="435"/>
      <c r="O195" s="435"/>
      <c r="P195" s="435"/>
      <c r="Q195" s="434"/>
    </row>
    <row r="196" spans="4:17" ht="36" customHeight="1" x14ac:dyDescent="0.45">
      <c r="D196" s="434"/>
      <c r="E196" s="434"/>
      <c r="F196" s="434"/>
      <c r="G196" s="434"/>
      <c r="H196" s="434"/>
      <c r="I196" s="434"/>
      <c r="J196" s="434"/>
      <c r="K196" s="434"/>
      <c r="L196" s="434"/>
      <c r="M196" s="435"/>
      <c r="N196" s="435"/>
      <c r="O196" s="435"/>
      <c r="P196" s="435"/>
      <c r="Q196" s="434"/>
    </row>
    <row r="197" spans="4:17" ht="36" customHeight="1" x14ac:dyDescent="0.45">
      <c r="D197" s="434"/>
      <c r="E197" s="434"/>
      <c r="F197" s="434"/>
      <c r="G197" s="434"/>
      <c r="H197" s="434"/>
      <c r="I197" s="434"/>
      <c r="J197" s="434"/>
      <c r="K197" s="434"/>
      <c r="L197" s="434"/>
      <c r="M197" s="435"/>
      <c r="N197" s="435"/>
      <c r="O197" s="435"/>
      <c r="P197" s="435"/>
      <c r="Q197" s="434"/>
    </row>
    <row r="198" spans="4:17" ht="36" customHeight="1" x14ac:dyDescent="0.45">
      <c r="D198" s="434"/>
      <c r="E198" s="434"/>
      <c r="F198" s="434"/>
      <c r="G198" s="434"/>
      <c r="H198" s="434"/>
      <c r="I198" s="434"/>
      <c r="J198" s="434"/>
      <c r="K198" s="434"/>
      <c r="L198" s="434"/>
      <c r="M198" s="435"/>
      <c r="N198" s="435"/>
      <c r="O198" s="435"/>
      <c r="P198" s="435"/>
      <c r="Q198" s="434"/>
    </row>
    <row r="199" spans="4:17" ht="36" customHeight="1" x14ac:dyDescent="0.45">
      <c r="D199" s="434"/>
      <c r="E199" s="434"/>
      <c r="F199" s="434"/>
      <c r="G199" s="434"/>
      <c r="H199" s="434"/>
      <c r="I199" s="434"/>
      <c r="J199" s="434"/>
      <c r="K199" s="434"/>
      <c r="L199" s="434"/>
      <c r="M199" s="435"/>
      <c r="N199" s="435"/>
      <c r="O199" s="435"/>
      <c r="P199" s="435"/>
      <c r="Q199" s="434"/>
    </row>
    <row r="200" spans="4:17" ht="36" customHeight="1" x14ac:dyDescent="0.45">
      <c r="D200" s="434"/>
      <c r="E200" s="434"/>
      <c r="F200" s="434"/>
      <c r="G200" s="434"/>
      <c r="H200" s="434"/>
      <c r="I200" s="434"/>
      <c r="J200" s="434"/>
      <c r="K200" s="434"/>
      <c r="L200" s="434"/>
      <c r="M200" s="435"/>
      <c r="N200" s="435"/>
      <c r="O200" s="435"/>
      <c r="P200" s="435"/>
      <c r="Q200" s="434"/>
    </row>
    <row r="201" spans="4:17" ht="36" customHeight="1" x14ac:dyDescent="0.45">
      <c r="D201" s="434"/>
      <c r="E201" s="434"/>
      <c r="F201" s="434"/>
      <c r="G201" s="434"/>
      <c r="H201" s="434"/>
      <c r="I201" s="434"/>
      <c r="J201" s="434"/>
      <c r="K201" s="434"/>
      <c r="L201" s="434"/>
      <c r="M201" s="435"/>
      <c r="N201" s="435"/>
      <c r="O201" s="435"/>
      <c r="P201" s="435"/>
      <c r="Q201" s="434"/>
    </row>
    <row r="202" spans="4:17" ht="36" customHeight="1" x14ac:dyDescent="0.45">
      <c r="D202" s="434"/>
      <c r="E202" s="434"/>
      <c r="F202" s="434"/>
      <c r="G202" s="434"/>
      <c r="H202" s="434"/>
      <c r="I202" s="434"/>
      <c r="J202" s="434"/>
      <c r="K202" s="434"/>
      <c r="L202" s="434"/>
      <c r="M202" s="435"/>
      <c r="N202" s="435"/>
      <c r="O202" s="435"/>
      <c r="P202" s="435"/>
      <c r="Q202" s="434"/>
    </row>
    <row r="203" spans="4:17" ht="36" customHeight="1" x14ac:dyDescent="0.45">
      <c r="D203" s="434"/>
      <c r="E203" s="434"/>
      <c r="F203" s="434"/>
      <c r="G203" s="434"/>
      <c r="H203" s="434"/>
      <c r="I203" s="434"/>
      <c r="J203" s="434"/>
      <c r="K203" s="434"/>
      <c r="L203" s="434"/>
      <c r="M203" s="435"/>
      <c r="N203" s="435"/>
      <c r="O203" s="435"/>
      <c r="P203" s="435"/>
      <c r="Q203" s="434"/>
    </row>
    <row r="204" spans="4:17" ht="36" customHeight="1" x14ac:dyDescent="0.45">
      <c r="D204" s="434"/>
      <c r="E204" s="434"/>
      <c r="F204" s="434"/>
      <c r="G204" s="434"/>
      <c r="H204" s="434"/>
      <c r="I204" s="434"/>
      <c r="J204" s="434"/>
      <c r="K204" s="434"/>
      <c r="L204" s="434"/>
      <c r="M204" s="435"/>
      <c r="N204" s="435"/>
      <c r="O204" s="435"/>
      <c r="P204" s="435"/>
      <c r="Q204" s="434"/>
    </row>
    <row r="205" spans="4:17" ht="36" customHeight="1" x14ac:dyDescent="0.45">
      <c r="D205" s="434"/>
      <c r="E205" s="434"/>
      <c r="F205" s="434"/>
      <c r="G205" s="434"/>
      <c r="H205" s="434"/>
      <c r="I205" s="434"/>
      <c r="J205" s="434"/>
      <c r="K205" s="434"/>
      <c r="L205" s="434"/>
      <c r="M205" s="435"/>
      <c r="N205" s="435"/>
      <c r="O205" s="295" t="s">
        <v>89</v>
      </c>
      <c r="Q205" s="292">
        <f>MAX($Q$105:Q204)+1</f>
        <v>3</v>
      </c>
    </row>
    <row r="206" spans="4:17" ht="36" customHeight="1" x14ac:dyDescent="0.45">
      <c r="D206" s="434"/>
      <c r="E206" s="434"/>
      <c r="F206" s="434"/>
      <c r="G206" s="434"/>
      <c r="H206" s="434"/>
      <c r="I206" s="434"/>
      <c r="J206" s="434"/>
      <c r="K206" s="434"/>
      <c r="L206" s="434"/>
      <c r="M206" s="435"/>
      <c r="N206" s="435"/>
      <c r="O206" s="435"/>
      <c r="P206" s="435"/>
      <c r="Q206" s="434"/>
    </row>
    <row r="207" spans="4:17" ht="36" customHeight="1" x14ac:dyDescent="0.45">
      <c r="D207" s="434"/>
      <c r="E207" s="434"/>
      <c r="F207" s="434"/>
      <c r="G207" s="434"/>
      <c r="H207" s="434"/>
      <c r="I207" s="434"/>
      <c r="J207" s="434"/>
      <c r="K207" s="434"/>
      <c r="L207" s="434"/>
      <c r="M207" s="435"/>
      <c r="N207" s="435"/>
      <c r="O207" s="435"/>
      <c r="P207" s="435"/>
      <c r="Q207" s="434"/>
    </row>
    <row r="208" spans="4:17" ht="36" customHeight="1" x14ac:dyDescent="0.45">
      <c r="D208" s="434"/>
      <c r="E208" s="434"/>
      <c r="F208" s="434"/>
      <c r="G208" s="434"/>
      <c r="H208" s="434"/>
      <c r="I208" s="434"/>
      <c r="J208" s="434"/>
      <c r="K208" s="434"/>
      <c r="L208" s="434"/>
      <c r="M208" s="435"/>
      <c r="N208" s="435"/>
      <c r="O208" s="435"/>
      <c r="P208" s="435"/>
      <c r="Q208" s="434"/>
    </row>
    <row r="209" spans="4:17" ht="36" customHeight="1" x14ac:dyDescent="0.45">
      <c r="D209" s="434"/>
      <c r="E209" s="434"/>
      <c r="F209" s="434"/>
      <c r="G209" s="434"/>
      <c r="H209" s="434"/>
      <c r="I209" s="434"/>
      <c r="J209" s="434"/>
      <c r="K209" s="434"/>
      <c r="L209" s="434"/>
      <c r="M209" s="435"/>
      <c r="N209" s="435"/>
      <c r="O209" s="435"/>
      <c r="P209" s="435"/>
      <c r="Q209" s="434"/>
    </row>
    <row r="210" spans="4:17" ht="36" customHeight="1" x14ac:dyDescent="0.45">
      <c r="D210" s="434" t="s">
        <v>1121</v>
      </c>
      <c r="E210" s="434"/>
      <c r="F210" s="434"/>
      <c r="G210" s="434"/>
      <c r="H210" s="434"/>
      <c r="I210" s="434"/>
      <c r="J210" s="434"/>
      <c r="K210" s="434"/>
      <c r="L210" s="434"/>
      <c r="M210" s="435"/>
      <c r="N210" s="435"/>
      <c r="O210" s="435"/>
      <c r="P210" s="435"/>
      <c r="Q210" s="434"/>
    </row>
    <row r="211" spans="4:17" ht="36" customHeight="1" x14ac:dyDescent="0.45">
      <c r="D211" s="434" t="s">
        <v>1122</v>
      </c>
      <c r="E211" s="434"/>
      <c r="F211" s="434"/>
      <c r="G211" s="434"/>
      <c r="H211" s="434"/>
      <c r="I211" s="434"/>
      <c r="J211" s="434"/>
      <c r="K211" s="434"/>
      <c r="L211" s="434"/>
      <c r="M211" s="435"/>
      <c r="N211" s="435"/>
      <c r="O211" s="435"/>
      <c r="P211" s="435"/>
      <c r="Q211" s="434"/>
    </row>
    <row r="212" spans="4:17" ht="36" customHeight="1" x14ac:dyDescent="0.45">
      <c r="D212" s="434" t="s">
        <v>1123</v>
      </c>
      <c r="E212" s="434"/>
      <c r="F212" s="434"/>
      <c r="G212" s="434"/>
      <c r="H212" s="434"/>
      <c r="I212" s="434"/>
      <c r="J212" s="434"/>
      <c r="K212" s="434"/>
      <c r="L212" s="434"/>
      <c r="M212" s="435"/>
      <c r="N212" s="435"/>
      <c r="O212" s="435"/>
      <c r="P212" s="435"/>
      <c r="Q212" s="434"/>
    </row>
    <row r="213" spans="4:17" ht="36" customHeight="1" x14ac:dyDescent="0.45">
      <c r="D213" s="434" t="s">
        <v>1124</v>
      </c>
      <c r="E213" s="434"/>
      <c r="F213" s="434"/>
      <c r="G213" s="434"/>
      <c r="H213" s="434"/>
      <c r="I213" s="434"/>
      <c r="J213" s="434"/>
      <c r="K213" s="434"/>
      <c r="L213" s="434"/>
      <c r="M213" s="435"/>
      <c r="N213" s="435"/>
      <c r="O213" s="435"/>
      <c r="P213" s="435"/>
      <c r="Q213" s="434"/>
    </row>
    <row r="214" spans="4:17" ht="36" customHeight="1" x14ac:dyDescent="0.45">
      <c r="D214" s="434" t="s">
        <v>1126</v>
      </c>
      <c r="E214" s="434"/>
      <c r="F214" s="434"/>
      <c r="G214" s="434"/>
      <c r="H214" s="434"/>
      <c r="I214" s="434"/>
      <c r="J214" s="434"/>
      <c r="K214" s="434"/>
      <c r="L214" s="434"/>
      <c r="M214" s="435"/>
      <c r="N214" s="435"/>
      <c r="O214" s="435"/>
      <c r="P214" s="435"/>
      <c r="Q214" s="434"/>
    </row>
    <row r="215" spans="4:17" ht="36" customHeight="1" x14ac:dyDescent="0.45">
      <c r="D215" s="434" t="s">
        <v>1125</v>
      </c>
      <c r="E215" s="434"/>
      <c r="F215" s="434"/>
      <c r="G215" s="434"/>
      <c r="H215" s="434"/>
      <c r="I215" s="434"/>
      <c r="J215" s="434"/>
      <c r="K215" s="434"/>
      <c r="L215" s="434"/>
      <c r="M215" s="435"/>
      <c r="N215" s="435"/>
      <c r="O215" s="435"/>
      <c r="P215" s="435"/>
      <c r="Q215" s="434"/>
    </row>
    <row r="216" spans="4:17" ht="36" customHeight="1" x14ac:dyDescent="0.45">
      <c r="D216" s="434"/>
      <c r="E216" s="434"/>
      <c r="F216" s="434"/>
      <c r="G216" s="434"/>
      <c r="H216" s="434"/>
      <c r="I216" s="434"/>
      <c r="J216" s="434"/>
      <c r="K216" s="434"/>
      <c r="L216" s="434"/>
      <c r="M216" s="435"/>
      <c r="N216" s="435"/>
      <c r="O216" s="435"/>
      <c r="P216" s="435"/>
      <c r="Q216" s="434"/>
    </row>
    <row r="217" spans="4:17" ht="36" customHeight="1" x14ac:dyDescent="0.45">
      <c r="D217" s="434"/>
      <c r="E217" s="434"/>
      <c r="F217" s="434"/>
      <c r="G217" s="434"/>
      <c r="H217" s="434"/>
      <c r="I217" s="434"/>
      <c r="J217" s="434"/>
      <c r="K217" s="434"/>
      <c r="L217" s="434"/>
      <c r="M217" s="435"/>
      <c r="N217" s="435"/>
      <c r="O217" s="435"/>
      <c r="P217" s="435"/>
      <c r="Q217" s="434"/>
    </row>
    <row r="218" spans="4:17" ht="36" customHeight="1" x14ac:dyDescent="0.45">
      <c r="D218" s="434"/>
      <c r="E218" s="434"/>
      <c r="F218" s="434"/>
      <c r="G218" s="434"/>
      <c r="H218" s="434"/>
      <c r="I218" s="434"/>
      <c r="J218" s="434"/>
      <c r="K218" s="434"/>
      <c r="L218" s="434"/>
      <c r="M218" s="435"/>
      <c r="N218" s="435"/>
      <c r="O218" s="435"/>
      <c r="P218" s="435"/>
      <c r="Q218" s="434"/>
    </row>
    <row r="219" spans="4:17" ht="36" customHeight="1" x14ac:dyDescent="0.45">
      <c r="D219" s="434"/>
      <c r="E219" s="434"/>
      <c r="F219" s="434"/>
      <c r="G219" s="434"/>
      <c r="H219" s="434"/>
      <c r="I219" s="434"/>
      <c r="J219" s="434"/>
      <c r="K219" s="434"/>
      <c r="L219" s="434"/>
      <c r="M219" s="435"/>
      <c r="N219" s="435"/>
      <c r="O219" s="435"/>
      <c r="P219" s="435"/>
      <c r="Q219" s="434"/>
    </row>
    <row r="220" spans="4:17" ht="36" customHeight="1" x14ac:dyDescent="0.45">
      <c r="D220" s="434" t="s">
        <v>114</v>
      </c>
      <c r="E220" s="434"/>
      <c r="F220" s="434"/>
      <c r="G220" s="434"/>
      <c r="H220" s="434"/>
      <c r="I220" s="434"/>
      <c r="J220" s="434"/>
      <c r="K220" s="434"/>
      <c r="L220" s="434"/>
      <c r="M220" s="435"/>
      <c r="N220" s="435"/>
      <c r="O220" s="435"/>
      <c r="P220" s="435"/>
      <c r="Q220" s="434"/>
    </row>
    <row r="221" spans="4:17" ht="36" customHeight="1" x14ac:dyDescent="0.45">
      <c r="D221" s="478" t="s">
        <v>829</v>
      </c>
      <c r="E221" s="478"/>
      <c r="F221" s="478"/>
      <c r="G221" s="478"/>
      <c r="H221" s="478"/>
      <c r="I221" s="434"/>
      <c r="J221" s="434"/>
      <c r="K221" s="434"/>
      <c r="L221" s="434"/>
      <c r="M221" s="435"/>
      <c r="N221" s="435"/>
      <c r="O221" s="435"/>
      <c r="P221" s="435"/>
      <c r="Q221" s="434"/>
    </row>
    <row r="222" spans="4:17" ht="36" customHeight="1" x14ac:dyDescent="0.45">
      <c r="D222" s="434"/>
      <c r="E222" s="434"/>
      <c r="F222" s="434"/>
      <c r="G222" s="434"/>
      <c r="H222" s="434"/>
      <c r="I222" s="434"/>
      <c r="J222" s="434"/>
      <c r="K222" s="434"/>
      <c r="L222" s="434"/>
      <c r="M222" s="435"/>
      <c r="N222" s="435"/>
      <c r="O222" s="435"/>
      <c r="P222" s="435"/>
      <c r="Q222" s="434"/>
    </row>
    <row r="223" spans="4:17" ht="36" customHeight="1" x14ac:dyDescent="0.45">
      <c r="D223" s="434" t="s">
        <v>94</v>
      </c>
      <c r="E223" s="434"/>
      <c r="F223" s="434"/>
      <c r="G223" s="434"/>
      <c r="H223" s="434"/>
      <c r="I223" s="434"/>
      <c r="J223" s="434"/>
      <c r="K223" s="434"/>
      <c r="L223" s="434"/>
      <c r="M223" s="435"/>
      <c r="N223" s="435"/>
      <c r="O223" s="435"/>
      <c r="P223" s="435"/>
      <c r="Q223" s="434"/>
    </row>
    <row r="224" spans="4:17" ht="21" customHeight="1" x14ac:dyDescent="0.45">
      <c r="D224" s="434"/>
      <c r="E224" s="434" t="s">
        <v>115</v>
      </c>
      <c r="F224" s="434"/>
      <c r="G224" s="434"/>
      <c r="H224" s="434"/>
      <c r="I224" s="434"/>
      <c r="J224" s="434"/>
      <c r="K224" s="434"/>
      <c r="L224" s="434"/>
      <c r="M224" s="435"/>
      <c r="N224" s="435"/>
      <c r="O224" s="435"/>
      <c r="P224" s="435"/>
      <c r="Q224" s="434"/>
    </row>
    <row r="225" spans="4:17" ht="36" customHeight="1" x14ac:dyDescent="0.45">
      <c r="D225" s="350"/>
      <c r="E225" s="434"/>
      <c r="F225" s="434"/>
      <c r="G225" s="434"/>
      <c r="H225" s="434"/>
      <c r="I225" s="434"/>
      <c r="J225" s="434"/>
      <c r="K225" s="434"/>
      <c r="L225" s="434"/>
      <c r="M225" s="435"/>
      <c r="N225" s="435"/>
      <c r="O225" s="435"/>
      <c r="P225" s="435"/>
      <c r="Q225" s="434"/>
    </row>
    <row r="226" spans="4:17" ht="36" customHeight="1" x14ac:dyDescent="0.45">
      <c r="D226" s="434" t="str">
        <f>Criteria!F29</f>
        <v>Johannesburg</v>
      </c>
      <c r="E226" s="434"/>
      <c r="F226" s="434"/>
      <c r="G226" s="434"/>
      <c r="H226" s="434"/>
      <c r="I226" s="434"/>
      <c r="J226" s="434"/>
      <c r="K226" s="434"/>
      <c r="L226" s="434"/>
      <c r="M226" s="435"/>
      <c r="N226" s="435"/>
      <c r="O226" s="435"/>
      <c r="P226" s="435"/>
      <c r="Q226" s="434"/>
    </row>
    <row r="227" spans="4:17" ht="36" customHeight="1" x14ac:dyDescent="0.45">
      <c r="D227" s="434"/>
      <c r="E227" s="434"/>
      <c r="F227" s="434"/>
      <c r="G227" s="434"/>
      <c r="H227" s="434"/>
      <c r="I227" s="434"/>
      <c r="J227" s="434"/>
      <c r="K227" s="434"/>
      <c r="L227" s="434"/>
      <c r="M227" s="435"/>
      <c r="N227" s="435"/>
      <c r="O227" s="435"/>
      <c r="P227" s="435"/>
      <c r="Q227" s="434"/>
    </row>
    <row r="228" spans="4:17" ht="36" customHeight="1" x14ac:dyDescent="0.45">
      <c r="D228" s="434"/>
      <c r="E228" s="434"/>
      <c r="F228" s="434"/>
      <c r="G228" s="434"/>
      <c r="H228" s="434"/>
      <c r="I228" s="434"/>
      <c r="J228" s="434"/>
      <c r="K228" s="434"/>
      <c r="L228" s="434"/>
      <c r="M228" s="442"/>
      <c r="N228" s="442"/>
      <c r="O228" s="442"/>
      <c r="P228" s="442"/>
      <c r="Q228" s="434"/>
    </row>
    <row r="229" spans="4:17" ht="36" customHeight="1" x14ac:dyDescent="0.45">
      <c r="D229" s="434"/>
      <c r="E229" s="434"/>
      <c r="F229" s="434"/>
      <c r="G229" s="434"/>
      <c r="H229" s="434"/>
      <c r="I229" s="434"/>
      <c r="J229" s="434"/>
      <c r="K229" s="434"/>
      <c r="L229" s="434"/>
      <c r="M229" s="442"/>
      <c r="N229" s="442"/>
      <c r="O229" s="442"/>
      <c r="P229" s="442"/>
      <c r="Q229" s="434"/>
    </row>
    <row r="230" spans="4:17" ht="36" customHeight="1" x14ac:dyDescent="0.45">
      <c r="D230" s="434"/>
      <c r="E230" s="434"/>
      <c r="F230" s="434"/>
      <c r="G230" s="434"/>
      <c r="H230" s="434"/>
      <c r="I230" s="434"/>
      <c r="J230" s="434"/>
      <c r="K230" s="434"/>
      <c r="L230" s="434"/>
      <c r="M230" s="442"/>
      <c r="N230" s="442"/>
      <c r="O230" s="442"/>
      <c r="P230" s="442"/>
      <c r="Q230" s="434"/>
    </row>
    <row r="231" spans="4:17" ht="36" customHeight="1" x14ac:dyDescent="0.45">
      <c r="D231" s="434"/>
      <c r="E231" s="434"/>
      <c r="F231" s="434"/>
      <c r="G231" s="434"/>
      <c r="H231" s="434"/>
      <c r="I231" s="434"/>
      <c r="J231" s="434"/>
      <c r="K231" s="434"/>
      <c r="L231" s="434"/>
      <c r="M231" s="442"/>
      <c r="N231" s="442"/>
      <c r="O231" s="442"/>
      <c r="P231" s="442"/>
      <c r="Q231" s="434"/>
    </row>
    <row r="232" spans="4:17" ht="36" customHeight="1" x14ac:dyDescent="0.45">
      <c r="D232" s="434"/>
      <c r="E232" s="434"/>
      <c r="F232" s="434"/>
      <c r="G232" s="434"/>
      <c r="H232" s="434"/>
      <c r="I232" s="434"/>
      <c r="J232" s="434"/>
      <c r="K232" s="434"/>
      <c r="L232" s="434"/>
      <c r="M232" s="442"/>
      <c r="N232" s="442"/>
      <c r="O232" s="442"/>
      <c r="P232" s="442"/>
      <c r="Q232" s="434"/>
    </row>
    <row r="233" spans="4:17" ht="36" customHeight="1" x14ac:dyDescent="0.45">
      <c r="D233" s="434"/>
      <c r="E233" s="434"/>
      <c r="F233" s="434"/>
      <c r="G233" s="434"/>
      <c r="H233" s="434"/>
      <c r="I233" s="434"/>
      <c r="J233" s="434"/>
      <c r="K233" s="434"/>
      <c r="L233" s="434"/>
      <c r="M233" s="442"/>
      <c r="N233" s="442"/>
      <c r="O233" s="442"/>
      <c r="P233" s="442"/>
      <c r="Q233" s="434"/>
    </row>
    <row r="234" spans="4:17" ht="36" customHeight="1" x14ac:dyDescent="0.45">
      <c r="D234" s="434"/>
      <c r="E234" s="434"/>
      <c r="F234" s="434"/>
      <c r="G234" s="434"/>
      <c r="H234" s="434"/>
      <c r="I234" s="434"/>
      <c r="J234" s="434"/>
      <c r="K234" s="434"/>
      <c r="L234" s="434"/>
      <c r="M234" s="442"/>
      <c r="N234" s="442"/>
      <c r="O234" s="442"/>
      <c r="P234" s="442"/>
      <c r="Q234" s="434"/>
    </row>
    <row r="235" spans="4:17" ht="36" customHeight="1" x14ac:dyDescent="0.45">
      <c r="D235" s="434"/>
      <c r="E235" s="434"/>
      <c r="F235" s="434"/>
      <c r="G235" s="434"/>
      <c r="H235" s="434"/>
      <c r="I235" s="434"/>
      <c r="J235" s="434"/>
      <c r="K235" s="434"/>
      <c r="L235" s="434"/>
      <c r="M235" s="442"/>
      <c r="N235" s="442"/>
      <c r="O235" s="442"/>
      <c r="P235" s="442"/>
      <c r="Q235" s="434"/>
    </row>
    <row r="236" spans="4:17" ht="36" customHeight="1" x14ac:dyDescent="0.45">
      <c r="D236" s="434"/>
      <c r="E236" s="434"/>
      <c r="F236" s="434"/>
      <c r="G236" s="434"/>
      <c r="H236" s="434"/>
      <c r="I236" s="434"/>
      <c r="J236" s="434"/>
      <c r="K236" s="434"/>
      <c r="L236" s="434"/>
      <c r="M236" s="442"/>
      <c r="N236" s="442"/>
      <c r="O236" s="442"/>
      <c r="P236" s="442"/>
      <c r="Q236" s="434"/>
    </row>
    <row r="237" spans="4:17" ht="36" customHeight="1" x14ac:dyDescent="0.45">
      <c r="D237" s="434"/>
      <c r="E237" s="434"/>
      <c r="F237" s="434"/>
      <c r="G237" s="434"/>
      <c r="H237" s="434"/>
      <c r="I237" s="434"/>
      <c r="J237" s="434"/>
      <c r="K237" s="434"/>
      <c r="L237" s="434"/>
      <c r="M237" s="442"/>
      <c r="N237" s="442"/>
      <c r="O237" s="442"/>
      <c r="P237" s="442"/>
      <c r="Q237" s="434"/>
    </row>
    <row r="238" spans="4:17" ht="36" customHeight="1" x14ac:dyDescent="0.45">
      <c r="D238" s="434"/>
      <c r="E238" s="434"/>
      <c r="F238" s="434"/>
      <c r="G238" s="434"/>
      <c r="H238" s="434"/>
      <c r="I238" s="434"/>
      <c r="J238" s="434"/>
      <c r="K238" s="434"/>
      <c r="L238" s="434"/>
      <c r="M238" s="442"/>
      <c r="N238" s="442"/>
      <c r="O238" s="442"/>
      <c r="P238" s="442"/>
      <c r="Q238" s="434"/>
    </row>
    <row r="239" spans="4:17" ht="36" customHeight="1" x14ac:dyDescent="0.45">
      <c r="D239" s="434"/>
      <c r="E239" s="434"/>
      <c r="F239" s="434"/>
      <c r="G239" s="434"/>
      <c r="H239" s="434"/>
      <c r="I239" s="434"/>
      <c r="J239" s="434"/>
      <c r="K239" s="434"/>
      <c r="L239" s="434"/>
      <c r="M239" s="442"/>
      <c r="N239" s="442"/>
      <c r="O239" s="442"/>
      <c r="P239" s="442"/>
      <c r="Q239" s="434"/>
    </row>
    <row r="240" spans="4:17" ht="36" customHeight="1" x14ac:dyDescent="0.45">
      <c r="D240" s="434"/>
      <c r="E240" s="434"/>
      <c r="F240" s="434"/>
      <c r="G240" s="434"/>
      <c r="H240" s="434"/>
      <c r="I240" s="434"/>
      <c r="J240" s="434"/>
      <c r="K240" s="434"/>
      <c r="L240" s="434"/>
      <c r="M240" s="442"/>
      <c r="N240" s="442"/>
      <c r="O240" s="442"/>
      <c r="P240" s="442"/>
      <c r="Q240" s="434"/>
    </row>
    <row r="241" spans="4:18" ht="36" customHeight="1" x14ac:dyDescent="0.45">
      <c r="D241" s="434"/>
      <c r="E241" s="434"/>
      <c r="F241" s="434"/>
      <c r="G241" s="434"/>
      <c r="H241" s="434"/>
      <c r="I241" s="434"/>
      <c r="J241" s="434"/>
      <c r="K241" s="434"/>
      <c r="L241" s="434"/>
      <c r="M241" s="442"/>
      <c r="N241" s="442"/>
      <c r="O241" s="442"/>
      <c r="P241" s="442"/>
      <c r="Q241" s="434"/>
    </row>
    <row r="242" spans="4:18" ht="36" customHeight="1" x14ac:dyDescent="0.45">
      <c r="D242" s="434"/>
      <c r="E242" s="434"/>
      <c r="F242" s="434"/>
      <c r="G242" s="434"/>
      <c r="H242" s="434"/>
      <c r="I242" s="434"/>
      <c r="J242" s="434"/>
      <c r="K242" s="434"/>
      <c r="L242" s="434"/>
      <c r="M242" s="442"/>
      <c r="N242" s="442"/>
      <c r="O242" s="442"/>
      <c r="P242" s="442"/>
      <c r="Q242" s="434"/>
    </row>
    <row r="243" spans="4:18" ht="36" customHeight="1" x14ac:dyDescent="0.45">
      <c r="D243" s="434"/>
      <c r="E243" s="434"/>
      <c r="F243" s="434"/>
      <c r="G243" s="434"/>
      <c r="H243" s="434"/>
      <c r="I243" s="434"/>
      <c r="J243" s="434"/>
      <c r="K243" s="434"/>
      <c r="L243" s="434"/>
      <c r="M243" s="442"/>
      <c r="N243" s="442"/>
      <c r="O243" s="442"/>
      <c r="P243" s="442"/>
      <c r="Q243" s="434"/>
    </row>
    <row r="244" spans="4:18" ht="36" customHeight="1" x14ac:dyDescent="0.45">
      <c r="D244" s="434"/>
      <c r="E244" s="434"/>
      <c r="F244" s="434"/>
      <c r="G244" s="434"/>
      <c r="H244" s="434"/>
      <c r="I244" s="434"/>
      <c r="J244" s="434"/>
      <c r="K244" s="434"/>
      <c r="L244" s="434"/>
      <c r="M244" s="442"/>
      <c r="N244" s="442"/>
      <c r="O244" s="442"/>
      <c r="P244" s="442"/>
      <c r="Q244" s="434"/>
    </row>
    <row r="245" spans="4:18" ht="36" customHeight="1" x14ac:dyDescent="0.45">
      <c r="D245" s="434"/>
      <c r="E245" s="434"/>
      <c r="F245" s="434"/>
      <c r="G245" s="434"/>
      <c r="H245" s="434"/>
      <c r="I245" s="434"/>
      <c r="J245" s="434"/>
      <c r="K245" s="434"/>
      <c r="L245" s="434"/>
      <c r="M245" s="442"/>
      <c r="N245" s="442"/>
      <c r="O245" s="442"/>
      <c r="P245" s="442"/>
      <c r="Q245" s="434"/>
    </row>
    <row r="246" spans="4:18" ht="36" customHeight="1" x14ac:dyDescent="0.45">
      <c r="D246" s="434"/>
      <c r="E246" s="434"/>
      <c r="F246" s="434"/>
      <c r="G246" s="434"/>
      <c r="H246" s="434"/>
      <c r="I246" s="434"/>
      <c r="J246" s="434"/>
      <c r="K246" s="434"/>
      <c r="L246" s="434"/>
      <c r="M246" s="442"/>
      <c r="N246" s="442"/>
      <c r="O246" s="442"/>
      <c r="P246" s="442"/>
      <c r="Q246" s="434"/>
    </row>
    <row r="247" spans="4:18" ht="36" customHeight="1" x14ac:dyDescent="0.45">
      <c r="D247" s="434"/>
      <c r="E247" s="434"/>
      <c r="F247" s="434"/>
      <c r="G247" s="434"/>
      <c r="H247" s="434"/>
      <c r="I247" s="434"/>
      <c r="J247" s="434"/>
      <c r="K247" s="434"/>
      <c r="L247" s="434"/>
      <c r="M247" s="442"/>
      <c r="N247" s="442"/>
      <c r="O247" s="442"/>
      <c r="P247" s="442"/>
      <c r="Q247" s="434"/>
    </row>
    <row r="248" spans="4:18" ht="36" customHeight="1" x14ac:dyDescent="0.45">
      <c r="D248" s="434"/>
      <c r="E248" s="434"/>
      <c r="F248" s="434"/>
      <c r="G248" s="434"/>
      <c r="H248" s="434"/>
      <c r="I248" s="434"/>
      <c r="J248" s="434"/>
      <c r="K248" s="434"/>
      <c r="L248" s="434"/>
      <c r="M248" s="442"/>
      <c r="N248" s="442"/>
      <c r="O248" s="442"/>
      <c r="P248" s="442"/>
      <c r="Q248" s="434"/>
    </row>
    <row r="249" spans="4:18" ht="36" customHeight="1" x14ac:dyDescent="0.45">
      <c r="D249" s="434"/>
      <c r="E249" s="434"/>
      <c r="F249" s="434"/>
      <c r="G249" s="434"/>
      <c r="H249" s="434"/>
      <c r="I249" s="434"/>
      <c r="J249" s="434"/>
      <c r="K249" s="434"/>
      <c r="L249" s="434"/>
      <c r="M249" s="442"/>
      <c r="N249" s="442"/>
      <c r="O249" s="442"/>
      <c r="P249" s="442"/>
      <c r="Q249" s="434"/>
    </row>
    <row r="250" spans="4:18" ht="36" customHeight="1" x14ac:dyDescent="0.45">
      <c r="D250" s="434"/>
      <c r="E250" s="434"/>
      <c r="F250" s="434"/>
      <c r="G250" s="434"/>
      <c r="H250" s="434"/>
      <c r="I250" s="434"/>
      <c r="J250" s="434"/>
      <c r="K250" s="434"/>
      <c r="L250" s="434"/>
      <c r="M250" s="442"/>
      <c r="N250" s="442"/>
      <c r="O250" s="442"/>
      <c r="P250" s="442"/>
      <c r="Q250" s="434"/>
    </row>
    <row r="251" spans="4:18" ht="36" customHeight="1" x14ac:dyDescent="0.45">
      <c r="D251" s="434"/>
      <c r="E251" s="434"/>
      <c r="F251" s="434"/>
      <c r="G251" s="434"/>
      <c r="H251" s="434"/>
      <c r="I251" s="434"/>
      <c r="J251" s="434"/>
      <c r="K251" s="434"/>
      <c r="L251" s="434"/>
      <c r="M251" s="442"/>
      <c r="N251" s="442"/>
      <c r="O251" s="442"/>
      <c r="P251" s="442"/>
      <c r="Q251" s="434"/>
    </row>
    <row r="252" spans="4:18" ht="36" customHeight="1" x14ac:dyDescent="0.45">
      <c r="D252" s="434"/>
      <c r="E252" s="434"/>
      <c r="F252" s="434"/>
      <c r="G252" s="434"/>
      <c r="H252" s="434"/>
      <c r="I252" s="434"/>
      <c r="J252" s="434"/>
      <c r="K252" s="434"/>
      <c r="L252" s="434"/>
      <c r="M252" s="434"/>
      <c r="N252" s="434"/>
      <c r="O252" s="434"/>
      <c r="P252" s="434"/>
      <c r="Q252" s="434"/>
    </row>
    <row r="253" spans="4:18" ht="36" customHeight="1" x14ac:dyDescent="0.45">
      <c r="D253" s="434"/>
      <c r="E253" s="434"/>
      <c r="F253" s="434"/>
      <c r="G253" s="434"/>
      <c r="H253" s="434"/>
      <c r="I253" s="434"/>
      <c r="J253" s="434"/>
      <c r="K253" s="434"/>
      <c r="L253" s="434"/>
      <c r="M253" s="434"/>
      <c r="N253" s="434"/>
      <c r="O253" s="434"/>
      <c r="P253" s="434"/>
      <c r="Q253" s="434"/>
    </row>
    <row r="254" spans="4:18" ht="36" customHeight="1" x14ac:dyDescent="0.45">
      <c r="M254" s="347"/>
      <c r="O254" s="295" t="s">
        <v>89</v>
      </c>
      <c r="P254" s="295"/>
      <c r="Q254" s="292">
        <f>MAX($Q$105:Q253)+1</f>
        <v>4</v>
      </c>
    </row>
    <row r="255" spans="4:18" ht="36" customHeight="1" x14ac:dyDescent="0.5">
      <c r="D255" s="456" t="str">
        <f>Criteria!E9</f>
        <v>HOLDING COMPANY 268 (PROPRIETARY) LIMITED</v>
      </c>
      <c r="E255" s="450"/>
      <c r="F255" s="450"/>
      <c r="G255" s="450"/>
      <c r="H255" s="450"/>
      <c r="I255" s="450"/>
      <c r="J255" s="450"/>
      <c r="M255" s="347"/>
      <c r="O255" s="347"/>
    </row>
    <row r="256" spans="4:18" ht="36" customHeight="1" x14ac:dyDescent="0.5">
      <c r="D256" s="456" t="str">
        <f>Criteria!E10</f>
        <v>CONSOLIDATED FINANCIAL STATEMENTS</v>
      </c>
      <c r="E256" s="450"/>
      <c r="F256" s="450"/>
      <c r="G256" s="450"/>
      <c r="H256" s="450"/>
      <c r="I256" s="450"/>
      <c r="J256" s="450"/>
      <c r="M256" s="347"/>
      <c r="O256" s="347"/>
      <c r="R256" s="348" t="str">
        <f>IF(D256=0,"DELETE"," ")</f>
        <v xml:space="preserve"> </v>
      </c>
    </row>
    <row r="257" spans="2:18" ht="36" customHeight="1" x14ac:dyDescent="0.5">
      <c r="D257" s="450"/>
      <c r="E257" s="450"/>
      <c r="F257" s="450"/>
      <c r="G257" s="450"/>
      <c r="H257" s="450"/>
      <c r="I257" s="450"/>
      <c r="J257" s="450"/>
      <c r="M257" s="347"/>
      <c r="O257" s="347"/>
    </row>
    <row r="258" spans="2:18" ht="36" customHeight="1" x14ac:dyDescent="0.5">
      <c r="D258" s="456" t="str">
        <f>IF(SUM(Criteria!I38:I42)&gt;1,"DIRECTORS' REPORT FOR THE YEAR ENDED","DIRECTOR'S REPORT FOR THE YEAR ENDED")</f>
        <v>DIRECTORS' REPORT FOR THE YEAR ENDED</v>
      </c>
      <c r="E258" s="450"/>
      <c r="F258" s="450"/>
      <c r="G258" s="450"/>
      <c r="H258" s="450"/>
      <c r="I258" s="450"/>
      <c r="J258" s="450"/>
      <c r="M258" s="358"/>
      <c r="N258" s="358"/>
      <c r="O258" s="347"/>
    </row>
    <row r="259" spans="2:18" ht="36" customHeight="1" x14ac:dyDescent="0.5">
      <c r="D259" s="456" t="str">
        <f>Criteria!E20</f>
        <v>28 FEBRUARY 2025</v>
      </c>
      <c r="E259" s="450"/>
      <c r="F259" s="450"/>
      <c r="G259" s="450"/>
      <c r="H259" s="450"/>
      <c r="I259" s="450"/>
      <c r="J259" s="450"/>
      <c r="M259" s="358"/>
      <c r="N259" s="358"/>
      <c r="O259" s="347"/>
    </row>
    <row r="260" spans="2:18" ht="36" customHeight="1" x14ac:dyDescent="0.5">
      <c r="D260" s="457"/>
      <c r="E260" s="457"/>
      <c r="F260" s="457"/>
      <c r="G260" s="457"/>
      <c r="H260" s="457"/>
      <c r="I260" s="457"/>
      <c r="J260" s="457"/>
      <c r="K260" s="359"/>
      <c r="L260" s="359"/>
      <c r="M260" s="360"/>
      <c r="N260" s="360"/>
      <c r="O260" s="361"/>
      <c r="P260" s="361"/>
      <c r="Q260" s="359"/>
    </row>
    <row r="261" spans="2:18" ht="36" customHeight="1" x14ac:dyDescent="0.5">
      <c r="D261" s="450"/>
      <c r="E261" s="450"/>
      <c r="F261" s="450"/>
      <c r="G261" s="450"/>
      <c r="H261" s="450"/>
      <c r="I261" s="450"/>
      <c r="J261" s="450"/>
      <c r="M261" s="347"/>
      <c r="O261" s="347"/>
    </row>
    <row r="262" spans="2:18" ht="36" customHeight="1" x14ac:dyDescent="0.5">
      <c r="B262" s="350"/>
      <c r="C262" s="292">
        <v>1</v>
      </c>
      <c r="D262" s="450" t="str">
        <f>IF(MAX(Criteria!I38:I42)&gt;1,"The directors have pleasure in presenting the annual Consolidated Financial","The director has pleasure in presenting the annual Consolidated Financial Statements")</f>
        <v>The directors have pleasure in presenting the annual Consolidated Financial</v>
      </c>
      <c r="E262" s="450"/>
      <c r="F262" s="450"/>
      <c r="G262" s="450"/>
      <c r="H262" s="450"/>
      <c r="I262" s="450"/>
      <c r="J262" s="450"/>
      <c r="M262" s="347"/>
      <c r="O262" s="347"/>
    </row>
    <row r="263" spans="2:18" ht="36" customHeight="1" x14ac:dyDescent="0.5">
      <c r="B263" s="350"/>
      <c r="C263" s="292"/>
      <c r="D263" s="450" t="str">
        <f>IF(MAX(Criteria!I38:I42)&gt;1,"Statements and their annual report which forms part of the Consolidated Financial","and the Director's report which forms part of the Consolidated Financial")</f>
        <v>Statements and their annual report which forms part of the Consolidated Financial</v>
      </c>
      <c r="E263" s="450"/>
      <c r="F263" s="450"/>
      <c r="G263" s="450"/>
      <c r="H263" s="450"/>
      <c r="I263" s="450"/>
      <c r="J263" s="450"/>
      <c r="M263" s="347"/>
      <c r="O263" s="347"/>
    </row>
    <row r="264" spans="2:18" ht="36" customHeight="1" x14ac:dyDescent="0.5">
      <c r="B264" s="350"/>
      <c r="C264" s="292"/>
      <c r="D264" s="450" t="str">
        <f>CONCATENATE("Statements of the group for the year ended ",Criteria!G24,".")</f>
        <v>Statements of the group for the year ended 28 February 2025.</v>
      </c>
      <c r="E264" s="450"/>
      <c r="F264" s="450"/>
      <c r="G264" s="450"/>
      <c r="H264" s="450"/>
      <c r="I264" s="450"/>
      <c r="J264" s="450"/>
      <c r="M264" s="347"/>
      <c r="O264" s="347"/>
    </row>
    <row r="265" spans="2:18" ht="36" customHeight="1" x14ac:dyDescent="0.5">
      <c r="B265" s="350"/>
      <c r="C265" s="292"/>
      <c r="D265" s="450"/>
      <c r="E265" s="450"/>
      <c r="F265" s="450"/>
      <c r="G265" s="450"/>
      <c r="H265" s="450"/>
      <c r="I265" s="450"/>
      <c r="J265" s="450"/>
      <c r="M265" s="347"/>
      <c r="O265" s="347"/>
    </row>
    <row r="266" spans="2:18" ht="36" customHeight="1" x14ac:dyDescent="0.5">
      <c r="B266" s="350"/>
      <c r="C266" s="292">
        <f>MAX(C$262:C265)+1</f>
        <v>2</v>
      </c>
      <c r="D266" s="456" t="s">
        <v>1048</v>
      </c>
      <c r="E266" s="450"/>
      <c r="F266" s="450"/>
      <c r="G266" s="450"/>
      <c r="H266" s="450"/>
      <c r="I266" s="450"/>
      <c r="J266" s="450"/>
      <c r="M266" s="347"/>
      <c r="O266" s="347"/>
    </row>
    <row r="267" spans="2:18" ht="36" customHeight="1" x14ac:dyDescent="0.5">
      <c r="B267" s="350"/>
      <c r="C267" s="292"/>
      <c r="D267" s="450" t="str">
        <f>Criteria!C81</f>
        <v>The group's main objective is the investment in financial instruments.</v>
      </c>
      <c r="E267" s="450"/>
      <c r="F267" s="450"/>
      <c r="G267" s="450"/>
      <c r="H267" s="450"/>
      <c r="I267" s="450"/>
      <c r="J267" s="450"/>
      <c r="M267" s="347"/>
      <c r="O267" s="347"/>
    </row>
    <row r="268" spans="2:18" ht="36" customHeight="1" x14ac:dyDescent="0.5">
      <c r="B268" s="350"/>
      <c r="C268" s="292"/>
      <c r="D268" s="450" t="str">
        <f>CONCATENATE(Criteria!E11," is registered, incorporated and operates")</f>
        <v>Holding Company 268 (Pty) Ltd is registered, incorporated and operates</v>
      </c>
      <c r="E268" s="450"/>
      <c r="F268" s="450"/>
      <c r="G268" s="450"/>
      <c r="H268" s="450"/>
      <c r="I268" s="450"/>
      <c r="J268" s="450"/>
      <c r="M268" s="347"/>
      <c r="O268" s="347"/>
    </row>
    <row r="269" spans="2:18" ht="36" customHeight="1" x14ac:dyDescent="0.5">
      <c r="B269" s="350"/>
      <c r="C269" s="292"/>
      <c r="D269" s="450" t="s">
        <v>1127</v>
      </c>
      <c r="E269" s="450"/>
      <c r="F269" s="450"/>
      <c r="G269" s="450"/>
      <c r="H269" s="450"/>
      <c r="I269" s="450"/>
      <c r="J269" s="450"/>
      <c r="M269" s="347"/>
      <c r="O269" s="347"/>
    </row>
    <row r="270" spans="2:18" ht="36" customHeight="1" x14ac:dyDescent="0.5">
      <c r="B270" s="350"/>
      <c r="C270" s="292"/>
      <c r="D270" s="450" t="str">
        <f>CONCATENATE(Criteria!E18,".")</f>
        <v>2000/123456/07.</v>
      </c>
      <c r="E270" s="450"/>
      <c r="F270" s="450"/>
      <c r="G270" s="450"/>
      <c r="H270" s="450"/>
      <c r="I270" s="450"/>
      <c r="J270" s="450"/>
      <c r="M270" s="347"/>
      <c r="O270" s="347"/>
    </row>
    <row r="271" spans="2:18" ht="36" customHeight="1" x14ac:dyDescent="0.5">
      <c r="B271" s="350"/>
      <c r="C271" s="292"/>
      <c r="D271" s="450" t="str">
        <f>IF(Criteria!F87="No","There were no changes in the nature of the group's business during the period under","The group sold all it's assets in the current financial year and will be deregistered the")</f>
        <v>There were no changes in the nature of the group's business during the period under</v>
      </c>
      <c r="E271" s="450"/>
      <c r="F271" s="450"/>
      <c r="G271" s="450"/>
      <c r="H271" s="450"/>
      <c r="I271" s="450"/>
      <c r="J271" s="450"/>
      <c r="M271" s="347"/>
      <c r="O271" s="347"/>
    </row>
    <row r="272" spans="2:18" ht="36" customHeight="1" x14ac:dyDescent="0.5">
      <c r="B272" s="350"/>
      <c r="C272" s="292"/>
      <c r="D272" s="450" t="str">
        <f>IF(Criteria!F87="No","review.","following year.")</f>
        <v>review.</v>
      </c>
      <c r="E272" s="450"/>
      <c r="F272" s="450"/>
      <c r="G272" s="450"/>
      <c r="H272" s="450"/>
      <c r="I272" s="450"/>
      <c r="J272" s="450"/>
      <c r="M272" s="347"/>
      <c r="O272" s="347"/>
      <c r="R272" s="348" t="str">
        <f>IF(D272=" ","DELETE"," ")</f>
        <v xml:space="preserve"> </v>
      </c>
    </row>
    <row r="273" spans="2:18" ht="36" customHeight="1" x14ac:dyDescent="0.5">
      <c r="B273" s="350"/>
      <c r="C273" s="292"/>
      <c r="D273" s="450"/>
      <c r="E273" s="450"/>
      <c r="F273" s="450"/>
      <c r="G273" s="450"/>
      <c r="H273" s="450"/>
      <c r="I273" s="450"/>
      <c r="J273" s="450"/>
      <c r="M273" s="347"/>
      <c r="O273" s="347"/>
    </row>
    <row r="274" spans="2:18" ht="36" customHeight="1" x14ac:dyDescent="0.5">
      <c r="B274" s="350"/>
      <c r="C274" s="292">
        <f>MAX(C$262:C273)+1</f>
        <v>3</v>
      </c>
      <c r="D274" s="456" t="s">
        <v>1049</v>
      </c>
      <c r="E274" s="450"/>
      <c r="F274" s="450"/>
      <c r="G274" s="450"/>
      <c r="H274" s="450"/>
      <c r="I274" s="450"/>
      <c r="J274" s="450"/>
      <c r="M274" s="347"/>
      <c r="O274" s="347"/>
    </row>
    <row r="275" spans="2:18" ht="36" customHeight="1" x14ac:dyDescent="0.5">
      <c r="B275" s="350"/>
      <c r="C275" s="292"/>
      <c r="D275" s="450" t="str">
        <f>IF(Criteria!F85="No"," ","The accounting policies have been applied consistently compared to the prior year.")</f>
        <v>The accounting policies have been applied consistently compared to the prior year.</v>
      </c>
      <c r="E275" s="450"/>
      <c r="F275" s="450"/>
      <c r="G275" s="450"/>
      <c r="H275" s="450"/>
      <c r="I275" s="450"/>
      <c r="J275" s="450"/>
      <c r="M275" s="347"/>
      <c r="O275" s="347"/>
      <c r="R275" s="348" t="str">
        <f>IF(D275=" ","DELETE"," ")</f>
        <v xml:space="preserve"> </v>
      </c>
    </row>
    <row r="276" spans="2:18" ht="36" customHeight="1" x14ac:dyDescent="0.5">
      <c r="B276" s="350"/>
      <c r="C276" s="292"/>
      <c r="D276" s="450" t="str">
        <f>CONCATENATE("The ",IF(MAX(Criteria!I38:I42)&gt;1,"directors present","director presents")," the following extracts from the Consolidated Financial")</f>
        <v>The directors present the following extracts from the Consolidated Financial</v>
      </c>
      <c r="E276" s="450"/>
      <c r="F276" s="450"/>
      <c r="G276" s="450"/>
      <c r="H276" s="450"/>
      <c r="I276" s="450"/>
      <c r="J276" s="450"/>
      <c r="M276" s="347"/>
      <c r="O276" s="347"/>
    </row>
    <row r="277" spans="2:18" ht="36" customHeight="1" x14ac:dyDescent="0.5">
      <c r="B277" s="350"/>
      <c r="C277" s="292"/>
      <c r="D277" s="450" t="s">
        <v>1128</v>
      </c>
      <c r="E277" s="450"/>
      <c r="F277" s="450"/>
      <c r="G277" s="450"/>
      <c r="H277" s="450"/>
      <c r="I277" s="450"/>
      <c r="J277" s="450"/>
      <c r="M277" s="347"/>
      <c r="O277" s="347"/>
    </row>
    <row r="278" spans="2:18" ht="36" customHeight="1" x14ac:dyDescent="0.5">
      <c r="B278" s="350"/>
      <c r="C278" s="292"/>
      <c r="D278" s="450"/>
      <c r="E278" s="450"/>
      <c r="F278" s="450"/>
      <c r="G278" s="450"/>
      <c r="H278" s="450"/>
      <c r="I278" s="450"/>
      <c r="J278" s="450"/>
      <c r="K278" s="350"/>
      <c r="M278" s="426" t="s">
        <v>763</v>
      </c>
      <c r="O278" s="347"/>
    </row>
    <row r="279" spans="2:18" ht="36" customHeight="1" x14ac:dyDescent="0.5">
      <c r="B279" s="350"/>
      <c r="C279" s="292"/>
      <c r="D279" s="450"/>
      <c r="E279" s="450"/>
      <c r="F279" s="450"/>
      <c r="G279" s="450"/>
      <c r="H279" s="450"/>
      <c r="I279" s="450"/>
      <c r="J279" s="450"/>
      <c r="K279" s="350"/>
      <c r="M279" s="426" t="s">
        <v>761</v>
      </c>
      <c r="O279" s="347"/>
    </row>
    <row r="280" spans="2:18" ht="36" customHeight="1" x14ac:dyDescent="0.5">
      <c r="B280" s="350"/>
      <c r="C280" s="292"/>
      <c r="D280" s="450" t="s">
        <v>963</v>
      </c>
      <c r="E280" s="450"/>
      <c r="F280" s="450"/>
      <c r="G280" s="450"/>
      <c r="H280" s="450"/>
      <c r="I280" s="450"/>
      <c r="J280" s="450"/>
      <c r="K280" s="350"/>
      <c r="M280" s="380">
        <f>O280-SUM(TrialBalance!N230:N282)</f>
        <v>0</v>
      </c>
      <c r="N280" s="351"/>
      <c r="O280" s="351">
        <f>SUM(TrialBalance!L230:L282)</f>
        <v>0</v>
      </c>
    </row>
    <row r="281" spans="2:18" ht="9" customHeight="1" thickBot="1" x14ac:dyDescent="0.55000000000000004">
      <c r="B281" s="350"/>
      <c r="C281" s="292"/>
      <c r="D281" s="450"/>
      <c r="E281" s="450"/>
      <c r="F281" s="450"/>
      <c r="G281" s="450"/>
      <c r="H281" s="450"/>
      <c r="I281" s="450"/>
      <c r="J281" s="450"/>
      <c r="K281" s="350"/>
      <c r="M281" s="373"/>
      <c r="N281" s="351"/>
      <c r="O281" s="373"/>
    </row>
    <row r="282" spans="2:18" ht="9" customHeight="1" thickTop="1" x14ac:dyDescent="0.5">
      <c r="B282" s="350"/>
      <c r="C282" s="292"/>
      <c r="D282" s="450"/>
      <c r="E282" s="450"/>
      <c r="F282" s="450"/>
      <c r="G282" s="450"/>
      <c r="H282" s="450"/>
      <c r="I282" s="450"/>
      <c r="J282" s="450"/>
      <c r="K282" s="350"/>
      <c r="M282" s="380"/>
      <c r="N282" s="351"/>
      <c r="O282" s="351"/>
    </row>
    <row r="283" spans="2:18" ht="36.75" customHeight="1" x14ac:dyDescent="0.5">
      <c r="B283" s="350"/>
      <c r="C283" s="292"/>
      <c r="D283" s="450" t="s">
        <v>964</v>
      </c>
      <c r="E283" s="450"/>
      <c r="F283" s="450"/>
      <c r="G283" s="450"/>
      <c r="H283" s="450"/>
      <c r="I283" s="450"/>
      <c r="J283" s="450"/>
      <c r="K283" s="350"/>
      <c r="M283" s="351">
        <f>O283-SUM(TrialBalance!N230:N234)-SUM(TrialBalance!N241:N245)-SUM(TrialBalance!N252:N254)-SUM(TrialBalance!N260:N262)-SUM(TrialBalance!N268:N270)-SUM(TrialBalance!N276:N278)</f>
        <v>0</v>
      </c>
      <c r="N283" s="351"/>
      <c r="O283" s="351">
        <f>SUM(TrialBalance!L230:L234)+SUM(TrialBalance!L241:L245)+SUM(TrialBalance!L252:L254)+SUM(TrialBalance!L260:L262)+SUM(TrialBalance!L268:L270)+SUM(TrialBalance!L276:L278)</f>
        <v>0</v>
      </c>
    </row>
    <row r="284" spans="2:18" ht="9" customHeight="1" thickBot="1" x14ac:dyDescent="0.55000000000000004">
      <c r="B284" s="350"/>
      <c r="C284" s="292"/>
      <c r="D284" s="450"/>
      <c r="E284" s="450"/>
      <c r="F284" s="450"/>
      <c r="G284" s="450"/>
      <c r="H284" s="450"/>
      <c r="I284" s="450"/>
      <c r="J284" s="450"/>
      <c r="M284" s="373"/>
      <c r="N284" s="351"/>
      <c r="O284" s="373"/>
    </row>
    <row r="285" spans="2:18" ht="9" customHeight="1" thickTop="1" x14ac:dyDescent="0.5">
      <c r="B285" s="350"/>
      <c r="C285" s="292"/>
      <c r="D285" s="450"/>
      <c r="E285" s="450"/>
      <c r="F285" s="450"/>
      <c r="G285" s="450"/>
      <c r="H285" s="450"/>
      <c r="I285" s="450"/>
      <c r="J285" s="450"/>
      <c r="M285" s="351"/>
      <c r="N285" s="351"/>
      <c r="O285" s="351"/>
    </row>
    <row r="286" spans="2:18" ht="36.75" customHeight="1" x14ac:dyDescent="0.5">
      <c r="B286" s="350"/>
      <c r="C286" s="292"/>
      <c r="D286" s="450" t="s">
        <v>670</v>
      </c>
      <c r="E286" s="450"/>
      <c r="F286" s="450"/>
      <c r="G286" s="450"/>
      <c r="H286" s="450"/>
      <c r="I286" s="450"/>
      <c r="J286" s="450"/>
      <c r="M286" s="351">
        <f>O286-O499</f>
        <v>0</v>
      </c>
      <c r="N286" s="351"/>
      <c r="O286" s="351">
        <f>M499</f>
        <v>0</v>
      </c>
    </row>
    <row r="287" spans="2:18" ht="9" customHeight="1" thickBot="1" x14ac:dyDescent="0.55000000000000004">
      <c r="B287" s="350"/>
      <c r="C287" s="292"/>
      <c r="D287" s="450"/>
      <c r="E287" s="450"/>
      <c r="F287" s="450"/>
      <c r="G287" s="450"/>
      <c r="H287" s="450"/>
      <c r="I287" s="450"/>
      <c r="J287" s="450"/>
      <c r="M287" s="373"/>
      <c r="N287" s="351"/>
      <c r="O287" s="373"/>
    </row>
    <row r="288" spans="2:18" ht="9" customHeight="1" thickTop="1" x14ac:dyDescent="0.5">
      <c r="B288" s="350"/>
      <c r="C288" s="292"/>
      <c r="D288" s="450"/>
      <c r="E288" s="450"/>
      <c r="F288" s="450"/>
      <c r="G288" s="450"/>
      <c r="H288" s="450"/>
      <c r="I288" s="450"/>
      <c r="J288" s="450"/>
      <c r="M288" s="351"/>
      <c r="N288" s="351"/>
      <c r="O288" s="371"/>
    </row>
    <row r="289" spans="2:22" ht="36.75" customHeight="1" x14ac:dyDescent="0.5">
      <c r="B289" s="350"/>
      <c r="C289" s="292"/>
      <c r="D289" s="450"/>
      <c r="E289" s="450"/>
      <c r="F289" s="450"/>
      <c r="G289" s="450"/>
      <c r="H289" s="450"/>
      <c r="I289" s="450"/>
      <c r="J289" s="450"/>
      <c r="M289" s="351"/>
      <c r="N289" s="351"/>
      <c r="O289" s="351"/>
    </row>
    <row r="290" spans="2:22" ht="36.75" customHeight="1" x14ac:dyDescent="0.5">
      <c r="B290" s="350"/>
      <c r="C290" s="292"/>
      <c r="D290" s="450" t="s">
        <v>835</v>
      </c>
      <c r="E290" s="450"/>
      <c r="F290" s="450"/>
      <c r="G290" s="450"/>
      <c r="H290" s="450"/>
      <c r="I290" s="450"/>
      <c r="J290" s="450"/>
      <c r="M290" s="351">
        <f>O290-SUM(O421:O422)</f>
        <v>0</v>
      </c>
      <c r="N290" s="351"/>
      <c r="O290" s="351">
        <f>SUM(M421:M422)</f>
        <v>0</v>
      </c>
    </row>
    <row r="291" spans="2:22" ht="9" customHeight="1" thickBot="1" x14ac:dyDescent="0.55000000000000004">
      <c r="B291" s="350"/>
      <c r="C291" s="292"/>
      <c r="D291" s="450"/>
      <c r="E291" s="450"/>
      <c r="F291" s="450"/>
      <c r="G291" s="450"/>
      <c r="H291" s="450"/>
      <c r="I291" s="450"/>
      <c r="J291" s="450"/>
      <c r="M291" s="373"/>
      <c r="N291" s="351"/>
      <c r="O291" s="373"/>
    </row>
    <row r="292" spans="2:22" ht="36.75" customHeight="1" thickTop="1" x14ac:dyDescent="0.5">
      <c r="B292" s="350"/>
      <c r="C292" s="292"/>
      <c r="D292" s="450"/>
      <c r="E292" s="450"/>
      <c r="F292" s="450"/>
      <c r="G292" s="450"/>
      <c r="H292" s="450"/>
      <c r="I292" s="450"/>
      <c r="J292" s="450"/>
      <c r="M292" s="351"/>
      <c r="N292" s="351"/>
      <c r="O292" s="351"/>
    </row>
    <row r="293" spans="2:22" ht="36.75" customHeight="1" x14ac:dyDescent="0.5">
      <c r="B293" s="350"/>
      <c r="C293" s="292"/>
      <c r="D293" s="450" t="str">
        <f>IF(O293&lt;0,"Net loss before taxation","Net profit before taxation")</f>
        <v>Net profit before taxation</v>
      </c>
      <c r="E293" s="450"/>
      <c r="F293" s="450"/>
      <c r="G293" s="450"/>
      <c r="H293" s="450"/>
      <c r="I293" s="450"/>
      <c r="J293" s="450"/>
      <c r="M293" s="351">
        <f>O293-O444</f>
        <v>0</v>
      </c>
      <c r="N293" s="351"/>
      <c r="O293" s="351">
        <f>M444</f>
        <v>0</v>
      </c>
    </row>
    <row r="294" spans="2:22" ht="36.75" customHeight="1" x14ac:dyDescent="0.5">
      <c r="B294" s="350"/>
      <c r="C294" s="292"/>
      <c r="D294" s="450" t="s">
        <v>762</v>
      </c>
      <c r="E294" s="450"/>
      <c r="F294" s="450"/>
      <c r="G294" s="450"/>
      <c r="H294" s="450"/>
      <c r="I294" s="450"/>
      <c r="J294" s="450"/>
      <c r="M294" s="351"/>
      <c r="N294" s="351"/>
      <c r="O294" s="351">
        <f>M446</f>
        <v>0</v>
      </c>
    </row>
    <row r="295" spans="2:22" ht="9" customHeight="1" x14ac:dyDescent="0.5">
      <c r="B295" s="350"/>
      <c r="C295" s="292"/>
      <c r="D295" s="450"/>
      <c r="E295" s="450"/>
      <c r="F295" s="450"/>
      <c r="G295" s="450"/>
      <c r="H295" s="450"/>
      <c r="I295" s="450"/>
      <c r="J295" s="450"/>
      <c r="M295" s="351"/>
      <c r="N295" s="351"/>
      <c r="O295" s="372"/>
    </row>
    <row r="296" spans="2:22" ht="9" customHeight="1" x14ac:dyDescent="0.5">
      <c r="B296" s="350"/>
      <c r="C296" s="292"/>
      <c r="D296" s="450"/>
      <c r="E296" s="450"/>
      <c r="F296" s="450"/>
      <c r="G296" s="450"/>
      <c r="H296" s="450"/>
      <c r="I296" s="450"/>
      <c r="J296" s="450"/>
      <c r="M296" s="351"/>
      <c r="N296" s="351"/>
      <c r="O296" s="351"/>
    </row>
    <row r="297" spans="2:22" ht="36.75" customHeight="1" x14ac:dyDescent="0.5">
      <c r="B297" s="350"/>
      <c r="C297" s="292"/>
      <c r="D297" s="450" t="str">
        <f>IF(O297&lt;0,"Net loss after taxation","Net profit after taxation")</f>
        <v>Net profit after taxation</v>
      </c>
      <c r="E297" s="450"/>
      <c r="F297" s="450"/>
      <c r="G297" s="450"/>
      <c r="H297" s="450"/>
      <c r="I297" s="450"/>
      <c r="J297" s="450"/>
      <c r="M297" s="351"/>
      <c r="N297" s="351"/>
      <c r="O297" s="351">
        <f>SUM(O293:O296)</f>
        <v>0</v>
      </c>
      <c r="V297" s="331" t="b">
        <f>O297=M449</f>
        <v>1</v>
      </c>
    </row>
    <row r="298" spans="2:22" ht="36.75" customHeight="1" x14ac:dyDescent="0.5">
      <c r="B298" s="350"/>
      <c r="C298" s="292"/>
      <c r="D298" s="450" t="s">
        <v>646</v>
      </c>
      <c r="E298" s="450"/>
      <c r="F298" s="450"/>
      <c r="G298" s="450"/>
      <c r="H298" s="450"/>
      <c r="I298" s="450"/>
      <c r="J298" s="450"/>
      <c r="M298" s="351"/>
      <c r="N298" s="351"/>
      <c r="O298" s="351">
        <f>-SUM(TrialBalance!L164:L165)</f>
        <v>0</v>
      </c>
    </row>
    <row r="299" spans="2:22" ht="9" customHeight="1" x14ac:dyDescent="0.5">
      <c r="B299" s="350"/>
      <c r="C299" s="292"/>
      <c r="D299" s="450"/>
      <c r="E299" s="450"/>
      <c r="F299" s="450"/>
      <c r="G299" s="450"/>
      <c r="H299" s="450"/>
      <c r="I299" s="450"/>
      <c r="J299" s="450"/>
      <c r="M299" s="351"/>
      <c r="N299" s="351"/>
      <c r="O299" s="372"/>
    </row>
    <row r="300" spans="2:22" ht="9" customHeight="1" x14ac:dyDescent="0.5">
      <c r="B300" s="350"/>
      <c r="C300" s="292"/>
      <c r="D300" s="450"/>
      <c r="E300" s="450"/>
      <c r="F300" s="450"/>
      <c r="G300" s="450"/>
      <c r="H300" s="450"/>
      <c r="I300" s="450"/>
      <c r="J300" s="450"/>
      <c r="M300" s="351"/>
      <c r="N300" s="351"/>
      <c r="O300" s="351"/>
    </row>
    <row r="301" spans="2:22" ht="36.75" customHeight="1" x14ac:dyDescent="0.5">
      <c r="B301" s="350"/>
      <c r="C301" s="292"/>
      <c r="D301" s="450" t="str">
        <f>IF(O301&lt;0,"Net loss for the year","Net profit for the year")</f>
        <v>Net profit for the year</v>
      </c>
      <c r="E301" s="450"/>
      <c r="F301" s="450"/>
      <c r="G301" s="450"/>
      <c r="H301" s="450"/>
      <c r="I301" s="450"/>
      <c r="J301" s="450"/>
      <c r="M301" s="351"/>
      <c r="N301" s="351"/>
      <c r="O301" s="351">
        <f>SUM(O297:O300)</f>
        <v>0</v>
      </c>
    </row>
    <row r="302" spans="2:22" ht="9" customHeight="1" thickBot="1" x14ac:dyDescent="0.55000000000000004">
      <c r="B302" s="350"/>
      <c r="C302" s="292"/>
      <c r="D302" s="450"/>
      <c r="E302" s="450"/>
      <c r="F302" s="450"/>
      <c r="G302" s="450"/>
      <c r="H302" s="450"/>
      <c r="I302" s="450"/>
      <c r="J302" s="450"/>
      <c r="M302" s="351"/>
      <c r="N302" s="351"/>
      <c r="O302" s="373"/>
    </row>
    <row r="303" spans="2:22" ht="9" customHeight="1" thickTop="1" x14ac:dyDescent="0.5">
      <c r="B303" s="350"/>
      <c r="C303" s="292"/>
      <c r="D303" s="450"/>
      <c r="E303" s="450"/>
      <c r="F303" s="450"/>
      <c r="G303" s="450"/>
      <c r="H303" s="450"/>
      <c r="I303" s="450"/>
      <c r="J303" s="450"/>
      <c r="M303" s="351"/>
      <c r="N303" s="351"/>
      <c r="O303" s="351"/>
    </row>
    <row r="304" spans="2:22" ht="36" customHeight="1" x14ac:dyDescent="0.5">
      <c r="B304" s="350"/>
      <c r="C304" s="292"/>
      <c r="D304" s="450" t="str">
        <f>IF(Criteria!F83="No","The company did not have any operations in the current financial year."," ")</f>
        <v xml:space="preserve"> </v>
      </c>
      <c r="E304" s="450"/>
      <c r="F304" s="450"/>
      <c r="G304" s="450"/>
      <c r="H304" s="450"/>
      <c r="I304" s="450"/>
      <c r="J304" s="450"/>
      <c r="M304" s="347"/>
      <c r="O304" s="347"/>
      <c r="R304" s="348" t="str">
        <f>IF(D304=" ","DELETE"," ")</f>
        <v>DELETE</v>
      </c>
    </row>
    <row r="305" spans="2:18" ht="36" customHeight="1" x14ac:dyDescent="0.5">
      <c r="B305" s="350"/>
      <c r="C305" s="292"/>
      <c r="D305" s="450" t="s">
        <v>1084</v>
      </c>
      <c r="E305" s="450"/>
      <c r="F305" s="450"/>
      <c r="G305" s="450"/>
      <c r="H305" s="450"/>
      <c r="I305" s="450"/>
      <c r="J305" s="450"/>
      <c r="M305" s="347"/>
      <c r="O305" s="347"/>
    </row>
    <row r="306" spans="2:18" ht="36" customHeight="1" x14ac:dyDescent="0.5">
      <c r="B306" s="350"/>
      <c r="C306" s="292"/>
      <c r="D306" s="450" t="str">
        <f>CONCATENATE("Statements and the ",IF(MAX(Criteria!I38:I42)&gt;1,"directors are","director is")," of the opinion that no further comment thereon is")</f>
        <v>Statements and the directors are of the opinion that no further comment thereon is</v>
      </c>
      <c r="E306" s="450"/>
      <c r="F306" s="450"/>
      <c r="G306" s="450"/>
      <c r="H306" s="450"/>
      <c r="I306" s="450"/>
      <c r="J306" s="450"/>
      <c r="M306" s="347"/>
      <c r="O306" s="347"/>
    </row>
    <row r="307" spans="2:18" ht="36" customHeight="1" x14ac:dyDescent="0.5">
      <c r="B307" s="350"/>
      <c r="C307" s="292"/>
      <c r="D307" s="450" t="s">
        <v>1129</v>
      </c>
      <c r="E307" s="450"/>
      <c r="F307" s="450"/>
      <c r="G307" s="450"/>
      <c r="H307" s="450"/>
      <c r="I307" s="450"/>
      <c r="J307" s="450"/>
      <c r="M307" s="347"/>
      <c r="O307" s="347"/>
    </row>
    <row r="308" spans="2:18" ht="36" customHeight="1" x14ac:dyDescent="0.45">
      <c r="B308" s="350"/>
    </row>
    <row r="309" spans="2:18" ht="36" customHeight="1" x14ac:dyDescent="0.45">
      <c r="B309" s="350"/>
    </row>
    <row r="310" spans="2:18" ht="36" customHeight="1" x14ac:dyDescent="0.45">
      <c r="B310" s="350"/>
    </row>
    <row r="311" spans="2:18" ht="36" customHeight="1" x14ac:dyDescent="0.45">
      <c r="B311" s="350"/>
    </row>
    <row r="312" spans="2:18" ht="36" customHeight="1" x14ac:dyDescent="0.5">
      <c r="B312" s="350"/>
      <c r="C312" s="292"/>
      <c r="D312" s="450"/>
      <c r="E312" s="450"/>
      <c r="F312" s="450"/>
      <c r="G312" s="450"/>
      <c r="H312" s="450"/>
      <c r="I312" s="450"/>
      <c r="J312" s="450"/>
      <c r="M312" s="347"/>
      <c r="O312" s="295" t="s">
        <v>89</v>
      </c>
      <c r="P312" s="295"/>
      <c r="Q312" s="292">
        <f>MAX($Q$105:Q311)+1</f>
        <v>5</v>
      </c>
    </row>
    <row r="313" spans="2:18" ht="36" customHeight="1" x14ac:dyDescent="0.5">
      <c r="D313" s="456" t="str">
        <f>Criteria!E9</f>
        <v>HOLDING COMPANY 268 (PROPRIETARY) LIMITED</v>
      </c>
      <c r="E313" s="450"/>
      <c r="F313" s="450"/>
      <c r="G313" s="450"/>
      <c r="H313" s="450"/>
      <c r="I313" s="450"/>
      <c r="J313" s="450"/>
      <c r="M313" s="347"/>
      <c r="O313" s="347"/>
    </row>
    <row r="314" spans="2:18" ht="36" customHeight="1" x14ac:dyDescent="0.5">
      <c r="D314" s="456" t="str">
        <f>Criteria!E10</f>
        <v>CONSOLIDATED FINANCIAL STATEMENTS</v>
      </c>
      <c r="E314" s="450"/>
      <c r="F314" s="450"/>
      <c r="G314" s="450"/>
      <c r="H314" s="450"/>
      <c r="I314" s="450"/>
      <c r="J314" s="450"/>
      <c r="M314" s="347"/>
      <c r="O314" s="347"/>
      <c r="R314" s="348" t="str">
        <f>IF(D314=0,"DELETE"," ")</f>
        <v xml:space="preserve"> </v>
      </c>
    </row>
    <row r="315" spans="2:18" ht="36" customHeight="1" x14ac:dyDescent="0.5">
      <c r="D315" s="450"/>
      <c r="E315" s="450"/>
      <c r="F315" s="450"/>
      <c r="G315" s="450"/>
      <c r="H315" s="450"/>
      <c r="I315" s="450"/>
      <c r="J315" s="450"/>
      <c r="M315" s="347"/>
      <c r="O315" s="347"/>
    </row>
    <row r="316" spans="2:18" ht="36" customHeight="1" x14ac:dyDescent="0.5">
      <c r="D316" s="456" t="str">
        <f>D258</f>
        <v>DIRECTORS' REPORT FOR THE YEAR ENDED</v>
      </c>
      <c r="E316" s="450"/>
      <c r="F316" s="450"/>
      <c r="G316" s="450"/>
      <c r="H316" s="450"/>
      <c r="I316" s="450"/>
      <c r="J316" s="450"/>
      <c r="M316" s="358"/>
      <c r="N316" s="358"/>
      <c r="O316" s="347"/>
    </row>
    <row r="317" spans="2:18" ht="36" customHeight="1" x14ac:dyDescent="0.5">
      <c r="D317" s="456" t="str">
        <f>Criteria!E20</f>
        <v>28 FEBRUARY 2025</v>
      </c>
      <c r="E317" s="450"/>
      <c r="F317" s="450"/>
      <c r="G317" s="450"/>
      <c r="H317" s="450"/>
      <c r="I317" s="450"/>
      <c r="J317" s="450" t="s">
        <v>231</v>
      </c>
      <c r="M317" s="358"/>
      <c r="N317" s="358"/>
      <c r="O317" s="347"/>
    </row>
    <row r="318" spans="2:18" ht="36" customHeight="1" x14ac:dyDescent="0.5">
      <c r="D318" s="457"/>
      <c r="E318" s="457"/>
      <c r="F318" s="457"/>
      <c r="G318" s="457"/>
      <c r="H318" s="457"/>
      <c r="I318" s="457"/>
      <c r="J318" s="457"/>
      <c r="K318" s="359"/>
      <c r="L318" s="359"/>
      <c r="M318" s="360"/>
      <c r="N318" s="360"/>
      <c r="O318" s="361"/>
      <c r="P318" s="361"/>
      <c r="Q318" s="359"/>
    </row>
    <row r="319" spans="2:18" ht="36" customHeight="1" x14ac:dyDescent="0.5">
      <c r="D319" s="450"/>
      <c r="E319" s="450"/>
      <c r="F319" s="450"/>
      <c r="G319" s="450"/>
      <c r="H319" s="450"/>
      <c r="I319" s="450"/>
      <c r="J319" s="450"/>
      <c r="M319" s="385"/>
      <c r="N319" s="385"/>
      <c r="O319" s="356"/>
      <c r="P319" s="356"/>
    </row>
    <row r="320" spans="2:18" ht="36" customHeight="1" x14ac:dyDescent="0.5">
      <c r="C320" s="292">
        <f>MAX(C$262:C319)+1</f>
        <v>4</v>
      </c>
      <c r="D320" s="456" t="s">
        <v>646</v>
      </c>
      <c r="E320" s="450"/>
      <c r="F320" s="450"/>
      <c r="G320" s="450"/>
      <c r="H320" s="450"/>
      <c r="I320" s="450"/>
      <c r="J320" s="450"/>
      <c r="M320" s="347"/>
      <c r="O320" s="347"/>
    </row>
    <row r="321" spans="3:18" ht="36" customHeight="1" x14ac:dyDescent="0.5">
      <c r="C321" s="292"/>
      <c r="D321" s="456"/>
      <c r="E321" s="450"/>
      <c r="F321" s="450"/>
      <c r="G321" s="450"/>
      <c r="H321" s="450"/>
      <c r="I321" s="450"/>
      <c r="J321" s="450"/>
      <c r="M321" s="347"/>
      <c r="O321" s="347"/>
    </row>
    <row r="322" spans="3:18" ht="36" customHeight="1" x14ac:dyDescent="0.5">
      <c r="C322" s="292"/>
      <c r="D322" s="450" t="str">
        <f>IF(Criteria!F89="Yes",Criteria!G89,"No dividends have been declared nor are any recommended.")</f>
        <v>No dividends have been declared nor are any recommended.</v>
      </c>
      <c r="E322" s="450"/>
      <c r="F322" s="450"/>
      <c r="G322" s="450"/>
      <c r="H322" s="450"/>
      <c r="I322" s="450"/>
      <c r="J322" s="450"/>
      <c r="M322" s="347"/>
      <c r="O322" s="347"/>
    </row>
    <row r="323" spans="3:18" ht="36" customHeight="1" x14ac:dyDescent="0.5">
      <c r="C323" s="292"/>
      <c r="D323" s="450" t="str">
        <f>IF(Criteria!F89="Yes",Criteria!G90," ")</f>
        <v xml:space="preserve"> </v>
      </c>
      <c r="E323" s="450"/>
      <c r="F323" s="450"/>
      <c r="G323" s="450"/>
      <c r="H323" s="450"/>
      <c r="I323" s="450"/>
      <c r="J323" s="450"/>
      <c r="M323" s="347"/>
      <c r="O323" s="347"/>
      <c r="R323" s="348" t="str">
        <f>IF(D323=" ","DELETE"," ")</f>
        <v>DELETE</v>
      </c>
    </row>
    <row r="324" spans="3:18" ht="36" customHeight="1" x14ac:dyDescent="0.5">
      <c r="C324" s="292"/>
      <c r="D324" s="450"/>
      <c r="E324" s="450"/>
      <c r="F324" s="450"/>
      <c r="G324" s="450"/>
      <c r="H324" s="450"/>
      <c r="I324" s="450"/>
      <c r="J324" s="450"/>
      <c r="M324" s="347"/>
      <c r="O324" s="347"/>
    </row>
    <row r="325" spans="3:18" ht="36" customHeight="1" x14ac:dyDescent="0.5">
      <c r="C325" s="292">
        <f>MAX(C$262:C324)+1</f>
        <v>5</v>
      </c>
      <c r="D325" s="456" t="s">
        <v>515</v>
      </c>
      <c r="E325" s="450"/>
      <c r="F325" s="450"/>
      <c r="G325" s="450"/>
      <c r="H325" s="450"/>
      <c r="I325" s="450"/>
      <c r="J325" s="450"/>
      <c r="M325" s="347"/>
      <c r="O325" s="347"/>
    </row>
    <row r="326" spans="3:18" ht="36" customHeight="1" x14ac:dyDescent="0.5">
      <c r="C326" s="292"/>
      <c r="D326" s="456"/>
      <c r="E326" s="450"/>
      <c r="F326" s="450"/>
      <c r="G326" s="450"/>
      <c r="H326" s="450"/>
      <c r="I326" s="450"/>
      <c r="J326" s="450"/>
      <c r="M326" s="347"/>
      <c r="O326" s="347"/>
    </row>
    <row r="327" spans="3:18" ht="36" customHeight="1" x14ac:dyDescent="0.5">
      <c r="C327" s="292"/>
      <c r="D327" s="450" t="str">
        <f>CONCATENATE("The authorised and issued share capital are presented at Note ",B1840," of the Notes to the")</f>
        <v>The authorised and issued share capital are presented at Note 19 of the Notes to the</v>
      </c>
      <c r="E327" s="450"/>
      <c r="F327" s="450"/>
      <c r="G327" s="450"/>
      <c r="H327" s="450"/>
      <c r="I327" s="450"/>
      <c r="J327" s="450"/>
      <c r="M327" s="347"/>
      <c r="O327" s="347"/>
    </row>
    <row r="328" spans="3:18" ht="36" customHeight="1" x14ac:dyDescent="0.5">
      <c r="C328" s="292"/>
      <c r="D328" s="450" t="s">
        <v>1083</v>
      </c>
      <c r="E328" s="450"/>
      <c r="F328" s="450"/>
      <c r="G328" s="450"/>
      <c r="H328" s="450"/>
      <c r="I328" s="450"/>
      <c r="J328" s="450"/>
      <c r="M328" s="347"/>
      <c r="O328" s="347"/>
    </row>
    <row r="329" spans="3:18" ht="36" customHeight="1" x14ac:dyDescent="0.5">
      <c r="C329" s="292"/>
      <c r="D329" s="450" t="str">
        <f>IF(Criteria!F92="No","The authorised and issued share capital remained unchanged during the financial year",Criteria!G93)</f>
        <v>The authorised and issued share capital remained unchanged during the financial year</v>
      </c>
      <c r="E329" s="450"/>
      <c r="F329" s="450"/>
      <c r="G329" s="450"/>
      <c r="H329" s="450"/>
      <c r="I329" s="450"/>
      <c r="J329" s="450"/>
      <c r="M329" s="347"/>
      <c r="O329" s="347"/>
    </row>
    <row r="330" spans="3:18" ht="36" customHeight="1" x14ac:dyDescent="0.5">
      <c r="C330" s="292"/>
      <c r="D330" s="450" t="str">
        <f>IF(Criteria!F92="Yes",Criteria!G94,"under review. ")</f>
        <v xml:space="preserve">under review. </v>
      </c>
      <c r="E330" s="450"/>
      <c r="F330" s="450"/>
      <c r="G330" s="450"/>
      <c r="H330" s="450"/>
      <c r="I330" s="450"/>
      <c r="J330" s="450"/>
      <c r="M330" s="347"/>
      <c r="O330" s="347"/>
      <c r="R330" s="348" t="str">
        <f>IF(D330=0,"DELETE"," ")</f>
        <v xml:space="preserve"> </v>
      </c>
    </row>
    <row r="331" spans="3:18" ht="36" customHeight="1" x14ac:dyDescent="0.5">
      <c r="D331" s="450"/>
      <c r="E331" s="450"/>
      <c r="F331" s="450"/>
      <c r="G331" s="450"/>
      <c r="H331" s="450"/>
      <c r="I331" s="450"/>
      <c r="J331" s="450"/>
      <c r="M331" s="385"/>
      <c r="N331" s="385"/>
      <c r="O331" s="356"/>
      <c r="P331" s="356"/>
    </row>
    <row r="332" spans="3:18" ht="36" customHeight="1" x14ac:dyDescent="0.5">
      <c r="C332" s="292">
        <f>MAX(C$262:C331)+1</f>
        <v>6</v>
      </c>
      <c r="D332" s="456" t="s">
        <v>1050</v>
      </c>
      <c r="E332" s="450"/>
      <c r="F332" s="450"/>
      <c r="G332" s="450"/>
      <c r="H332" s="450"/>
      <c r="I332" s="450"/>
      <c r="J332" s="450"/>
      <c r="M332" s="347"/>
      <c r="O332" s="347"/>
    </row>
    <row r="333" spans="3:18" ht="36" customHeight="1" x14ac:dyDescent="0.5">
      <c r="C333" s="292"/>
      <c r="D333" s="456"/>
      <c r="E333" s="450"/>
      <c r="F333" s="450"/>
      <c r="G333" s="450"/>
      <c r="H333" s="450"/>
      <c r="I333" s="450"/>
      <c r="J333" s="450"/>
      <c r="M333" s="347"/>
      <c r="O333" s="347"/>
    </row>
    <row r="334" spans="3:18" ht="36" customHeight="1" x14ac:dyDescent="0.5">
      <c r="D334" s="450" t="str">
        <f>IF(Criteria!F96="Yes",Criteria!G97,"No fundamental change in the nature or use of fixed assets took place during the")</f>
        <v>No fundamental change in the nature or use of fixed assets took place during the</v>
      </c>
      <c r="E334" s="450"/>
      <c r="F334" s="450"/>
      <c r="G334" s="450"/>
      <c r="H334" s="450"/>
      <c r="I334" s="450"/>
      <c r="J334" s="450"/>
      <c r="M334" s="347"/>
      <c r="O334" s="347"/>
    </row>
    <row r="335" spans="3:18" ht="36" customHeight="1" x14ac:dyDescent="0.5">
      <c r="D335" s="450" t="str">
        <f>IF(Criteria!F96="Yes"," ","financial year.")</f>
        <v>financial year.</v>
      </c>
      <c r="E335" s="450"/>
      <c r="F335" s="450"/>
      <c r="G335" s="450"/>
      <c r="H335" s="450"/>
      <c r="I335" s="450"/>
      <c r="J335" s="450"/>
      <c r="M335" s="347"/>
      <c r="O335" s="347"/>
      <c r="R335" s="348" t="str">
        <f>IF(D335=" ","DELETE"," ")</f>
        <v xml:space="preserve"> </v>
      </c>
    </row>
    <row r="336" spans="3:18" ht="36" customHeight="1" x14ac:dyDescent="0.5">
      <c r="C336" s="292"/>
      <c r="D336" s="450"/>
      <c r="E336" s="450"/>
      <c r="F336" s="450"/>
      <c r="G336" s="450"/>
      <c r="H336" s="450"/>
      <c r="I336" s="450"/>
      <c r="J336" s="450"/>
      <c r="M336" s="347"/>
      <c r="O336" s="347"/>
    </row>
    <row r="337" spans="2:18" ht="36" customHeight="1" x14ac:dyDescent="0.5">
      <c r="B337" s="350"/>
      <c r="C337" s="292">
        <f>MAX(C$262:C336)+1</f>
        <v>7</v>
      </c>
      <c r="D337" s="456" t="str">
        <f>IF(MAX(Criteria!I38:I42)&gt;1,"Directors","Director")</f>
        <v>Directors</v>
      </c>
      <c r="E337" s="450"/>
      <c r="F337" s="450"/>
      <c r="G337" s="450"/>
      <c r="H337" s="450"/>
      <c r="I337" s="450"/>
      <c r="J337" s="450"/>
      <c r="M337" s="347"/>
      <c r="O337" s="347"/>
    </row>
    <row r="338" spans="2:18" ht="36" customHeight="1" x14ac:dyDescent="0.5">
      <c r="B338" s="350"/>
      <c r="C338" s="292"/>
      <c r="D338" s="456"/>
      <c r="E338" s="450"/>
      <c r="F338" s="450"/>
      <c r="G338" s="450"/>
      <c r="H338" s="450"/>
      <c r="I338" s="450"/>
      <c r="J338" s="450"/>
      <c r="M338" s="347"/>
      <c r="O338" s="347"/>
    </row>
    <row r="339" spans="2:18" ht="36" customHeight="1" x14ac:dyDescent="0.5">
      <c r="B339" s="350"/>
      <c r="C339" s="292"/>
      <c r="D339" s="450" t="str">
        <f>IF(MAX(Criteria!I38:I42)&gt;1,"The directors in office at the date of the financial year end are as follows:","The director in office at the date of the financial year end is as follows:")</f>
        <v>The directors in office at the date of the financial year end are as follows:</v>
      </c>
      <c r="E339" s="450"/>
      <c r="F339" s="450"/>
      <c r="G339" s="450"/>
      <c r="H339" s="450"/>
      <c r="I339" s="450"/>
      <c r="J339" s="450"/>
      <c r="M339" s="347"/>
      <c r="O339" s="347"/>
    </row>
    <row r="340" spans="2:18" ht="36" customHeight="1" x14ac:dyDescent="0.5">
      <c r="B340" s="350"/>
      <c r="C340" s="292"/>
      <c r="D340" s="456"/>
      <c r="E340" s="450"/>
      <c r="F340" s="450"/>
      <c r="G340" s="450"/>
      <c r="H340" s="450"/>
      <c r="I340" s="450"/>
      <c r="J340" s="450"/>
      <c r="M340" s="435" t="s">
        <v>667</v>
      </c>
      <c r="O340" s="347"/>
    </row>
    <row r="341" spans="2:18" ht="36" customHeight="1" x14ac:dyDescent="0.5">
      <c r="B341" s="350"/>
      <c r="C341" s="292"/>
      <c r="D341" s="450" t="str">
        <f>Criteria!E38</f>
        <v>A Director</v>
      </c>
      <c r="E341" s="450"/>
      <c r="F341" s="450"/>
      <c r="G341" s="450"/>
      <c r="H341" s="450"/>
      <c r="I341" s="450"/>
      <c r="J341" s="450"/>
      <c r="M341" s="437" t="str">
        <f>Criteria!G38</f>
        <v>RSA</v>
      </c>
      <c r="O341" s="347"/>
    </row>
    <row r="342" spans="2:18" ht="36" customHeight="1" x14ac:dyDescent="0.5">
      <c r="C342" s="292"/>
      <c r="D342" s="450" t="str">
        <f>Criteria!E39</f>
        <v>B Director</v>
      </c>
      <c r="E342" s="450"/>
      <c r="F342" s="450"/>
      <c r="G342" s="450"/>
      <c r="H342" s="450"/>
      <c r="I342" s="450"/>
      <c r="J342" s="450"/>
      <c r="M342" s="437" t="str">
        <f>Criteria!G39</f>
        <v>RSA</v>
      </c>
      <c r="O342" s="347"/>
      <c r="R342" s="348" t="str">
        <f>IF(D342=0,"DELETE"," ")</f>
        <v xml:space="preserve"> </v>
      </c>
    </row>
    <row r="343" spans="2:18" ht="36" customHeight="1" x14ac:dyDescent="0.5">
      <c r="C343" s="292"/>
      <c r="D343" s="450">
        <f>Criteria!E40</f>
        <v>0</v>
      </c>
      <c r="E343" s="450"/>
      <c r="F343" s="450"/>
      <c r="G343" s="450"/>
      <c r="H343" s="450"/>
      <c r="I343" s="450"/>
      <c r="J343" s="450"/>
      <c r="M343" s="437">
        <f>Criteria!G40</f>
        <v>0</v>
      </c>
      <c r="O343" s="347"/>
      <c r="R343" s="348" t="str">
        <f>IF(D343=0,"DELETE"," ")</f>
        <v>DELETE</v>
      </c>
    </row>
    <row r="344" spans="2:18" ht="36" customHeight="1" x14ac:dyDescent="0.5">
      <c r="C344" s="292"/>
      <c r="D344" s="450">
        <f>Criteria!E41</f>
        <v>0</v>
      </c>
      <c r="E344" s="450"/>
      <c r="F344" s="450"/>
      <c r="G344" s="450"/>
      <c r="H344" s="450"/>
      <c r="I344" s="450"/>
      <c r="J344" s="450"/>
      <c r="M344" s="437">
        <f>Criteria!G41</f>
        <v>0</v>
      </c>
      <c r="O344" s="347"/>
      <c r="R344" s="348" t="str">
        <f>IF(D344=0,"DELETE"," ")</f>
        <v>DELETE</v>
      </c>
    </row>
    <row r="345" spans="2:18" ht="36" customHeight="1" x14ac:dyDescent="0.5">
      <c r="C345" s="292"/>
      <c r="D345" s="450">
        <f>Criteria!E42</f>
        <v>0</v>
      </c>
      <c r="E345" s="450"/>
      <c r="F345" s="450"/>
      <c r="G345" s="450"/>
      <c r="H345" s="450"/>
      <c r="I345" s="450"/>
      <c r="J345" s="450"/>
      <c r="M345" s="437">
        <f>Criteria!G42</f>
        <v>0</v>
      </c>
      <c r="O345" s="347"/>
      <c r="R345" s="348" t="str">
        <f>IF(D345=0,"DELETE"," ")</f>
        <v>DELETE</v>
      </c>
    </row>
    <row r="346" spans="2:18" ht="36" customHeight="1" x14ac:dyDescent="0.5">
      <c r="C346" s="292"/>
      <c r="D346" s="450"/>
      <c r="E346" s="450"/>
      <c r="F346" s="450"/>
      <c r="G346" s="450"/>
      <c r="H346" s="450"/>
      <c r="I346" s="450"/>
      <c r="J346" s="450"/>
      <c r="M346" s="347"/>
      <c r="O346" s="347"/>
    </row>
    <row r="347" spans="2:18" ht="36" customHeight="1" x14ac:dyDescent="0.5">
      <c r="C347" s="292"/>
      <c r="D347" s="450" t="str">
        <f>IF(Criteria!G47="Yes",Criteria!G48,"There have been no changes to the directorate during the period under review.")</f>
        <v>There have been no changes to the directorate during the period under review.</v>
      </c>
      <c r="E347" s="450"/>
      <c r="F347" s="450"/>
      <c r="G347" s="450"/>
      <c r="H347" s="450"/>
      <c r="I347" s="450"/>
      <c r="J347" s="450"/>
      <c r="M347" s="347"/>
      <c r="O347" s="347"/>
    </row>
    <row r="348" spans="2:18" ht="36" customHeight="1" x14ac:dyDescent="0.5">
      <c r="C348" s="292"/>
      <c r="D348" s="450" t="str">
        <f>IF(Criteria!G47="Yes",Criteria!G49," ")</f>
        <v xml:space="preserve"> </v>
      </c>
      <c r="E348" s="450"/>
      <c r="F348" s="450"/>
      <c r="G348" s="450"/>
      <c r="H348" s="450"/>
      <c r="I348" s="450"/>
      <c r="J348" s="450"/>
      <c r="M348" s="347"/>
      <c r="O348" s="347"/>
      <c r="R348" s="348" t="str">
        <f>IF(D348=" ","DELETE",IF(D348=0,"DELETE"," "))</f>
        <v>DELETE</v>
      </c>
    </row>
    <row r="349" spans="2:18" ht="36" customHeight="1" x14ac:dyDescent="0.5">
      <c r="D349" s="450"/>
      <c r="E349" s="450"/>
      <c r="F349" s="450"/>
      <c r="G349" s="450"/>
      <c r="H349" s="450"/>
      <c r="I349" s="450"/>
      <c r="J349" s="450"/>
      <c r="M349" s="347"/>
      <c r="O349" s="347"/>
    </row>
    <row r="350" spans="2:18" ht="36" customHeight="1" x14ac:dyDescent="0.5">
      <c r="C350" s="292">
        <f>MAX(C$262:C349)+1</f>
        <v>8</v>
      </c>
      <c r="D350" s="456" t="s">
        <v>1051</v>
      </c>
      <c r="E350" s="450"/>
      <c r="F350" s="450"/>
      <c r="G350" s="450"/>
      <c r="H350" s="450"/>
      <c r="I350" s="450"/>
      <c r="J350" s="450"/>
      <c r="M350" s="347"/>
      <c r="O350" s="347"/>
    </row>
    <row r="351" spans="2:18" ht="36" customHeight="1" x14ac:dyDescent="0.5">
      <c r="C351" s="292"/>
      <c r="D351" s="456"/>
      <c r="E351" s="450"/>
      <c r="F351" s="450"/>
      <c r="G351" s="450"/>
      <c r="H351" s="450"/>
      <c r="I351" s="450"/>
      <c r="J351" s="450"/>
      <c r="M351" s="347"/>
      <c r="O351" s="347"/>
    </row>
    <row r="352" spans="2:18" ht="36" customHeight="1" x14ac:dyDescent="0.5">
      <c r="C352" s="292"/>
      <c r="D352" s="450" t="s">
        <v>1085</v>
      </c>
      <c r="E352" s="450"/>
      <c r="F352" s="450"/>
      <c r="G352" s="450"/>
      <c r="H352" s="450"/>
      <c r="I352" s="450"/>
      <c r="J352" s="450"/>
      <c r="M352" s="347"/>
      <c r="O352" s="347"/>
    </row>
    <row r="353" spans="3:18" ht="36" customHeight="1" x14ac:dyDescent="0.5">
      <c r="C353" s="292"/>
      <c r="D353" s="450" t="s">
        <v>1130</v>
      </c>
      <c r="E353" s="450"/>
      <c r="F353" s="450"/>
      <c r="G353" s="450"/>
      <c r="H353" s="450"/>
      <c r="I353" s="450"/>
      <c r="J353" s="450"/>
      <c r="M353" s="347"/>
      <c r="O353" s="347"/>
    </row>
    <row r="354" spans="3:18" ht="36" customHeight="1" x14ac:dyDescent="0.5">
      <c r="C354" s="292"/>
      <c r="D354" s="450" t="s">
        <v>1131</v>
      </c>
      <c r="E354" s="450"/>
      <c r="F354" s="450"/>
      <c r="G354" s="450"/>
      <c r="H354" s="450"/>
      <c r="I354" s="450"/>
      <c r="J354" s="450"/>
      <c r="M354" s="347"/>
      <c r="O354" s="347"/>
    </row>
    <row r="355" spans="3:18" ht="36" customHeight="1" x14ac:dyDescent="0.5">
      <c r="C355" s="292"/>
      <c r="D355" s="450" t="s">
        <v>1133</v>
      </c>
      <c r="E355" s="450"/>
      <c r="F355" s="450"/>
      <c r="G355" s="450"/>
      <c r="H355" s="450"/>
      <c r="I355" s="450"/>
      <c r="J355" s="450"/>
      <c r="M355" s="347"/>
      <c r="O355" s="347"/>
    </row>
    <row r="356" spans="3:18" ht="36" customHeight="1" x14ac:dyDescent="0.5">
      <c r="C356" s="292"/>
      <c r="D356" s="450" t="s">
        <v>1132</v>
      </c>
      <c r="E356" s="450"/>
      <c r="F356" s="450"/>
      <c r="G356" s="450"/>
      <c r="H356" s="450"/>
      <c r="I356" s="450"/>
      <c r="J356" s="450"/>
      <c r="M356" s="347"/>
      <c r="O356" s="347"/>
    </row>
    <row r="357" spans="3:18" ht="36" customHeight="1" x14ac:dyDescent="0.5">
      <c r="C357" s="292"/>
      <c r="D357" s="450"/>
      <c r="E357" s="450"/>
      <c r="F357" s="450"/>
      <c r="G357" s="450"/>
      <c r="H357" s="450"/>
      <c r="I357" s="450"/>
      <c r="J357" s="450"/>
      <c r="M357" s="347"/>
      <c r="O357" s="347"/>
    </row>
    <row r="358" spans="3:18" ht="36" customHeight="1" x14ac:dyDescent="0.5">
      <c r="C358" s="292"/>
      <c r="D358" s="450"/>
      <c r="E358" s="450"/>
      <c r="F358" s="450"/>
      <c r="G358" s="450"/>
      <c r="H358" s="450"/>
      <c r="I358" s="450"/>
      <c r="J358" s="450"/>
      <c r="M358" s="347"/>
      <c r="O358" s="347"/>
    </row>
    <row r="359" spans="3:18" ht="36" customHeight="1" x14ac:dyDescent="0.5">
      <c r="C359" s="292"/>
      <c r="D359" s="450"/>
      <c r="E359" s="450"/>
      <c r="F359" s="450"/>
      <c r="G359" s="450"/>
      <c r="H359" s="450"/>
      <c r="I359" s="450"/>
      <c r="J359" s="450"/>
      <c r="M359" s="347"/>
      <c r="O359" s="347"/>
    </row>
    <row r="360" spans="3:18" ht="36" customHeight="1" x14ac:dyDescent="0.5">
      <c r="C360" s="292"/>
      <c r="D360" s="450"/>
      <c r="E360" s="450"/>
      <c r="F360" s="450"/>
      <c r="G360" s="450"/>
      <c r="H360" s="450"/>
      <c r="I360" s="450"/>
      <c r="J360" s="450"/>
      <c r="M360" s="347"/>
      <c r="O360" s="295" t="s">
        <v>89</v>
      </c>
      <c r="P360" s="295"/>
      <c r="Q360" s="292">
        <f>MAX($Q$105:Q359)+1</f>
        <v>6</v>
      </c>
    </row>
    <row r="361" spans="3:18" ht="36" customHeight="1" x14ac:dyDescent="0.5">
      <c r="C361" s="292"/>
      <c r="D361" s="456" t="str">
        <f>Criteria!E9</f>
        <v>HOLDING COMPANY 268 (PROPRIETARY) LIMITED</v>
      </c>
      <c r="E361" s="450"/>
      <c r="F361" s="450"/>
      <c r="G361" s="450"/>
      <c r="H361" s="450"/>
      <c r="I361" s="450"/>
      <c r="J361" s="450"/>
      <c r="M361" s="347"/>
      <c r="O361" s="347"/>
    </row>
    <row r="362" spans="3:18" ht="36" customHeight="1" x14ac:dyDescent="0.5">
      <c r="C362" s="292"/>
      <c r="D362" s="456" t="str">
        <f>Criteria!E10</f>
        <v>CONSOLIDATED FINANCIAL STATEMENTS</v>
      </c>
      <c r="E362" s="450"/>
      <c r="F362" s="450"/>
      <c r="G362" s="450"/>
      <c r="H362" s="450"/>
      <c r="I362" s="450"/>
      <c r="J362" s="450"/>
      <c r="M362" s="347"/>
      <c r="O362" s="347"/>
      <c r="R362" s="348" t="str">
        <f>IF(D362=0,"DELETE"," ")</f>
        <v xml:space="preserve"> </v>
      </c>
    </row>
    <row r="363" spans="3:18" ht="36" customHeight="1" x14ac:dyDescent="0.5">
      <c r="C363" s="292"/>
      <c r="D363" s="450"/>
      <c r="E363" s="450"/>
      <c r="F363" s="450"/>
      <c r="G363" s="450"/>
      <c r="H363" s="450"/>
      <c r="I363" s="450"/>
      <c r="J363" s="450"/>
      <c r="M363" s="347"/>
      <c r="O363" s="347"/>
    </row>
    <row r="364" spans="3:18" ht="36" customHeight="1" x14ac:dyDescent="0.5">
      <c r="C364" s="292"/>
      <c r="D364" s="456" t="str">
        <f>D258</f>
        <v>DIRECTORS' REPORT FOR THE YEAR ENDED</v>
      </c>
      <c r="E364" s="450"/>
      <c r="F364" s="450"/>
      <c r="G364" s="450"/>
      <c r="H364" s="450"/>
      <c r="I364" s="450"/>
      <c r="J364" s="450"/>
      <c r="M364" s="358"/>
      <c r="N364" s="358"/>
      <c r="O364" s="347"/>
    </row>
    <row r="365" spans="3:18" ht="36" customHeight="1" x14ac:dyDescent="0.5">
      <c r="C365" s="292"/>
      <c r="D365" s="456" t="str">
        <f>Criteria!E20</f>
        <v>28 FEBRUARY 2025</v>
      </c>
      <c r="E365" s="450"/>
      <c r="F365" s="450"/>
      <c r="G365" s="450"/>
      <c r="H365" s="450"/>
      <c r="I365" s="450"/>
      <c r="J365" s="450" t="s">
        <v>231</v>
      </c>
      <c r="M365" s="358"/>
      <c r="N365" s="358"/>
      <c r="O365" s="347"/>
    </row>
    <row r="366" spans="3:18" ht="36" customHeight="1" x14ac:dyDescent="0.5">
      <c r="C366" s="292"/>
      <c r="D366" s="457"/>
      <c r="E366" s="457"/>
      <c r="F366" s="457"/>
      <c r="G366" s="457"/>
      <c r="H366" s="457"/>
      <c r="I366" s="457"/>
      <c r="J366" s="457"/>
      <c r="K366" s="359"/>
      <c r="L366" s="359"/>
      <c r="M366" s="360"/>
      <c r="N366" s="360"/>
      <c r="O366" s="361"/>
      <c r="P366" s="361"/>
      <c r="Q366" s="359"/>
    </row>
    <row r="367" spans="3:18" ht="36" customHeight="1" x14ac:dyDescent="0.5">
      <c r="D367" s="450"/>
      <c r="E367" s="450"/>
      <c r="F367" s="450"/>
      <c r="G367" s="450"/>
      <c r="H367" s="450"/>
      <c r="I367" s="450"/>
      <c r="J367" s="450"/>
      <c r="M367" s="347"/>
      <c r="O367" s="347"/>
    </row>
    <row r="368" spans="3:18" ht="36" customHeight="1" x14ac:dyDescent="0.5">
      <c r="C368" s="292">
        <f>MAX(C$262:C367)+1</f>
        <v>9</v>
      </c>
      <c r="D368" s="456" t="s">
        <v>1052</v>
      </c>
      <c r="E368" s="450"/>
      <c r="F368" s="450"/>
      <c r="G368" s="450"/>
      <c r="H368" s="450"/>
      <c r="I368" s="450"/>
      <c r="J368" s="450"/>
      <c r="M368" s="347"/>
      <c r="O368" s="347"/>
    </row>
    <row r="369" spans="3:18" ht="36" customHeight="1" x14ac:dyDescent="0.5">
      <c r="C369" s="292"/>
      <c r="D369" s="456"/>
      <c r="E369" s="450"/>
      <c r="F369" s="450"/>
      <c r="G369" s="450"/>
      <c r="H369" s="450"/>
      <c r="I369" s="450"/>
      <c r="J369" s="450"/>
      <c r="M369" s="347"/>
      <c r="O369" s="347"/>
    </row>
    <row r="370" spans="3:18" ht="36" customHeight="1" x14ac:dyDescent="0.5">
      <c r="D370" s="450" t="str">
        <f>IF(Criteria!F99="No","No material fact or event that could have a major impact on the financial position of",Criteria!G101 )</f>
        <v>No material fact or event that could have a major impact on the financial position of</v>
      </c>
      <c r="E370" s="450"/>
      <c r="F370" s="450"/>
      <c r="G370" s="450"/>
      <c r="H370" s="450"/>
      <c r="I370" s="450"/>
      <c r="J370" s="450"/>
      <c r="M370" s="347"/>
      <c r="O370" s="347"/>
    </row>
    <row r="371" spans="3:18" ht="36" customHeight="1" x14ac:dyDescent="0.5">
      <c r="D371" s="450" t="str">
        <f>IF(Criteria!F99="No","the group or its results took place between the date of the Consolidated Financial",Criteria!G102)</f>
        <v>the group or its results took place between the date of the Consolidated Financial</v>
      </c>
      <c r="E371" s="450"/>
      <c r="F371" s="450"/>
      <c r="G371" s="450"/>
      <c r="H371" s="450"/>
      <c r="I371" s="450"/>
      <c r="J371" s="450"/>
      <c r="M371" s="347"/>
      <c r="O371" s="347"/>
      <c r="R371" s="348" t="str">
        <f>IF(D371=0,"DELETE"," ")</f>
        <v xml:space="preserve"> </v>
      </c>
    </row>
    <row r="372" spans="3:18" ht="36" customHeight="1" x14ac:dyDescent="0.5">
      <c r="D372" s="450" t="str">
        <f>IF(Criteria!F99="No","Statements and the date of approval thereof.",Criteria!G103)</f>
        <v>Statements and the date of approval thereof.</v>
      </c>
      <c r="E372" s="450"/>
      <c r="F372" s="450"/>
      <c r="G372" s="450"/>
      <c r="H372" s="450"/>
      <c r="I372" s="450"/>
      <c r="J372" s="450"/>
      <c r="M372" s="347"/>
      <c r="O372" s="347"/>
      <c r="R372" s="348" t="str">
        <f>IF(D372=0,"DELETE"," ")</f>
        <v xml:space="preserve"> </v>
      </c>
    </row>
    <row r="373" spans="3:18" ht="36" customHeight="1" x14ac:dyDescent="0.5">
      <c r="D373" s="450"/>
      <c r="E373" s="450"/>
      <c r="F373" s="450"/>
      <c r="G373" s="450"/>
      <c r="H373" s="450"/>
      <c r="I373" s="450"/>
      <c r="J373" s="450"/>
      <c r="M373" s="347"/>
      <c r="O373" s="347"/>
    </row>
    <row r="374" spans="3:18" ht="36" customHeight="1" x14ac:dyDescent="0.5">
      <c r="D374" s="450"/>
      <c r="E374" s="450"/>
      <c r="F374" s="450"/>
      <c r="G374" s="450"/>
      <c r="H374" s="450"/>
      <c r="I374" s="450"/>
      <c r="J374" s="450"/>
      <c r="M374" s="347"/>
      <c r="O374" s="347"/>
    </row>
    <row r="375" spans="3:18" ht="36" customHeight="1" x14ac:dyDescent="0.5">
      <c r="D375" s="450"/>
      <c r="E375" s="450"/>
      <c r="F375" s="450"/>
      <c r="G375" s="450"/>
      <c r="H375" s="450"/>
      <c r="I375" s="450"/>
      <c r="J375" s="450"/>
      <c r="M375" s="347"/>
      <c r="O375" s="347"/>
    </row>
    <row r="376" spans="3:18" ht="36" customHeight="1" x14ac:dyDescent="0.5">
      <c r="D376" s="450"/>
      <c r="E376" s="450"/>
      <c r="F376" s="450"/>
      <c r="G376" s="450"/>
      <c r="H376" s="450"/>
      <c r="I376" s="450"/>
      <c r="J376" s="450"/>
      <c r="M376" s="347"/>
      <c r="O376" s="347"/>
    </row>
    <row r="377" spans="3:18" ht="36" customHeight="1" x14ac:dyDescent="0.5">
      <c r="D377" s="450"/>
      <c r="E377" s="450"/>
      <c r="F377" s="450"/>
      <c r="G377" s="450"/>
      <c r="H377" s="450"/>
      <c r="I377" s="450"/>
      <c r="J377" s="450"/>
      <c r="M377" s="347"/>
      <c r="O377" s="295" t="s">
        <v>89</v>
      </c>
      <c r="P377" s="295"/>
      <c r="Q377" s="292">
        <f>MAX($Q$105:Q376)+1</f>
        <v>7</v>
      </c>
      <c r="R377" s="348" t="str">
        <f>IF(R385="DELETE","DELETE"," ")</f>
        <v>DELETE</v>
      </c>
    </row>
    <row r="378" spans="3:18" ht="36" customHeight="1" x14ac:dyDescent="0.5">
      <c r="D378" s="456" t="str">
        <f>Criteria!E9</f>
        <v>HOLDING COMPANY 268 (PROPRIETARY) LIMITED</v>
      </c>
      <c r="E378" s="450"/>
      <c r="F378" s="450"/>
      <c r="G378" s="450"/>
      <c r="H378" s="450"/>
      <c r="I378" s="450"/>
      <c r="J378" s="450"/>
      <c r="M378" s="347"/>
      <c r="O378" s="347"/>
      <c r="R378" s="348" t="str">
        <f>R$377</f>
        <v>DELETE</v>
      </c>
    </row>
    <row r="379" spans="3:18" ht="36" customHeight="1" x14ac:dyDescent="0.5">
      <c r="D379" s="456" t="str">
        <f>Criteria!E10</f>
        <v>CONSOLIDATED FINANCIAL STATEMENTS</v>
      </c>
      <c r="E379" s="450"/>
      <c r="F379" s="450"/>
      <c r="G379" s="450"/>
      <c r="H379" s="450"/>
      <c r="I379" s="450"/>
      <c r="J379" s="450"/>
      <c r="M379" s="347"/>
      <c r="O379" s="347"/>
      <c r="R379" s="348" t="str">
        <f>IF(R$377="DELETE","DELETE",IF(D379=0,"DELETE"," "))</f>
        <v>DELETE</v>
      </c>
    </row>
    <row r="380" spans="3:18" ht="36" customHeight="1" x14ac:dyDescent="0.5">
      <c r="D380" s="450"/>
      <c r="E380" s="450"/>
      <c r="F380" s="450"/>
      <c r="G380" s="450"/>
      <c r="H380" s="450"/>
      <c r="I380" s="450"/>
      <c r="J380" s="450"/>
      <c r="M380" s="347"/>
      <c r="O380" s="347"/>
      <c r="R380" s="348" t="str">
        <f t="shared" ref="R380:R383" si="2">R$377</f>
        <v>DELETE</v>
      </c>
    </row>
    <row r="381" spans="3:18" ht="36" customHeight="1" x14ac:dyDescent="0.5">
      <c r="D381" s="456" t="str">
        <f>D258</f>
        <v>DIRECTORS' REPORT FOR THE YEAR ENDED</v>
      </c>
      <c r="E381" s="450"/>
      <c r="F381" s="450"/>
      <c r="G381" s="450"/>
      <c r="H381" s="450"/>
      <c r="I381" s="450"/>
      <c r="J381" s="450"/>
      <c r="M381" s="358"/>
      <c r="N381" s="358"/>
      <c r="O381" s="347"/>
      <c r="R381" s="348" t="str">
        <f t="shared" si="2"/>
        <v>DELETE</v>
      </c>
    </row>
    <row r="382" spans="3:18" ht="36" customHeight="1" x14ac:dyDescent="0.5">
      <c r="D382" s="456" t="str">
        <f>Criteria!E20</f>
        <v>28 FEBRUARY 2025</v>
      </c>
      <c r="E382" s="450"/>
      <c r="F382" s="450"/>
      <c r="G382" s="450"/>
      <c r="H382" s="450"/>
      <c r="I382" s="450"/>
      <c r="J382" s="450" t="s">
        <v>231</v>
      </c>
      <c r="M382" s="358"/>
      <c r="N382" s="358"/>
      <c r="O382" s="347"/>
      <c r="R382" s="348" t="str">
        <f t="shared" si="2"/>
        <v>DELETE</v>
      </c>
    </row>
    <row r="383" spans="3:18" ht="36" customHeight="1" x14ac:dyDescent="0.5">
      <c r="D383" s="457"/>
      <c r="E383" s="457"/>
      <c r="F383" s="457"/>
      <c r="G383" s="457"/>
      <c r="H383" s="457"/>
      <c r="I383" s="457"/>
      <c r="J383" s="457"/>
      <c r="K383" s="359"/>
      <c r="L383" s="359"/>
      <c r="M383" s="360"/>
      <c r="N383" s="360"/>
      <c r="O383" s="361"/>
      <c r="P383" s="361"/>
      <c r="Q383" s="359"/>
      <c r="R383" s="348" t="str">
        <f t="shared" si="2"/>
        <v>DELETE</v>
      </c>
    </row>
    <row r="384" spans="3:18" ht="36" customHeight="1" x14ac:dyDescent="0.5">
      <c r="D384" s="450"/>
      <c r="E384" s="450"/>
      <c r="F384" s="450"/>
      <c r="G384" s="450"/>
      <c r="H384" s="450"/>
      <c r="I384" s="450"/>
      <c r="J384" s="450"/>
      <c r="M384" s="347"/>
      <c r="O384" s="347"/>
      <c r="R384" s="348" t="str">
        <f>R385</f>
        <v>DELETE</v>
      </c>
    </row>
    <row r="385" spans="2:18" ht="36" customHeight="1" x14ac:dyDescent="0.5">
      <c r="B385" s="292"/>
      <c r="C385" s="292">
        <f>MAX(C$262:C384)+1</f>
        <v>10</v>
      </c>
      <c r="D385" s="456" t="s">
        <v>1053</v>
      </c>
      <c r="E385" s="450"/>
      <c r="F385" s="450"/>
      <c r="G385" s="450"/>
      <c r="H385" s="450"/>
      <c r="I385" s="450"/>
      <c r="J385" s="450"/>
      <c r="M385" s="347"/>
      <c r="O385" s="347"/>
      <c r="R385" s="348" t="str">
        <f>R387</f>
        <v>DELETE</v>
      </c>
    </row>
    <row r="386" spans="2:18" ht="36" customHeight="1" x14ac:dyDescent="0.5">
      <c r="B386" s="292"/>
      <c r="C386" s="292"/>
      <c r="D386" s="456"/>
      <c r="E386" s="450"/>
      <c r="F386" s="450"/>
      <c r="G386" s="450"/>
      <c r="H386" s="450"/>
      <c r="I386" s="450"/>
      <c r="J386" s="450"/>
      <c r="M386" s="347"/>
      <c r="O386" s="347"/>
      <c r="R386" s="348" t="str">
        <f>R387</f>
        <v>DELETE</v>
      </c>
    </row>
    <row r="387" spans="2:18" ht="36" customHeight="1" x14ac:dyDescent="0.5">
      <c r="B387" s="292"/>
      <c r="C387" s="352"/>
      <c r="D387" s="450" t="str">
        <f>IF(Criteria!F105="No","No provision is being made for deferred taxation as there are no temporary differences"," ")</f>
        <v xml:space="preserve"> </v>
      </c>
      <c r="E387" s="450"/>
      <c r="F387" s="450"/>
      <c r="G387" s="450"/>
      <c r="H387" s="450"/>
      <c r="I387" s="450"/>
      <c r="J387" s="450"/>
      <c r="M387" s="347"/>
      <c r="O387" s="347"/>
      <c r="R387" s="348" t="str">
        <f>IF(D387=" ","DELETE"," ")</f>
        <v>DELETE</v>
      </c>
    </row>
    <row r="388" spans="2:18" ht="36" customHeight="1" x14ac:dyDescent="0.5">
      <c r="B388" s="292"/>
      <c r="C388" s="352"/>
      <c r="D388" s="450" t="str">
        <f>IF(Criteria!F105="No","between the tax bases of assets and liabilities and their carrying values for financial"," ")</f>
        <v xml:space="preserve"> </v>
      </c>
      <c r="E388" s="450"/>
      <c r="F388" s="450"/>
      <c r="G388" s="450"/>
      <c r="H388" s="450"/>
      <c r="I388" s="450"/>
      <c r="J388" s="450"/>
      <c r="M388" s="347"/>
      <c r="O388" s="347"/>
      <c r="R388" s="348" t="str">
        <f>IF(D388=" ","DELETE"," ")</f>
        <v>DELETE</v>
      </c>
    </row>
    <row r="389" spans="2:18" ht="36" customHeight="1" x14ac:dyDescent="0.5">
      <c r="B389" s="292"/>
      <c r="C389" s="352"/>
      <c r="D389" s="450" t="str">
        <f>IF(Criteria!F105="No","reporting purposes."," ")</f>
        <v xml:space="preserve"> </v>
      </c>
      <c r="E389" s="450"/>
      <c r="F389" s="450"/>
      <c r="G389" s="450"/>
      <c r="H389" s="450"/>
      <c r="I389" s="450"/>
      <c r="J389" s="450"/>
      <c r="M389" s="347"/>
      <c r="O389" s="347"/>
      <c r="R389" s="348" t="str">
        <f>IF(D389=" ","DELETE"," ")</f>
        <v>DELETE</v>
      </c>
    </row>
    <row r="390" spans="2:18" ht="36" customHeight="1" x14ac:dyDescent="0.5">
      <c r="B390" s="292"/>
      <c r="C390" s="352"/>
      <c r="D390" s="450"/>
      <c r="E390" s="450"/>
      <c r="F390" s="450"/>
      <c r="G390" s="450"/>
      <c r="H390" s="450"/>
      <c r="I390" s="450"/>
      <c r="J390" s="450"/>
      <c r="M390" s="347"/>
      <c r="O390" s="347"/>
      <c r="R390" s="348" t="str">
        <f t="shared" ref="R390:R393" si="3">R$377</f>
        <v>DELETE</v>
      </c>
    </row>
    <row r="391" spans="2:18" ht="36" customHeight="1" x14ac:dyDescent="0.5">
      <c r="B391" s="292"/>
      <c r="C391" s="352"/>
      <c r="D391" s="450"/>
      <c r="E391" s="450"/>
      <c r="F391" s="450"/>
      <c r="G391" s="450"/>
      <c r="H391" s="450"/>
      <c r="I391" s="450"/>
      <c r="J391" s="450"/>
      <c r="M391" s="347"/>
      <c r="O391" s="347"/>
      <c r="R391" s="348" t="str">
        <f t="shared" si="3"/>
        <v>DELETE</v>
      </c>
    </row>
    <row r="392" spans="2:18" ht="36" customHeight="1" x14ac:dyDescent="0.5">
      <c r="B392" s="292"/>
      <c r="C392" s="352"/>
      <c r="D392" s="450"/>
      <c r="E392" s="450"/>
      <c r="F392" s="450"/>
      <c r="G392" s="450"/>
      <c r="H392" s="450"/>
      <c r="I392" s="450"/>
      <c r="J392" s="450"/>
      <c r="M392" s="347"/>
      <c r="O392" s="347"/>
      <c r="R392" s="348" t="str">
        <f t="shared" si="3"/>
        <v>DELETE</v>
      </c>
    </row>
    <row r="393" spans="2:18" ht="36" customHeight="1" x14ac:dyDescent="0.5">
      <c r="B393" s="292"/>
      <c r="C393" s="352"/>
      <c r="D393" s="450"/>
      <c r="E393" s="450"/>
      <c r="F393" s="450"/>
      <c r="G393" s="450"/>
      <c r="H393" s="450"/>
      <c r="I393" s="450"/>
      <c r="J393" s="450"/>
      <c r="M393" s="347"/>
      <c r="O393" s="347"/>
      <c r="R393" s="348" t="str">
        <f t="shared" si="3"/>
        <v>DELETE</v>
      </c>
    </row>
    <row r="394" spans="2:18" ht="36" customHeight="1" x14ac:dyDescent="0.5">
      <c r="B394" s="292"/>
      <c r="C394" s="352"/>
      <c r="D394" s="450"/>
      <c r="E394" s="450"/>
      <c r="F394" s="450"/>
      <c r="G394" s="450"/>
      <c r="H394" s="450"/>
      <c r="I394" s="450"/>
      <c r="J394" s="450"/>
      <c r="M394" s="347"/>
      <c r="O394" s="295" t="s">
        <v>89</v>
      </c>
      <c r="P394" s="295"/>
      <c r="Q394" s="292">
        <f>MAX($Q$105:Q393)+1</f>
        <v>8</v>
      </c>
      <c r="R394" s="348" t="str">
        <f>IF(R402="DELETE","DELETE"," ")</f>
        <v xml:space="preserve"> </v>
      </c>
    </row>
    <row r="395" spans="2:18" ht="36" customHeight="1" x14ac:dyDescent="0.5">
      <c r="B395" s="292"/>
      <c r="C395" s="352"/>
      <c r="D395" s="456" t="str">
        <f>Criteria!E9</f>
        <v>HOLDING COMPANY 268 (PROPRIETARY) LIMITED</v>
      </c>
      <c r="E395" s="450"/>
      <c r="F395" s="450"/>
      <c r="G395" s="450"/>
      <c r="H395" s="450"/>
      <c r="I395" s="450"/>
      <c r="J395" s="450"/>
      <c r="M395" s="347"/>
      <c r="O395" s="347"/>
      <c r="R395" s="348" t="str">
        <f>R$394</f>
        <v xml:space="preserve"> </v>
      </c>
    </row>
    <row r="396" spans="2:18" ht="36" customHeight="1" x14ac:dyDescent="0.5">
      <c r="B396" s="292"/>
      <c r="C396" s="352"/>
      <c r="D396" s="456" t="str">
        <f>Criteria!E10</f>
        <v>CONSOLIDATED FINANCIAL STATEMENTS</v>
      </c>
      <c r="E396" s="450"/>
      <c r="F396" s="450"/>
      <c r="G396" s="450"/>
      <c r="H396" s="450"/>
      <c r="I396" s="450"/>
      <c r="J396" s="450"/>
      <c r="M396" s="347"/>
      <c r="O396" s="347"/>
      <c r="R396" s="348" t="str">
        <f>IF(R$394="DELETE","DELETE",IF(D396=0,"DELETE"," "))</f>
        <v xml:space="preserve"> </v>
      </c>
    </row>
    <row r="397" spans="2:18" ht="36" customHeight="1" x14ac:dyDescent="0.5">
      <c r="B397" s="292"/>
      <c r="C397" s="352"/>
      <c r="D397" s="450"/>
      <c r="E397" s="450"/>
      <c r="F397" s="450"/>
      <c r="G397" s="450"/>
      <c r="H397" s="450"/>
      <c r="I397" s="450"/>
      <c r="J397" s="450"/>
      <c r="M397" s="347"/>
      <c r="O397" s="347"/>
      <c r="R397" s="348" t="str">
        <f t="shared" ref="R397:R400" si="4">R$394</f>
        <v xml:space="preserve"> </v>
      </c>
    </row>
    <row r="398" spans="2:18" ht="36" customHeight="1" x14ac:dyDescent="0.5">
      <c r="B398" s="292"/>
      <c r="C398" s="352"/>
      <c r="D398" s="456" t="str">
        <f>D258</f>
        <v>DIRECTORS' REPORT FOR THE YEAR ENDED</v>
      </c>
      <c r="E398" s="450"/>
      <c r="F398" s="450"/>
      <c r="G398" s="450"/>
      <c r="H398" s="450"/>
      <c r="I398" s="450"/>
      <c r="J398" s="450"/>
      <c r="M398" s="358"/>
      <c r="N398" s="358"/>
      <c r="O398" s="347"/>
      <c r="R398" s="348" t="str">
        <f t="shared" si="4"/>
        <v xml:space="preserve"> </v>
      </c>
    </row>
    <row r="399" spans="2:18" ht="36" customHeight="1" x14ac:dyDescent="0.5">
      <c r="B399" s="292"/>
      <c r="C399" s="352"/>
      <c r="D399" s="456" t="str">
        <f>Criteria!E20</f>
        <v>28 FEBRUARY 2025</v>
      </c>
      <c r="E399" s="450"/>
      <c r="F399" s="450"/>
      <c r="G399" s="450"/>
      <c r="H399" s="450"/>
      <c r="I399" s="450"/>
      <c r="J399" s="450" t="s">
        <v>231</v>
      </c>
      <c r="M399" s="358"/>
      <c r="N399" s="358"/>
      <c r="O399" s="347"/>
      <c r="R399" s="348" t="str">
        <f t="shared" si="4"/>
        <v xml:space="preserve"> </v>
      </c>
    </row>
    <row r="400" spans="2:18" ht="36" customHeight="1" x14ac:dyDescent="0.5">
      <c r="B400" s="292"/>
      <c r="C400" s="352"/>
      <c r="D400" s="457"/>
      <c r="E400" s="457"/>
      <c r="F400" s="457"/>
      <c r="G400" s="457"/>
      <c r="H400" s="457"/>
      <c r="I400" s="457"/>
      <c r="J400" s="457"/>
      <c r="K400" s="359"/>
      <c r="L400" s="359"/>
      <c r="M400" s="360"/>
      <c r="N400" s="360"/>
      <c r="O400" s="361"/>
      <c r="P400" s="361"/>
      <c r="Q400" s="359"/>
      <c r="R400" s="348" t="str">
        <f t="shared" si="4"/>
        <v xml:space="preserve"> </v>
      </c>
    </row>
    <row r="401" spans="3:18" ht="36" customHeight="1" x14ac:dyDescent="0.5">
      <c r="D401" s="450"/>
      <c r="E401" s="450"/>
      <c r="F401" s="450"/>
      <c r="G401" s="450"/>
      <c r="H401" s="450"/>
      <c r="I401" s="450"/>
      <c r="J401" s="450"/>
      <c r="M401" s="347"/>
      <c r="O401" s="347"/>
      <c r="R401" s="348" t="str">
        <f>R402</f>
        <v xml:space="preserve"> </v>
      </c>
    </row>
    <row r="402" spans="3:18" ht="36" customHeight="1" x14ac:dyDescent="0.5">
      <c r="C402" s="292">
        <f>MAX(C$262:C401)+1</f>
        <v>11</v>
      </c>
      <c r="D402" s="456" t="s">
        <v>1054</v>
      </c>
      <c r="E402" s="450"/>
      <c r="F402" s="450"/>
      <c r="G402" s="450"/>
      <c r="H402" s="450"/>
      <c r="I402" s="450"/>
      <c r="J402" s="450"/>
      <c r="M402" s="347"/>
      <c r="O402" s="347"/>
      <c r="R402" s="348" t="str">
        <f>R404</f>
        <v xml:space="preserve"> </v>
      </c>
    </row>
    <row r="403" spans="3:18" ht="36" customHeight="1" x14ac:dyDescent="0.5">
      <c r="C403" s="292"/>
      <c r="D403" s="456"/>
      <c r="E403" s="450"/>
      <c r="F403" s="450"/>
      <c r="G403" s="450"/>
      <c r="H403" s="450"/>
      <c r="I403" s="450"/>
      <c r="J403" s="450"/>
      <c r="M403" s="347"/>
      <c r="O403" s="347"/>
      <c r="R403" s="348" t="str">
        <f>R404</f>
        <v xml:space="preserve"> </v>
      </c>
    </row>
    <row r="404" spans="3:18" ht="36" customHeight="1" x14ac:dyDescent="0.5">
      <c r="D404" s="458" t="str">
        <f>IF(Criteria!F107="No","As the group's cash flow is comprehensively disclosed in the Statement of"," ")</f>
        <v>As the group's cash flow is comprehensively disclosed in the Statement of</v>
      </c>
      <c r="E404" s="459"/>
      <c r="F404" s="450"/>
      <c r="G404" s="450"/>
      <c r="H404" s="450"/>
      <c r="I404" s="450"/>
      <c r="J404" s="450"/>
      <c r="M404" s="347"/>
      <c r="O404" s="347"/>
      <c r="R404" s="348" t="str">
        <f>IF(D404=" ","DELETE"," ")</f>
        <v xml:space="preserve"> </v>
      </c>
    </row>
    <row r="405" spans="3:18" ht="36" customHeight="1" x14ac:dyDescent="0.5">
      <c r="D405" s="458" t="str">
        <f>IF(Criteria!F107="No","Comprehensive Income, a separate Statement of Cash Flows is considered to be of no"," ")</f>
        <v>Comprehensive Income, a separate Statement of Cash Flows is considered to be of no</v>
      </c>
      <c r="E405" s="459"/>
      <c r="F405" s="450"/>
      <c r="G405" s="450"/>
      <c r="H405" s="450"/>
      <c r="I405" s="450"/>
      <c r="J405" s="450"/>
      <c r="M405" s="347"/>
      <c r="O405" s="347"/>
      <c r="R405" s="348" t="str">
        <f>IF(D405=" ","DELETE"," ")</f>
        <v xml:space="preserve"> </v>
      </c>
    </row>
    <row r="406" spans="3:18" ht="36" customHeight="1" x14ac:dyDescent="0.5">
      <c r="D406" s="458" t="str">
        <f>IF(Criteria!F107="No","vale and is therefore not presented."," ")</f>
        <v>vale and is therefore not presented.</v>
      </c>
      <c r="E406" s="459"/>
      <c r="F406" s="450"/>
      <c r="G406" s="450"/>
      <c r="H406" s="450"/>
      <c r="I406" s="450"/>
      <c r="J406" s="450"/>
      <c r="M406" s="347"/>
      <c r="O406" s="347"/>
      <c r="R406" s="348" t="str">
        <f>IF(D406=" ","DELETE"," ")</f>
        <v xml:space="preserve"> </v>
      </c>
    </row>
    <row r="407" spans="3:18" ht="36" customHeight="1" x14ac:dyDescent="0.5">
      <c r="D407" s="450"/>
      <c r="E407" s="459"/>
      <c r="F407" s="450"/>
      <c r="G407" s="450"/>
      <c r="H407" s="450"/>
      <c r="I407" s="450"/>
      <c r="J407" s="450"/>
      <c r="M407" s="347"/>
      <c r="O407" s="347"/>
      <c r="R407" s="348" t="str">
        <f t="shared" ref="R407:R410" si="5">R$394</f>
        <v xml:space="preserve"> </v>
      </c>
    </row>
    <row r="408" spans="3:18" ht="36" customHeight="1" x14ac:dyDescent="0.5">
      <c r="D408" s="450"/>
      <c r="E408" s="459"/>
      <c r="F408" s="450"/>
      <c r="G408" s="450"/>
      <c r="H408" s="450"/>
      <c r="I408" s="450"/>
      <c r="J408" s="450"/>
      <c r="M408" s="347"/>
      <c r="O408" s="347"/>
      <c r="R408" s="348" t="str">
        <f t="shared" si="5"/>
        <v xml:space="preserve"> </v>
      </c>
    </row>
    <row r="409" spans="3:18" ht="36" customHeight="1" x14ac:dyDescent="0.5">
      <c r="D409" s="450"/>
      <c r="E409" s="450"/>
      <c r="F409" s="450"/>
      <c r="G409" s="450"/>
      <c r="H409" s="450"/>
      <c r="I409" s="450"/>
      <c r="J409" s="450"/>
      <c r="M409" s="347"/>
      <c r="O409" s="347"/>
      <c r="R409" s="348" t="str">
        <f t="shared" si="5"/>
        <v xml:space="preserve"> </v>
      </c>
    </row>
    <row r="410" spans="3:18" ht="36" customHeight="1" x14ac:dyDescent="0.5">
      <c r="D410" s="450"/>
      <c r="E410" s="450"/>
      <c r="F410" s="450"/>
      <c r="G410" s="450"/>
      <c r="H410" s="450"/>
      <c r="I410" s="450"/>
      <c r="J410" s="450"/>
      <c r="M410" s="347"/>
      <c r="O410" s="347"/>
      <c r="R410" s="348" t="str">
        <f t="shared" si="5"/>
        <v xml:space="preserve"> </v>
      </c>
    </row>
    <row r="411" spans="3:18" ht="36" customHeight="1" x14ac:dyDescent="0.45">
      <c r="M411" s="347"/>
      <c r="O411" s="295" t="s">
        <v>89</v>
      </c>
      <c r="Q411" s="292">
        <f>MAX($Q$105:Q410)+1</f>
        <v>9</v>
      </c>
    </row>
    <row r="412" spans="3:18" ht="36" customHeight="1" x14ac:dyDescent="0.5">
      <c r="C412" s="353"/>
      <c r="D412" s="433" t="str">
        <f>Criteria!E9</f>
        <v>HOLDING COMPANY 268 (PROPRIETARY) LIMITED</v>
      </c>
      <c r="E412" s="434"/>
      <c r="F412" s="434"/>
      <c r="G412" s="434"/>
      <c r="H412" s="434"/>
      <c r="I412" s="353"/>
      <c r="J412" s="353"/>
      <c r="M412" s="347"/>
      <c r="O412" s="347"/>
    </row>
    <row r="413" spans="3:18" ht="36" customHeight="1" x14ac:dyDescent="0.5">
      <c r="C413" s="353"/>
      <c r="D413" s="433" t="str">
        <f>Criteria!E10</f>
        <v>CONSOLIDATED FINANCIAL STATEMENTS</v>
      </c>
      <c r="E413" s="434"/>
      <c r="F413" s="434"/>
      <c r="G413" s="434"/>
      <c r="H413" s="434"/>
      <c r="I413" s="353"/>
      <c r="J413" s="353"/>
      <c r="M413" s="347"/>
      <c r="O413" s="347"/>
      <c r="R413" s="348" t="str">
        <f>IF(D413=0,"DELETE"," ")</f>
        <v xml:space="preserve"> </v>
      </c>
    </row>
    <row r="414" spans="3:18" ht="36" customHeight="1" x14ac:dyDescent="0.5">
      <c r="C414" s="353"/>
      <c r="D414" s="434"/>
      <c r="E414" s="434"/>
      <c r="F414" s="434"/>
      <c r="G414" s="434"/>
      <c r="H414" s="434"/>
      <c r="I414" s="353"/>
      <c r="J414" s="353"/>
      <c r="M414" s="347"/>
      <c r="O414" s="347"/>
    </row>
    <row r="415" spans="3:18" ht="36" customHeight="1" x14ac:dyDescent="0.5">
      <c r="C415" s="353"/>
      <c r="D415" s="433" t="s">
        <v>996</v>
      </c>
      <c r="E415" s="434"/>
      <c r="F415" s="434"/>
      <c r="G415" s="434"/>
      <c r="H415" s="434"/>
      <c r="I415" s="353"/>
      <c r="J415" s="353"/>
      <c r="M415" s="347"/>
      <c r="O415" s="347"/>
    </row>
    <row r="416" spans="3:18" ht="36" customHeight="1" x14ac:dyDescent="0.5">
      <c r="C416" s="353"/>
      <c r="D416" s="433" t="str">
        <f>CONCATENATE("YEAR ENDED ",Criteria!E20)</f>
        <v>YEAR ENDED 28 FEBRUARY 2025</v>
      </c>
      <c r="E416" s="434"/>
      <c r="F416" s="434"/>
      <c r="G416" s="434"/>
      <c r="H416" s="434"/>
      <c r="I416" s="353"/>
      <c r="J416" s="353"/>
      <c r="M416" s="347"/>
      <c r="O416" s="347"/>
    </row>
    <row r="417" spans="3:26" ht="36" customHeight="1" x14ac:dyDescent="0.5">
      <c r="C417" s="353"/>
      <c r="D417" s="434"/>
      <c r="E417" s="434"/>
      <c r="F417" s="434"/>
      <c r="G417" s="434"/>
      <c r="H417" s="434"/>
      <c r="I417" s="353"/>
      <c r="J417" s="353"/>
      <c r="K417" s="359"/>
      <c r="L417" s="359"/>
      <c r="M417" s="361"/>
      <c r="N417" s="361"/>
      <c r="O417" s="361"/>
    </row>
    <row r="418" spans="3:26" ht="36" customHeight="1" x14ac:dyDescent="0.5">
      <c r="C418" s="353"/>
      <c r="D418" s="444"/>
      <c r="E418" s="444"/>
      <c r="F418" s="444"/>
      <c r="G418" s="444"/>
      <c r="H418" s="444"/>
      <c r="I418" s="411"/>
      <c r="J418" s="411"/>
      <c r="K418" s="292"/>
      <c r="L418" s="292"/>
      <c r="M418" s="294"/>
      <c r="N418" s="294"/>
      <c r="O418" s="294"/>
      <c r="P418" s="301"/>
      <c r="Q418" s="364"/>
    </row>
    <row r="419" spans="3:26" ht="36" customHeight="1" x14ac:dyDescent="0.5">
      <c r="C419" s="353"/>
      <c r="D419" s="434"/>
      <c r="E419" s="434"/>
      <c r="F419" s="434"/>
      <c r="G419" s="434"/>
      <c r="H419" s="434"/>
      <c r="I419" s="353"/>
      <c r="J419" s="353"/>
      <c r="K419" s="292" t="s">
        <v>1041</v>
      </c>
      <c r="L419" s="292"/>
      <c r="M419" s="294">
        <f>Criteria!E22</f>
        <v>2025</v>
      </c>
      <c r="N419" s="294"/>
      <c r="O419" s="294">
        <f>Criteria!E27</f>
        <v>2024</v>
      </c>
      <c r="P419" s="294"/>
    </row>
    <row r="420" spans="3:26" ht="36" customHeight="1" x14ac:dyDescent="0.5">
      <c r="C420" s="353"/>
      <c r="D420" s="434"/>
      <c r="E420" s="434"/>
      <c r="F420" s="434"/>
      <c r="G420" s="434"/>
      <c r="H420" s="434"/>
      <c r="I420" s="353"/>
      <c r="J420" s="353"/>
      <c r="K420" s="292"/>
      <c r="L420" s="292"/>
      <c r="M420" s="295"/>
      <c r="N420" s="295"/>
      <c r="O420" s="295"/>
      <c r="P420" s="295"/>
    </row>
    <row r="421" spans="3:26" ht="36" customHeight="1" x14ac:dyDescent="0.5">
      <c r="C421" s="353"/>
      <c r="D421" s="434" t="s">
        <v>836</v>
      </c>
      <c r="E421" s="434"/>
      <c r="F421" s="434"/>
      <c r="G421" s="434"/>
      <c r="H421" s="434"/>
      <c r="I421" s="353"/>
      <c r="J421" s="353"/>
      <c r="K421" s="292">
        <f>B886</f>
        <v>3</v>
      </c>
      <c r="L421" s="292"/>
      <c r="M421" s="296">
        <f>-SUM(TrialBalance!L4:L11)-SUM(TrialBalanceA!I4:I11)-SUM(TrialBalanceB!I4:I11)-SUM(TrialBalanceC!I4:I11)</f>
        <v>0</v>
      </c>
      <c r="N421" s="296"/>
      <c r="O421" s="296">
        <f>-SUM(TrialBalance!N4:N11)-SUM(TrialBalanceA!K4:K11)-SUM(TrialBalanceB!K4:K11)-SUM(TrialBalanceC!K4:K11)</f>
        <v>0</v>
      </c>
      <c r="P421" s="295"/>
      <c r="S421" s="333">
        <f>M421</f>
        <v>0</v>
      </c>
      <c r="T421" s="333"/>
      <c r="U421" s="333">
        <f>O421</f>
        <v>0</v>
      </c>
      <c r="V421" s="331" t="b">
        <f>M421=M897</f>
        <v>1</v>
      </c>
      <c r="X421" s="331" t="b">
        <f>O421=O897</f>
        <v>1</v>
      </c>
    </row>
    <row r="422" spans="3:26" ht="36" customHeight="1" x14ac:dyDescent="0.5">
      <c r="C422" s="353"/>
      <c r="D422" s="434"/>
      <c r="E422" s="434"/>
      <c r="F422" s="434"/>
      <c r="G422" s="434"/>
      <c r="H422" s="434"/>
      <c r="I422" s="353"/>
      <c r="J422" s="353"/>
      <c r="K422" s="292"/>
      <c r="L422" s="292"/>
      <c r="M422" s="296"/>
      <c r="N422" s="296"/>
      <c r="O422" s="296"/>
      <c r="P422" s="295"/>
    </row>
    <row r="423" spans="3:26" ht="36" customHeight="1" x14ac:dyDescent="0.5">
      <c r="C423" s="353"/>
      <c r="D423" s="434" t="s">
        <v>1036</v>
      </c>
      <c r="E423" s="434"/>
      <c r="F423" s="434"/>
      <c r="G423" s="434"/>
      <c r="H423" s="434"/>
      <c r="I423" s="353"/>
      <c r="J423" s="353"/>
      <c r="K423" s="292"/>
      <c r="L423" s="292"/>
      <c r="M423" s="302">
        <f>-SUM(TrialBalance!L12:L26)-SUM(TrialBalanceA!I12:I26)-SUM(TrialBalanceB!I12:I26)-SUM(TrialBalanceC!I12:I26)</f>
        <v>0</v>
      </c>
      <c r="N423" s="302"/>
      <c r="O423" s="302">
        <f>-SUM(TrialBalance!N12:N26)-SUM(TrialBalanceA!K12:K26)-SUM(TrialBalanceB!K12:K26)-SUM(TrialBalanceC!K12:K26)</f>
        <v>0</v>
      </c>
      <c r="P423" s="295"/>
      <c r="R423" s="348" t="str">
        <f>IF(M423=0,IF(O423=0,"DELETE"," ")," ")</f>
        <v>DELETE</v>
      </c>
      <c r="S423" s="333">
        <f>M423</f>
        <v>0</v>
      </c>
      <c r="T423" s="333"/>
      <c r="U423" s="333">
        <f>O423</f>
        <v>0</v>
      </c>
    </row>
    <row r="424" spans="3:26" ht="9" customHeight="1" x14ac:dyDescent="0.5">
      <c r="C424" s="353"/>
      <c r="D424" s="434"/>
      <c r="E424" s="434"/>
      <c r="F424" s="434"/>
      <c r="G424" s="434"/>
      <c r="H424" s="434"/>
      <c r="I424" s="353"/>
      <c r="J424" s="353"/>
      <c r="K424" s="292"/>
      <c r="L424" s="292"/>
      <c r="M424" s="298"/>
      <c r="N424" s="298"/>
      <c r="O424" s="298"/>
      <c r="P424" s="295"/>
      <c r="R424" s="348" t="str">
        <f>R423</f>
        <v>DELETE</v>
      </c>
    </row>
    <row r="425" spans="3:26" ht="9" customHeight="1" x14ac:dyDescent="0.5">
      <c r="C425" s="353"/>
      <c r="D425" s="434"/>
      <c r="E425" s="434"/>
      <c r="F425" s="434"/>
      <c r="G425" s="434"/>
      <c r="H425" s="434"/>
      <c r="I425" s="353"/>
      <c r="J425" s="353"/>
      <c r="K425" s="292"/>
      <c r="L425" s="292"/>
      <c r="M425" s="296"/>
      <c r="N425" s="296"/>
      <c r="O425" s="296"/>
      <c r="P425" s="295"/>
      <c r="R425" s="348" t="str">
        <f>R424</f>
        <v>DELETE</v>
      </c>
    </row>
    <row r="426" spans="3:26" ht="36" customHeight="1" x14ac:dyDescent="0.5">
      <c r="C426" s="353"/>
      <c r="D426" s="443" t="str">
        <f>IF((Y426+Z426)=3,"Gross profit/(loss)",(IF((Y426+Z426=4),"Gross profit","Gross loss")))</f>
        <v>Gross profit</v>
      </c>
      <c r="E426" s="434"/>
      <c r="F426" s="434"/>
      <c r="G426" s="434"/>
      <c r="H426" s="434"/>
      <c r="I426" s="353"/>
      <c r="J426" s="428"/>
      <c r="K426" s="303"/>
      <c r="L426" s="292"/>
      <c r="M426" s="296">
        <f>SUM(S421:S423)</f>
        <v>0</v>
      </c>
      <c r="N426" s="296"/>
      <c r="O426" s="296">
        <f>SUM(U421:U423)</f>
        <v>0</v>
      </c>
      <c r="P426" s="295"/>
      <c r="R426" s="348" t="str">
        <f>R425</f>
        <v>DELETE</v>
      </c>
      <c r="Y426" s="331">
        <f>IF(M426&lt;0,1,IF(M426=0,IF(O426&lt;0,1,2),2))</f>
        <v>2</v>
      </c>
      <c r="Z426" s="331">
        <f>IF(O426&lt;0,1,IF(O426=0,IF(M426&lt;0,1,2),2))</f>
        <v>2</v>
      </c>
    </row>
    <row r="427" spans="3:26" ht="36" customHeight="1" x14ac:dyDescent="0.5">
      <c r="C427" s="353"/>
      <c r="D427" s="434"/>
      <c r="E427" s="434"/>
      <c r="F427" s="434"/>
      <c r="G427" s="434"/>
      <c r="H427" s="434"/>
      <c r="I427" s="353"/>
      <c r="J427" s="353"/>
      <c r="K427" s="292"/>
      <c r="L427" s="292"/>
      <c r="M427" s="296"/>
      <c r="N427" s="296"/>
      <c r="O427" s="296"/>
      <c r="P427" s="295"/>
      <c r="R427" s="348" t="str">
        <f>R426</f>
        <v>DELETE</v>
      </c>
    </row>
    <row r="428" spans="3:26" ht="36" customHeight="1" x14ac:dyDescent="0.5">
      <c r="C428" s="353"/>
      <c r="D428" s="434" t="s">
        <v>1037</v>
      </c>
      <c r="E428" s="434"/>
      <c r="F428" s="434"/>
      <c r="G428" s="434"/>
      <c r="H428" s="434"/>
      <c r="I428" s="353"/>
      <c r="J428" s="353"/>
      <c r="K428" s="292">
        <f>B914</f>
        <v>4</v>
      </c>
      <c r="L428" s="292"/>
      <c r="M428" s="296">
        <f>-SUM(TrialBalance!L27:L33)-SUM(TrialBalanceA!I27:I33)-SUM(TrialBalanceB!I27:I33)-SUM(TrialBalanceC!I27:I33)</f>
        <v>0</v>
      </c>
      <c r="N428" s="296"/>
      <c r="O428" s="296">
        <f>-SUM(TrialBalance!N27:N33)-SUM(TrialBalanceA!K27:K33)-SUM(TrialBalanceB!K27:K33)-SUM(TrialBalanceC!K27:K33)</f>
        <v>0</v>
      </c>
      <c r="P428" s="295"/>
      <c r="R428" s="348" t="str">
        <f>IF(M428=0,IF(O428=0,"DELETE"," ")," ")</f>
        <v>DELETE</v>
      </c>
      <c r="S428" s="333">
        <f>M428</f>
        <v>0</v>
      </c>
      <c r="T428" s="333"/>
      <c r="U428" s="333">
        <f>O428</f>
        <v>0</v>
      </c>
      <c r="V428" s="331" t="b">
        <f>M428=M942</f>
        <v>1</v>
      </c>
      <c r="X428" s="331" t="b">
        <f>O428=O942</f>
        <v>1</v>
      </c>
    </row>
    <row r="429" spans="3:26" ht="36" customHeight="1" x14ac:dyDescent="0.5">
      <c r="C429" s="353"/>
      <c r="D429" s="434"/>
      <c r="E429" s="434"/>
      <c r="F429" s="434"/>
      <c r="G429" s="434"/>
      <c r="H429" s="434"/>
      <c r="I429" s="353"/>
      <c r="J429" s="353"/>
      <c r="K429" s="292"/>
      <c r="L429" s="292"/>
      <c r="M429" s="296"/>
      <c r="N429" s="296"/>
      <c r="O429" s="296"/>
      <c r="P429" s="295"/>
      <c r="R429" s="348" t="str">
        <f>R428</f>
        <v>DELETE</v>
      </c>
    </row>
    <row r="430" spans="3:26" ht="36" customHeight="1" x14ac:dyDescent="0.5">
      <c r="C430" s="353"/>
      <c r="D430" s="434" t="s">
        <v>1038</v>
      </c>
      <c r="E430" s="434"/>
      <c r="F430" s="434"/>
      <c r="G430" s="434"/>
      <c r="H430" s="434"/>
      <c r="I430" s="353"/>
      <c r="J430" s="353"/>
      <c r="K430" s="292"/>
      <c r="L430" s="292"/>
      <c r="M430" s="300">
        <f>-SUM(TrialBalance!L39:L82)-SUM(TrialBalanceA!I39:I82)-SUM(TrialBalanceB!I39:I82)-SUM(TrialBalanceC!I39:I82)</f>
        <v>0</v>
      </c>
      <c r="N430" s="300"/>
      <c r="O430" s="300">
        <f>-SUM(TrialBalance!N39:N82)-SUM(TrialBalanceA!K39:K82)-SUM(TrialBalanceB!K39:K82)-SUM(TrialBalanceC!K39:K82)</f>
        <v>0</v>
      </c>
      <c r="P430" s="295"/>
      <c r="R430" s="348" t="str">
        <f>IF(M430=0,IF(O430=0,"DELETE"," ")," ")</f>
        <v>DELETE</v>
      </c>
      <c r="S430" s="333">
        <f>M430</f>
        <v>0</v>
      </c>
      <c r="T430" s="333"/>
      <c r="U430" s="333">
        <f>O430</f>
        <v>0</v>
      </c>
    </row>
    <row r="431" spans="3:26" ht="36" customHeight="1" x14ac:dyDescent="0.5">
      <c r="C431" s="353"/>
      <c r="D431" s="434"/>
      <c r="E431" s="434"/>
      <c r="F431" s="434"/>
      <c r="G431" s="434"/>
      <c r="H431" s="434"/>
      <c r="I431" s="353"/>
      <c r="J431" s="353"/>
      <c r="K431" s="292"/>
      <c r="L431" s="292"/>
      <c r="M431" s="296"/>
      <c r="N431" s="296"/>
      <c r="O431" s="296"/>
      <c r="P431" s="295"/>
      <c r="R431" s="348" t="str">
        <f>R430</f>
        <v>DELETE</v>
      </c>
    </row>
    <row r="432" spans="3:26" ht="36" customHeight="1" x14ac:dyDescent="0.5">
      <c r="C432" s="353"/>
      <c r="D432" s="434" t="s">
        <v>1039</v>
      </c>
      <c r="E432" s="434"/>
      <c r="F432" s="434"/>
      <c r="G432" s="434"/>
      <c r="H432" s="434"/>
      <c r="I432" s="353"/>
      <c r="J432" s="353"/>
      <c r="K432" s="292"/>
      <c r="L432" s="292"/>
      <c r="M432" s="300">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N432" s="300"/>
      <c r="O432" s="300">
        <f>-SUM(TrialBalance!N98:N141)-SUM(TrialBalance!N156:N156)-IF(TrialBalance!N94&lt;0,0,TrialBalance!N94)-SUM(TrialBalanceA!K98:K141)-SUM(TrialBalanceA!K156:K156)-IF(TrialBalanceA!K94&lt;0,0,TrialBalanceA!K94)-SUM(TrialBalanceB!K98:K141)-SUM(TrialBalanceB!K156:K156)-IF(TrialBalanceB!K94&lt;0,0,TrialBalanceB!K94)-SUM(TrialBalanceC!K98:K141)-SUM(TrialBalanceC!K156:K156)-IF(TrialBalanceC!K94&lt;0,0,TrialBalanceC!K94)</f>
        <v>0</v>
      </c>
      <c r="P432" s="295"/>
      <c r="R432" s="348" t="str">
        <f>IF(M432=0,IF(O432=0,"DELETE"," ")," ")</f>
        <v>DELETE</v>
      </c>
      <c r="S432" s="333">
        <f>M432</f>
        <v>0</v>
      </c>
      <c r="T432" s="333"/>
      <c r="U432" s="333">
        <f>O432</f>
        <v>0</v>
      </c>
    </row>
    <row r="433" spans="3:28" ht="36" customHeight="1" x14ac:dyDescent="0.5">
      <c r="C433" s="353"/>
      <c r="D433" s="434"/>
      <c r="E433" s="434"/>
      <c r="F433" s="434"/>
      <c r="G433" s="434"/>
      <c r="H433" s="434"/>
      <c r="I433" s="353"/>
      <c r="J433" s="353"/>
      <c r="K433" s="292"/>
      <c r="L433" s="292"/>
      <c r="M433" s="296"/>
      <c r="N433" s="296"/>
      <c r="O433" s="296"/>
      <c r="P433" s="295"/>
      <c r="R433" s="348" t="str">
        <f>R432</f>
        <v>DELETE</v>
      </c>
    </row>
    <row r="434" spans="3:28" ht="9" customHeight="1" x14ac:dyDescent="0.5">
      <c r="C434" s="353"/>
      <c r="D434" s="434"/>
      <c r="E434" s="434"/>
      <c r="F434" s="434"/>
      <c r="G434" s="434"/>
      <c r="H434" s="434"/>
      <c r="I434" s="353"/>
      <c r="J434" s="353"/>
      <c r="K434" s="292"/>
      <c r="L434" s="292"/>
      <c r="M434" s="298"/>
      <c r="N434" s="298"/>
      <c r="O434" s="298"/>
      <c r="P434" s="295"/>
      <c r="R434" s="348" t="str">
        <f>R436</f>
        <v>DELETE</v>
      </c>
    </row>
    <row r="435" spans="3:28" ht="9" customHeight="1" x14ac:dyDescent="0.5">
      <c r="C435" s="353"/>
      <c r="D435" s="434"/>
      <c r="E435" s="434"/>
      <c r="F435" s="434"/>
      <c r="G435" s="434"/>
      <c r="H435" s="434"/>
      <c r="I435" s="353"/>
      <c r="J435" s="353"/>
      <c r="K435" s="292"/>
      <c r="L435" s="292"/>
      <c r="M435" s="296"/>
      <c r="N435" s="296"/>
      <c r="O435" s="296"/>
      <c r="P435" s="295"/>
      <c r="R435" s="348" t="str">
        <f>R436</f>
        <v>DELETE</v>
      </c>
    </row>
    <row r="436" spans="3:28" ht="36" customHeight="1" x14ac:dyDescent="0.5">
      <c r="C436" s="353"/>
      <c r="D436" s="443" t="str">
        <f>IF((Y436+Z436)=3,"Operating profit/(loss)",(IF((Y436+Z436=4),"Operating profit","Operating loss")))</f>
        <v>Operating profit</v>
      </c>
      <c r="E436" s="434"/>
      <c r="F436" s="434"/>
      <c r="G436" s="434"/>
      <c r="H436" s="434"/>
      <c r="I436" s="353"/>
      <c r="J436" s="353"/>
      <c r="K436" s="292">
        <f>B958</f>
        <v>5</v>
      </c>
      <c r="L436" s="292"/>
      <c r="M436" s="296">
        <f>SUM(S421:S433)</f>
        <v>0</v>
      </c>
      <c r="N436" s="296"/>
      <c r="O436" s="296">
        <f>SUM(U421:U433)</f>
        <v>0</v>
      </c>
      <c r="P436" s="295"/>
      <c r="R436" s="348" t="str">
        <f>IF(M436=0,IF(O436=0,"DELETE"," ")," ")</f>
        <v>DELETE</v>
      </c>
      <c r="Y436" s="331">
        <f>IF(M436&lt;0,1,IF(M436=0,IF(O436&lt;0,1,2),2))</f>
        <v>2</v>
      </c>
      <c r="Z436" s="331">
        <f>IF(O436&lt;0,1,IF(O436=0,IF(M436&lt;0,1,2),2))</f>
        <v>2</v>
      </c>
      <c r="AB436" s="365"/>
    </row>
    <row r="437" spans="3:28" ht="36" customHeight="1" x14ac:dyDescent="0.5">
      <c r="C437" s="353"/>
      <c r="D437" s="434"/>
      <c r="E437" s="434"/>
      <c r="F437" s="434"/>
      <c r="G437" s="434"/>
      <c r="H437" s="434"/>
      <c r="I437" s="353"/>
      <c r="J437" s="353"/>
      <c r="K437" s="292"/>
      <c r="L437" s="292"/>
      <c r="M437" s="296"/>
      <c r="N437" s="296"/>
      <c r="O437" s="296"/>
      <c r="P437" s="295"/>
      <c r="R437" s="348" t="str">
        <f>R436</f>
        <v>DELETE</v>
      </c>
    </row>
    <row r="438" spans="3:28" ht="36" customHeight="1" x14ac:dyDescent="0.5">
      <c r="C438" s="353"/>
      <c r="D438" s="434" t="s">
        <v>191</v>
      </c>
      <c r="E438" s="434"/>
      <c r="F438" s="434"/>
      <c r="G438" s="434"/>
      <c r="H438" s="434"/>
      <c r="I438" s="353"/>
      <c r="J438" s="353"/>
      <c r="K438" s="292">
        <f>B1072</f>
        <v>6</v>
      </c>
      <c r="L438" s="292"/>
      <c r="M438" s="296">
        <f>-SUM(TrialBalance!L83:L93)-SUM(TrialBalance!L95:L97)+IF(TrialBalance!L94&lt;0,-TrialBalance!L94,0)-SUM(TrialBalanceA!I83:I93)-SUM(TrialBalanceA!I95:I97)+IF(TrialBalanceA!I94&lt;0,-TrialBalanceA!I94,0)-SUM(TrialBalanceB!I83:I93)-SUM(TrialBalanceB!I95:I97)+IF(TrialBalanceB!I94&lt;0,-TrialBalanceB!I94,0)-SUM(TrialBalanceC!I83:I93)-SUM(TrialBalanceC!I95:I97)+IF(TrialBalanceC!I94&lt;0,-TrialBalanceC!I94,0)</f>
        <v>0</v>
      </c>
      <c r="N438" s="296"/>
      <c r="O438" s="296">
        <f>-SUM(TrialBalance!N83:N93)-SUM(TrialBalance!N95:N97)+IF(TrialBalance!N94&lt;0,-TrialBalance!N94,0)-SUM(TrialBalanceA!K83:K93)-SUM(TrialBalanceA!K95:K97)+IF(TrialBalanceA!K94&lt;0,-TrialBalanceA!K94,0)-SUM(TrialBalanceB!K83:K93)-SUM(TrialBalanceB!K95:K97)+IF(TrialBalanceB!K94&lt;0,-TrialBalanceB!K94,0)-SUM(TrialBalanceC!K83:K93)-SUM(TrialBalanceC!K95:K97)+IF(TrialBalanceC!K94&lt;0,-TrialBalanceC!K94,0)</f>
        <v>0</v>
      </c>
      <c r="P438" s="295"/>
      <c r="R438" s="348" t="str">
        <f>IF(M438=0,IF(O438=0,"DELETE"," ")," ")</f>
        <v>DELETE</v>
      </c>
      <c r="S438" s="333">
        <f>M438</f>
        <v>0</v>
      </c>
      <c r="T438" s="333"/>
      <c r="U438" s="333">
        <f>O438</f>
        <v>0</v>
      </c>
      <c r="V438" s="331" t="b">
        <f>M438=M1115</f>
        <v>1</v>
      </c>
      <c r="X438" s="331" t="b">
        <f>O438=O1115</f>
        <v>1</v>
      </c>
    </row>
    <row r="439" spans="3:28" ht="36" customHeight="1" x14ac:dyDescent="0.5">
      <c r="C439" s="353"/>
      <c r="D439" s="434"/>
      <c r="E439" s="434"/>
      <c r="F439" s="434"/>
      <c r="G439" s="434"/>
      <c r="H439" s="434"/>
      <c r="I439" s="353"/>
      <c r="J439" s="353"/>
      <c r="K439" s="292"/>
      <c r="L439" s="292"/>
      <c r="M439" s="296"/>
      <c r="N439" s="296"/>
      <c r="O439" s="296"/>
      <c r="P439" s="295"/>
      <c r="R439" s="348" t="str">
        <f>R438</f>
        <v>DELETE</v>
      </c>
    </row>
    <row r="440" spans="3:28" ht="36" customHeight="1" x14ac:dyDescent="0.5">
      <c r="C440" s="353"/>
      <c r="D440" s="434" t="s">
        <v>1040</v>
      </c>
      <c r="E440" s="434"/>
      <c r="F440" s="434"/>
      <c r="G440" s="434"/>
      <c r="H440" s="434"/>
      <c r="I440" s="353"/>
      <c r="J440" s="353"/>
      <c r="K440" s="292">
        <f>B1132</f>
        <v>7</v>
      </c>
      <c r="L440" s="292"/>
      <c r="M440" s="300">
        <f>-SUM(TrialBalance!L142:L154)-SUM(TrialBalanceA!I142:I154)-SUM(TrialBalanceB!I142:I154)-SUM(TrialBalanceC!I142:I154)</f>
        <v>0</v>
      </c>
      <c r="N440" s="300"/>
      <c r="O440" s="300">
        <f>-SUM(TrialBalance!N142:N154)-SUM(TrialBalanceA!K142:K154)-SUM(TrialBalanceB!K142:K154)-SUM(TrialBalanceC!K142:K154)</f>
        <v>0</v>
      </c>
      <c r="P440" s="295"/>
      <c r="R440" s="348" t="str">
        <f>IF(M440=0,IF(O440=0,"DELETE"," ")," ")</f>
        <v>DELETE</v>
      </c>
      <c r="S440" s="333">
        <f>M440</f>
        <v>0</v>
      </c>
      <c r="T440" s="333"/>
      <c r="U440" s="333">
        <f>O440</f>
        <v>0</v>
      </c>
      <c r="V440" s="331" t="b">
        <f>-M440=M1180</f>
        <v>1</v>
      </c>
      <c r="X440" s="331" t="b">
        <f>-O440=O1180</f>
        <v>1</v>
      </c>
    </row>
    <row r="441" spans="3:28" ht="36" customHeight="1" x14ac:dyDescent="0.5">
      <c r="C441" s="353"/>
      <c r="D441" s="434"/>
      <c r="E441" s="434"/>
      <c r="F441" s="434"/>
      <c r="G441" s="434"/>
      <c r="H441" s="434"/>
      <c r="I441" s="353"/>
      <c r="J441" s="353"/>
      <c r="K441" s="292"/>
      <c r="L441" s="292"/>
      <c r="M441" s="296"/>
      <c r="N441" s="296"/>
      <c r="O441" s="296"/>
      <c r="P441" s="295"/>
      <c r="R441" s="348" t="str">
        <f>R440</f>
        <v>DELETE</v>
      </c>
    </row>
    <row r="442" spans="3:28" ht="9" customHeight="1" x14ac:dyDescent="0.5">
      <c r="C442" s="353"/>
      <c r="D442" s="434"/>
      <c r="E442" s="434"/>
      <c r="F442" s="434"/>
      <c r="G442" s="434"/>
      <c r="H442" s="434"/>
      <c r="I442" s="353"/>
      <c r="J442" s="353"/>
      <c r="K442" s="292"/>
      <c r="L442" s="292"/>
      <c r="M442" s="298"/>
      <c r="N442" s="298"/>
      <c r="O442" s="298"/>
      <c r="P442" s="295"/>
    </row>
    <row r="443" spans="3:28" ht="9" customHeight="1" x14ac:dyDescent="0.5">
      <c r="C443" s="353"/>
      <c r="D443" s="434"/>
      <c r="E443" s="434"/>
      <c r="F443" s="434"/>
      <c r="G443" s="434"/>
      <c r="H443" s="434"/>
      <c r="I443" s="353"/>
      <c r="J443" s="353"/>
      <c r="K443" s="292"/>
      <c r="L443" s="292"/>
      <c r="M443" s="296"/>
      <c r="N443" s="296"/>
      <c r="O443" s="296"/>
      <c r="P443" s="295"/>
    </row>
    <row r="444" spans="3:28" ht="36" customHeight="1" x14ac:dyDescent="0.5">
      <c r="C444" s="353"/>
      <c r="D444" s="443" t="str">
        <f>IF((Y444+Z444)=3,"Net profit/(loss) before taxation",(IF((Y444+Z444=4),"Net profit before taxation","Net loss before taxation")))</f>
        <v>Net profit before taxation</v>
      </c>
      <c r="E444" s="434"/>
      <c r="F444" s="434"/>
      <c r="G444" s="434"/>
      <c r="H444" s="434"/>
      <c r="I444" s="353"/>
      <c r="J444" s="353"/>
      <c r="K444" s="292"/>
      <c r="L444" s="292"/>
      <c r="M444" s="296">
        <f>SUM(S421:S441)</f>
        <v>0</v>
      </c>
      <c r="N444" s="296"/>
      <c r="O444" s="296">
        <f>SUM(U421:U441)</f>
        <v>0</v>
      </c>
      <c r="P444" s="295"/>
      <c r="Y444" s="331">
        <f>IF(M444&lt;0,1,IF(M444=0,IF(O444&lt;0,1,2),2))</f>
        <v>2</v>
      </c>
      <c r="Z444" s="331">
        <f>IF(O444&lt;0,1,IF(O444=0,IF(M444&lt;0,1,2),2))</f>
        <v>2</v>
      </c>
    </row>
    <row r="445" spans="3:28" ht="36" customHeight="1" x14ac:dyDescent="0.5">
      <c r="C445" s="353"/>
      <c r="D445" s="434"/>
      <c r="E445" s="434"/>
      <c r="F445" s="434"/>
      <c r="G445" s="434"/>
      <c r="H445" s="434"/>
      <c r="I445" s="353"/>
      <c r="J445" s="353"/>
      <c r="K445" s="292"/>
      <c r="L445" s="292"/>
      <c r="M445" s="296"/>
      <c r="N445" s="296"/>
      <c r="O445" s="296"/>
      <c r="P445" s="295"/>
    </row>
    <row r="446" spans="3:28" ht="36" customHeight="1" x14ac:dyDescent="0.5">
      <c r="C446" s="353"/>
      <c r="D446" s="434" t="s">
        <v>762</v>
      </c>
      <c r="E446" s="434"/>
      <c r="F446" s="434"/>
      <c r="G446" s="434"/>
      <c r="H446" s="434"/>
      <c r="I446" s="353"/>
      <c r="J446" s="353"/>
      <c r="K446" s="292"/>
      <c r="L446" s="292"/>
      <c r="M446" s="300">
        <f>-SUM(TrialBalance!L157:L163)</f>
        <v>0</v>
      </c>
      <c r="N446" s="300"/>
      <c r="O446" s="300">
        <f>-SUM(TrialBalance!N157:N163)</f>
        <v>0</v>
      </c>
      <c r="P446" s="295"/>
    </row>
    <row r="447" spans="3:28" ht="9" customHeight="1" x14ac:dyDescent="0.5">
      <c r="C447" s="353"/>
      <c r="D447" s="434"/>
      <c r="E447" s="434"/>
      <c r="F447" s="434"/>
      <c r="G447" s="434"/>
      <c r="H447" s="434"/>
      <c r="I447" s="353"/>
      <c r="J447" s="353"/>
      <c r="K447" s="292"/>
      <c r="L447" s="292"/>
      <c r="M447" s="298"/>
      <c r="N447" s="298"/>
      <c r="O447" s="298"/>
      <c r="P447" s="295"/>
      <c r="V447" s="334"/>
      <c r="W447" s="334"/>
      <c r="X447" s="334"/>
    </row>
    <row r="448" spans="3:28" ht="9" customHeight="1" x14ac:dyDescent="0.5">
      <c r="C448" s="353"/>
      <c r="D448" s="434"/>
      <c r="E448" s="434"/>
      <c r="F448" s="434"/>
      <c r="G448" s="434"/>
      <c r="H448" s="434"/>
      <c r="I448" s="353"/>
      <c r="J448" s="353"/>
      <c r="K448" s="292"/>
      <c r="L448" s="292"/>
      <c r="M448" s="296"/>
      <c r="N448" s="296"/>
      <c r="O448" s="296"/>
      <c r="P448" s="295"/>
    </row>
    <row r="449" spans="3:26" ht="36.75" customHeight="1" x14ac:dyDescent="0.5">
      <c r="C449" s="353"/>
      <c r="D449" s="443" t="str">
        <f>IF((Y449+Z449)=3,"Net profit/(loss) for the year after taxation",(IF((Y449+Z449=4),"Net profit for the year after taxation","Net loss for the year after taxation")))</f>
        <v>Net profit for the year after taxation</v>
      </c>
      <c r="E449" s="434"/>
      <c r="F449" s="434"/>
      <c r="G449" s="434"/>
      <c r="H449" s="434"/>
      <c r="I449" s="353"/>
      <c r="J449" s="353"/>
      <c r="K449" s="292"/>
      <c r="L449" s="292"/>
      <c r="M449" s="296">
        <f>SUM(M444:M447)</f>
        <v>0</v>
      </c>
      <c r="N449" s="296"/>
      <c r="O449" s="296">
        <f>SUM(O444:O447)</f>
        <v>0</v>
      </c>
      <c r="P449" s="295"/>
      <c r="V449" s="331" t="b">
        <f>M449=-SUM(TrialBalance!L5:L33)-SUM(TrialBalance!L39:L163)-SUM(TrialBalanceA!I5:I156)-SUM(TrialBalanceB!I5:I156)-SUM(TrialBalanceC!I5:I156)</f>
        <v>1</v>
      </c>
      <c r="X449" s="331" t="b">
        <f>O449=-SUM(TrialBalance!N5:N33)-SUM(TrialBalance!N39:N163)-SUM(TrialBalanceA!K5:K156)-SUM(TrialBalanceB!K5:K156)-SUM(TrialBalanceC!K5:K156)</f>
        <v>1</v>
      </c>
      <c r="Y449" s="331">
        <f>IF(M449&lt;0,1,IF(M449=0,IF(O449&lt;0,1,2),2))</f>
        <v>2</v>
      </c>
      <c r="Z449" s="331">
        <f>IF(O449&lt;0,1,IF(O449=0,IF(M449&lt;0,1,2),2))</f>
        <v>2</v>
      </c>
    </row>
    <row r="450" spans="3:26" ht="9" customHeight="1" thickBot="1" x14ac:dyDescent="0.55000000000000004">
      <c r="C450" s="353"/>
      <c r="D450" s="434"/>
      <c r="E450" s="434"/>
      <c r="F450" s="434"/>
      <c r="G450" s="434"/>
      <c r="H450" s="434"/>
      <c r="I450" s="353"/>
      <c r="J450" s="353"/>
      <c r="K450" s="292"/>
      <c r="L450" s="292"/>
      <c r="M450" s="299"/>
      <c r="N450" s="299"/>
      <c r="O450" s="299"/>
      <c r="P450" s="295"/>
    </row>
    <row r="451" spans="3:26" ht="9" customHeight="1" thickTop="1" x14ac:dyDescent="0.5">
      <c r="C451" s="353"/>
      <c r="D451" s="434"/>
      <c r="E451" s="434"/>
      <c r="F451" s="434"/>
      <c r="G451" s="434"/>
      <c r="H451" s="434"/>
      <c r="I451" s="353"/>
      <c r="J451" s="353"/>
      <c r="K451" s="292"/>
      <c r="L451" s="292"/>
      <c r="M451" s="296"/>
      <c r="N451" s="296"/>
      <c r="O451" s="296"/>
      <c r="P451" s="295"/>
    </row>
    <row r="452" spans="3:26" ht="36" customHeight="1" x14ac:dyDescent="0.5">
      <c r="C452" s="353"/>
      <c r="D452" s="434"/>
      <c r="E452" s="434"/>
      <c r="F452" s="434"/>
      <c r="G452" s="434"/>
      <c r="H452" s="434"/>
      <c r="I452" s="353"/>
      <c r="J452" s="353"/>
      <c r="K452" s="292"/>
      <c r="L452" s="292"/>
      <c r="M452" s="295"/>
      <c r="N452" s="295"/>
      <c r="O452" s="295"/>
      <c r="P452" s="295"/>
      <c r="V452" s="331" t="b">
        <f>M449=M2477</f>
        <v>1</v>
      </c>
      <c r="X452" s="331" t="b">
        <f>O449=O2477</f>
        <v>1</v>
      </c>
    </row>
    <row r="453" spans="3:26" ht="36" customHeight="1" x14ac:dyDescent="0.5">
      <c r="C453" s="353"/>
      <c r="D453" s="434"/>
      <c r="E453" s="434"/>
      <c r="F453" s="434"/>
      <c r="G453" s="434"/>
      <c r="H453" s="434"/>
      <c r="I453" s="353"/>
      <c r="J453" s="353"/>
      <c r="K453" s="292"/>
      <c r="L453" s="292"/>
      <c r="M453" s="295"/>
      <c r="N453" s="295"/>
      <c r="O453" s="295"/>
      <c r="P453" s="295"/>
    </row>
    <row r="454" spans="3:26" ht="36" customHeight="1" x14ac:dyDescent="0.5">
      <c r="C454" s="353"/>
      <c r="D454" s="434"/>
      <c r="E454" s="434"/>
      <c r="F454" s="434"/>
      <c r="G454" s="434"/>
      <c r="H454" s="434"/>
      <c r="I454" s="353"/>
      <c r="J454" s="353"/>
      <c r="K454" s="292"/>
      <c r="L454" s="292"/>
      <c r="M454" s="295"/>
      <c r="N454" s="295"/>
      <c r="O454" s="295"/>
      <c r="P454" s="295"/>
    </row>
    <row r="455" spans="3:26" ht="36" customHeight="1" x14ac:dyDescent="0.5">
      <c r="C455" s="353"/>
      <c r="D455" s="434"/>
      <c r="E455" s="434"/>
      <c r="F455" s="434"/>
      <c r="G455" s="434"/>
      <c r="H455" s="434"/>
      <c r="I455" s="353"/>
      <c r="J455" s="353"/>
      <c r="K455" s="292"/>
      <c r="L455" s="292"/>
      <c r="M455" s="295"/>
      <c r="N455" s="295"/>
      <c r="O455" s="295"/>
      <c r="P455" s="295"/>
    </row>
    <row r="456" spans="3:26" ht="36" customHeight="1" x14ac:dyDescent="0.5">
      <c r="C456" s="353"/>
      <c r="D456" s="434"/>
      <c r="E456" s="434"/>
      <c r="F456" s="434"/>
      <c r="G456" s="434"/>
      <c r="H456" s="434"/>
      <c r="I456" s="353"/>
      <c r="J456" s="353"/>
      <c r="K456" s="292"/>
      <c r="L456" s="292"/>
      <c r="M456" s="295"/>
      <c r="N456" s="295"/>
      <c r="O456" s="295"/>
      <c r="P456" s="295"/>
    </row>
    <row r="457" spans="3:26" ht="36" customHeight="1" x14ac:dyDescent="0.5">
      <c r="C457" s="353"/>
      <c r="D457" s="434"/>
      <c r="E457" s="434"/>
      <c r="F457" s="434"/>
      <c r="G457" s="434"/>
      <c r="H457" s="434"/>
      <c r="I457" s="353"/>
      <c r="J457" s="353"/>
      <c r="K457" s="292"/>
      <c r="L457" s="292"/>
      <c r="M457" s="295"/>
      <c r="N457" s="295"/>
      <c r="O457" s="295"/>
      <c r="P457" s="295"/>
    </row>
    <row r="458" spans="3:26" ht="36" customHeight="1" x14ac:dyDescent="0.5">
      <c r="C458" s="353"/>
      <c r="D458" s="434"/>
      <c r="E458" s="434"/>
      <c r="F458" s="434"/>
      <c r="G458" s="434"/>
      <c r="H458" s="434"/>
      <c r="I458" s="353"/>
      <c r="J458" s="353"/>
      <c r="K458" s="292"/>
      <c r="L458" s="292"/>
      <c r="M458" s="295"/>
      <c r="N458" s="295"/>
      <c r="O458" s="295"/>
      <c r="P458" s="295"/>
    </row>
    <row r="459" spans="3:26" ht="36" customHeight="1" x14ac:dyDescent="0.5">
      <c r="C459" s="353"/>
      <c r="D459" s="434"/>
      <c r="E459" s="434"/>
      <c r="F459" s="434"/>
      <c r="G459" s="434"/>
      <c r="H459" s="434"/>
      <c r="I459" s="353"/>
      <c r="J459" s="353"/>
      <c r="K459" s="292"/>
      <c r="L459" s="292"/>
      <c r="M459" s="295"/>
      <c r="N459" s="295"/>
      <c r="O459" s="295"/>
      <c r="P459" s="295"/>
    </row>
    <row r="460" spans="3:26" ht="36" customHeight="1" x14ac:dyDescent="0.5">
      <c r="C460" s="353"/>
      <c r="D460" s="434"/>
      <c r="E460" s="434"/>
      <c r="F460" s="434"/>
      <c r="G460" s="434"/>
      <c r="H460" s="434"/>
      <c r="I460" s="353"/>
      <c r="J460" s="353"/>
      <c r="K460" s="292"/>
      <c r="L460" s="292"/>
      <c r="M460" s="295"/>
      <c r="N460" s="295"/>
      <c r="O460" s="295"/>
      <c r="P460" s="295"/>
    </row>
    <row r="461" spans="3:26" ht="36" customHeight="1" x14ac:dyDescent="0.5">
      <c r="C461" s="353"/>
      <c r="D461" s="434"/>
      <c r="E461" s="434"/>
      <c r="F461" s="434"/>
      <c r="G461" s="434"/>
      <c r="H461" s="434"/>
      <c r="I461" s="353"/>
      <c r="J461" s="353"/>
      <c r="K461" s="292"/>
      <c r="L461" s="292"/>
      <c r="M461" s="295"/>
      <c r="N461" s="295"/>
      <c r="O461" s="295"/>
      <c r="P461" s="295"/>
    </row>
    <row r="462" spans="3:26" ht="36" customHeight="1" x14ac:dyDescent="0.5">
      <c r="C462" s="353"/>
      <c r="D462" s="434"/>
      <c r="E462" s="434"/>
      <c r="F462" s="434"/>
      <c r="G462" s="434"/>
      <c r="H462" s="434"/>
      <c r="I462" s="353"/>
      <c r="J462" s="353"/>
      <c r="K462" s="292"/>
      <c r="L462" s="292"/>
      <c r="M462" s="330"/>
      <c r="N462" s="330"/>
      <c r="O462" s="330"/>
      <c r="P462" s="330"/>
    </row>
    <row r="463" spans="3:26" ht="36" customHeight="1" x14ac:dyDescent="0.5">
      <c r="C463" s="353"/>
      <c r="D463" s="434"/>
      <c r="E463" s="434"/>
      <c r="F463" s="434"/>
      <c r="G463" s="434"/>
      <c r="H463" s="434"/>
      <c r="I463" s="353"/>
      <c r="J463" s="353"/>
      <c r="M463" s="347"/>
      <c r="O463" s="347"/>
    </row>
    <row r="464" spans="3:26" ht="36" customHeight="1" x14ac:dyDescent="0.5">
      <c r="C464" s="353"/>
      <c r="D464" s="353"/>
      <c r="E464" s="353"/>
      <c r="F464" s="353"/>
      <c r="G464" s="353"/>
      <c r="H464" s="353"/>
      <c r="I464" s="353"/>
      <c r="J464" s="353"/>
      <c r="M464" s="347"/>
      <c r="O464" s="295" t="s">
        <v>89</v>
      </c>
      <c r="Q464" s="292">
        <f>MAX($Q$105:Q463)+1</f>
        <v>10</v>
      </c>
    </row>
    <row r="465" spans="3:27" ht="36" customHeight="1" x14ac:dyDescent="0.5">
      <c r="C465" s="353"/>
      <c r="D465" s="433" t="str">
        <f>Criteria!E9</f>
        <v>HOLDING COMPANY 268 (PROPRIETARY) LIMITED</v>
      </c>
      <c r="E465" s="434"/>
      <c r="F465" s="434"/>
      <c r="G465" s="434"/>
      <c r="H465" s="434"/>
      <c r="I465" s="353"/>
      <c r="J465" s="353"/>
      <c r="M465" s="347"/>
      <c r="O465" s="347"/>
      <c r="S465" s="335"/>
      <c r="T465" s="335"/>
      <c r="U465" s="335"/>
      <c r="V465" s="335"/>
      <c r="W465" s="335"/>
      <c r="X465" s="335"/>
    </row>
    <row r="466" spans="3:27" ht="36" customHeight="1" x14ac:dyDescent="0.5">
      <c r="C466" s="353"/>
      <c r="D466" s="433" t="str">
        <f>Criteria!E10</f>
        <v>CONSOLIDATED FINANCIAL STATEMENTS</v>
      </c>
      <c r="E466" s="434"/>
      <c r="F466" s="434"/>
      <c r="G466" s="434"/>
      <c r="H466" s="434"/>
      <c r="I466" s="353"/>
      <c r="J466" s="353"/>
      <c r="M466" s="347"/>
      <c r="O466" s="347"/>
      <c r="R466" s="348" t="str">
        <f>IF(D466=0,"DELETE"," ")</f>
        <v xml:space="preserve"> </v>
      </c>
      <c r="S466" s="335"/>
      <c r="T466" s="335"/>
      <c r="U466" s="335"/>
      <c r="V466" s="335"/>
      <c r="W466" s="335"/>
      <c r="X466" s="335"/>
    </row>
    <row r="467" spans="3:27" ht="36" customHeight="1" x14ac:dyDescent="0.5">
      <c r="C467" s="353"/>
      <c r="D467" s="434"/>
      <c r="E467" s="434"/>
      <c r="F467" s="434"/>
      <c r="G467" s="434"/>
      <c r="H467" s="434"/>
      <c r="I467" s="353"/>
      <c r="J467" s="353"/>
      <c r="M467" s="347"/>
      <c r="O467" s="347"/>
      <c r="S467" s="335"/>
      <c r="T467" s="335"/>
      <c r="U467" s="335"/>
      <c r="V467" s="335"/>
      <c r="W467" s="335"/>
      <c r="X467" s="335"/>
    </row>
    <row r="468" spans="3:27" ht="36" customHeight="1" x14ac:dyDescent="0.5">
      <c r="C468" s="353"/>
      <c r="D468" s="433" t="s">
        <v>1086</v>
      </c>
      <c r="E468" s="434"/>
      <c r="F468" s="434"/>
      <c r="G468" s="434"/>
      <c r="H468" s="433"/>
      <c r="I468" s="353"/>
      <c r="J468" s="353"/>
      <c r="M468" s="347"/>
      <c r="O468" s="347"/>
    </row>
    <row r="469" spans="3:27" ht="36" customHeight="1" x14ac:dyDescent="0.5">
      <c r="C469" s="353"/>
      <c r="D469" s="433" t="str">
        <f>Criteria!E20</f>
        <v>28 FEBRUARY 2025</v>
      </c>
      <c r="E469" s="434"/>
      <c r="F469" s="434"/>
      <c r="G469" s="434"/>
      <c r="H469" s="433"/>
      <c r="I469" s="353"/>
      <c r="J469" s="353"/>
      <c r="M469" s="347"/>
      <c r="O469" s="347"/>
    </row>
    <row r="470" spans="3:27" ht="36" customHeight="1" x14ac:dyDescent="0.5">
      <c r="C470" s="353"/>
      <c r="D470" s="434"/>
      <c r="E470" s="434"/>
      <c r="F470" s="434"/>
      <c r="G470" s="434"/>
      <c r="H470" s="434"/>
      <c r="I470" s="353"/>
      <c r="J470" s="353"/>
      <c r="M470" s="347"/>
      <c r="O470" s="347"/>
    </row>
    <row r="471" spans="3:27" ht="36" customHeight="1" x14ac:dyDescent="0.5">
      <c r="C471" s="353"/>
      <c r="D471" s="444"/>
      <c r="E471" s="444"/>
      <c r="F471" s="444"/>
      <c r="G471" s="444"/>
      <c r="H471" s="444"/>
      <c r="I471" s="411"/>
      <c r="J471" s="411"/>
      <c r="K471" s="364"/>
      <c r="L471" s="364"/>
      <c r="M471" s="367"/>
      <c r="N471" s="367"/>
      <c r="O471" s="367"/>
      <c r="P471" s="367"/>
      <c r="Q471" s="364"/>
    </row>
    <row r="472" spans="3:27" ht="36" customHeight="1" x14ac:dyDescent="0.5">
      <c r="C472" s="353"/>
      <c r="D472" s="434"/>
      <c r="E472" s="434"/>
      <c r="F472" s="434"/>
      <c r="G472" s="434"/>
      <c r="H472" s="434"/>
      <c r="I472" s="353"/>
      <c r="J472" s="353"/>
      <c r="K472" s="292" t="s">
        <v>1041</v>
      </c>
      <c r="L472" s="292"/>
      <c r="M472" s="294">
        <f>Criteria!E22</f>
        <v>2025</v>
      </c>
      <c r="N472" s="294"/>
      <c r="O472" s="294">
        <f>Criteria!E27</f>
        <v>2024</v>
      </c>
      <c r="P472" s="294"/>
    </row>
    <row r="473" spans="3:27" ht="36" customHeight="1" x14ac:dyDescent="0.5">
      <c r="C473" s="350"/>
      <c r="D473" s="433" t="s">
        <v>98</v>
      </c>
      <c r="E473" s="434"/>
      <c r="F473" s="434"/>
      <c r="G473" s="434"/>
      <c r="H473" s="434"/>
      <c r="I473" s="353"/>
      <c r="J473" s="353"/>
      <c r="K473" s="292"/>
      <c r="L473" s="292"/>
      <c r="M473" s="295"/>
      <c r="N473" s="295"/>
      <c r="O473" s="295"/>
      <c r="P473" s="295"/>
    </row>
    <row r="474" spans="3:27" ht="36" customHeight="1" x14ac:dyDescent="0.5">
      <c r="C474" s="353"/>
      <c r="D474" s="433" t="s">
        <v>1042</v>
      </c>
      <c r="E474" s="434"/>
      <c r="F474" s="434"/>
      <c r="G474" s="434"/>
      <c r="H474" s="434"/>
      <c r="I474" s="353"/>
      <c r="J474" s="353"/>
      <c r="K474" s="292"/>
      <c r="L474" s="292"/>
      <c r="M474" s="296">
        <f>SUM(M476:M486)</f>
        <v>0</v>
      </c>
      <c r="N474" s="296"/>
      <c r="O474" s="296">
        <f>SUM(O477:P486)</f>
        <v>0</v>
      </c>
      <c r="P474" s="295"/>
      <c r="R474" s="348" t="str">
        <f>IF(M474=0,IF(O474=0,"DELETE"," ")," ")</f>
        <v>DELETE</v>
      </c>
      <c r="S474" s="333">
        <f>M474</f>
        <v>0</v>
      </c>
      <c r="T474" s="333"/>
      <c r="U474" s="333">
        <f>O474</f>
        <v>0</v>
      </c>
      <c r="V474" s="333"/>
      <c r="W474" s="333"/>
      <c r="X474" s="333"/>
    </row>
    <row r="475" spans="3:27" ht="9" customHeight="1" x14ac:dyDescent="0.5">
      <c r="C475" s="353"/>
      <c r="D475" s="433"/>
      <c r="E475" s="434"/>
      <c r="F475" s="434"/>
      <c r="G475" s="434"/>
      <c r="H475" s="434"/>
      <c r="I475" s="353"/>
      <c r="J475" s="353"/>
      <c r="K475" s="292"/>
      <c r="L475" s="292"/>
      <c r="M475" s="296"/>
      <c r="N475" s="296"/>
      <c r="O475" s="296"/>
      <c r="P475" s="295"/>
      <c r="R475" s="348" t="str">
        <f>R474</f>
        <v>DELETE</v>
      </c>
    </row>
    <row r="476" spans="3:27" ht="9" customHeight="1" x14ac:dyDescent="0.5">
      <c r="C476" s="353"/>
      <c r="D476" s="433"/>
      <c r="E476" s="434"/>
      <c r="F476" s="434"/>
      <c r="G476" s="434"/>
      <c r="H476" s="434"/>
      <c r="I476" s="353"/>
      <c r="J476" s="353"/>
      <c r="K476" s="292"/>
      <c r="L476" s="292"/>
      <c r="M476" s="398"/>
      <c r="N476" s="297"/>
      <c r="O476" s="399"/>
      <c r="P476" s="295"/>
      <c r="R476" s="348" t="str">
        <f>R474</f>
        <v>DELETE</v>
      </c>
    </row>
    <row r="477" spans="3:27" ht="36" customHeight="1" x14ac:dyDescent="0.5">
      <c r="C477" s="353"/>
      <c r="D477" s="434" t="s">
        <v>857</v>
      </c>
      <c r="E477" s="434"/>
      <c r="F477" s="434"/>
      <c r="G477" s="434"/>
      <c r="H477" s="434"/>
      <c r="I477" s="353"/>
      <c r="J477" s="353"/>
      <c r="K477" s="292">
        <f>B1197</f>
        <v>8</v>
      </c>
      <c r="L477" s="292"/>
      <c r="M477" s="400">
        <f>SUM(TrialBalance!L229:L239)</f>
        <v>0</v>
      </c>
      <c r="N477" s="296"/>
      <c r="O477" s="401">
        <f>SUM(TrialBalance!N229:N239)</f>
        <v>0</v>
      </c>
      <c r="P477" s="295"/>
      <c r="R477" s="348" t="str">
        <f t="shared" ref="R477:R484" si="6">IF(M477=0,IF(O477=0,"DELETE"," ")," ")</f>
        <v>DELETE</v>
      </c>
      <c r="V477" s="331" t="b">
        <f>M477=M1228</f>
        <v>1</v>
      </c>
      <c r="X477" s="331" t="b">
        <f>O477=O1228</f>
        <v>1</v>
      </c>
    </row>
    <row r="478" spans="3:27" ht="36" customHeight="1" x14ac:dyDescent="0.5">
      <c r="C478" s="353"/>
      <c r="D478" s="434" t="s">
        <v>683</v>
      </c>
      <c r="E478" s="434"/>
      <c r="F478" s="434"/>
      <c r="G478" s="434"/>
      <c r="H478" s="434"/>
      <c r="I478" s="353"/>
      <c r="J478" s="353"/>
      <c r="K478" s="292">
        <f>B1308</f>
        <v>9</v>
      </c>
      <c r="L478" s="292"/>
      <c r="M478" s="400">
        <f>SUM(TrialBalance!L251:L282)</f>
        <v>0</v>
      </c>
      <c r="N478" s="296"/>
      <c r="O478" s="401">
        <f>SUM(TrialBalance!N251:N282)</f>
        <v>0</v>
      </c>
      <c r="P478" s="295"/>
      <c r="R478" s="348" t="str">
        <f t="shared" si="6"/>
        <v>DELETE</v>
      </c>
      <c r="V478" s="336" t="b">
        <f>M478=O1356</f>
        <v>1</v>
      </c>
      <c r="W478" s="336"/>
      <c r="X478" s="336" t="b">
        <f>O478=O1334</f>
        <v>1</v>
      </c>
      <c r="AA478" s="336"/>
    </row>
    <row r="479" spans="3:27" ht="36" customHeight="1" x14ac:dyDescent="0.5">
      <c r="C479" s="353"/>
      <c r="D479" s="434" t="s">
        <v>937</v>
      </c>
      <c r="E479" s="434"/>
      <c r="F479" s="434"/>
      <c r="G479" s="434"/>
      <c r="H479" s="434"/>
      <c r="I479" s="353"/>
      <c r="J479" s="353"/>
      <c r="K479" s="292">
        <f>B1408</f>
        <v>10</v>
      </c>
      <c r="L479" s="292"/>
      <c r="M479" s="400">
        <f>SUM(TrialBalance!L240:L250)</f>
        <v>0</v>
      </c>
      <c r="N479" s="296"/>
      <c r="O479" s="401">
        <f>SUM(TrialBalance!N240:N250)</f>
        <v>0</v>
      </c>
      <c r="P479" s="295"/>
      <c r="R479" s="348" t="str">
        <f t="shared" si="6"/>
        <v>DELETE</v>
      </c>
      <c r="V479" s="336" t="b">
        <f>M479=M1439</f>
        <v>1</v>
      </c>
      <c r="W479" s="336"/>
      <c r="X479" s="336" t="b">
        <f>O479=O1439</f>
        <v>1</v>
      </c>
      <c r="AA479" s="336"/>
    </row>
    <row r="480" spans="3:27" ht="36" customHeight="1" x14ac:dyDescent="0.5">
      <c r="C480" s="353"/>
      <c r="D480" s="434" t="s">
        <v>922</v>
      </c>
      <c r="E480" s="434"/>
      <c r="F480" s="434"/>
      <c r="G480" s="434"/>
      <c r="H480" s="434"/>
      <c r="I480" s="353"/>
      <c r="J480" s="353"/>
      <c r="K480" s="292">
        <f>B1521</f>
        <v>11</v>
      </c>
      <c r="L480" s="292"/>
      <c r="M480" s="400">
        <f>SUM(TrialBalance!L285:L301)</f>
        <v>0</v>
      </c>
      <c r="N480" s="296"/>
      <c r="O480" s="401">
        <f>SUM(TrialBalance!N285:N301)</f>
        <v>0</v>
      </c>
      <c r="P480" s="295"/>
      <c r="R480" s="348" t="str">
        <f t="shared" si="6"/>
        <v>DELETE</v>
      </c>
      <c r="V480" s="336" t="b">
        <f>M480=M1589</f>
        <v>1</v>
      </c>
      <c r="W480" s="336"/>
      <c r="X480" s="336" t="b">
        <f>O480=O1589</f>
        <v>1</v>
      </c>
      <c r="AA480" s="336"/>
    </row>
    <row r="481" spans="3:27" ht="36" customHeight="1" x14ac:dyDescent="0.5">
      <c r="C481" s="353"/>
      <c r="D481" s="434" t="str">
        <f>IF(COUNTIF(TrialBalance!L304:L306,"&gt;0")&gt;1,"Investments in associates",IF(COUNTIF(TrialBalance!N304:N306,"&gt;0")&gt;1,"Investments in associates","Investment in associate"))</f>
        <v>Investment in associate</v>
      </c>
      <c r="E481" s="434"/>
      <c r="F481" s="434"/>
      <c r="G481" s="434"/>
      <c r="H481" s="434"/>
      <c r="I481" s="353"/>
      <c r="J481" s="353"/>
      <c r="K481" s="292">
        <f>B1606</f>
        <v>12</v>
      </c>
      <c r="L481" s="292"/>
      <c r="M481" s="400">
        <f>SUM(TrialBalance!L304:L306)</f>
        <v>0</v>
      </c>
      <c r="N481" s="296"/>
      <c r="O481" s="401">
        <f>SUM(TrialBalance!N304:N306)</f>
        <v>0</v>
      </c>
      <c r="P481" s="295"/>
      <c r="R481" s="348" t="str">
        <f t="shared" si="6"/>
        <v>DELETE</v>
      </c>
      <c r="V481" s="336" t="b">
        <f>M481=M1613</f>
        <v>1</v>
      </c>
      <c r="W481" s="336"/>
      <c r="X481" s="336" t="b">
        <f>O481=O1613</f>
        <v>1</v>
      </c>
      <c r="AA481" s="336"/>
    </row>
    <row r="482" spans="3:27" ht="36" customHeight="1" x14ac:dyDescent="0.5">
      <c r="C482" s="353"/>
      <c r="D482" s="434" t="str">
        <f>IF(COUNTIF(TrialBalance!L308:L312,"&gt;0")&gt;1,"Listed investments",IF(COUNTIF(TrialBalance!N308:N312,"&gt;0")&gt;1,"Listed investments","Listed investment"))</f>
        <v>Listed investment</v>
      </c>
      <c r="E482" s="434"/>
      <c r="F482" s="434"/>
      <c r="G482" s="434"/>
      <c r="H482" s="434"/>
      <c r="I482" s="353"/>
      <c r="J482" s="353"/>
      <c r="K482" s="292">
        <f>B1631</f>
        <v>13</v>
      </c>
      <c r="L482" s="292"/>
      <c r="M482" s="400">
        <f>SUM(TrialBalance!L308:L312)</f>
        <v>0</v>
      </c>
      <c r="N482" s="296"/>
      <c r="O482" s="401">
        <f>SUM(TrialBalance!N308:N312)</f>
        <v>0</v>
      </c>
      <c r="P482" s="295"/>
      <c r="R482" s="348" t="str">
        <f t="shared" si="6"/>
        <v>DELETE</v>
      </c>
      <c r="V482" s="336" t="b">
        <f>M482=M1640</f>
        <v>1</v>
      </c>
      <c r="W482" s="336"/>
      <c r="X482" s="336" t="b">
        <f>O482=O1640</f>
        <v>1</v>
      </c>
      <c r="AA482" s="336"/>
    </row>
    <row r="483" spans="3:27" ht="36" customHeight="1" x14ac:dyDescent="0.5">
      <c r="C483" s="353"/>
      <c r="D483" s="434" t="str">
        <f>IF(COUNTIF(TrialBalance!L314:L318,"&gt;0")&gt;1,"Other investments",IF(COUNTIF(TrialBalance!N314:N318,"&gt;0")&gt;1,"Other investments","Other investment"))</f>
        <v>Other investment</v>
      </c>
      <c r="E483" s="434"/>
      <c r="F483" s="434"/>
      <c r="G483" s="434"/>
      <c r="H483" s="434"/>
      <c r="I483" s="353"/>
      <c r="J483" s="353"/>
      <c r="K483" s="292">
        <f>B1663</f>
        <v>14</v>
      </c>
      <c r="L483" s="292"/>
      <c r="M483" s="400">
        <f>SUM(TrialBalance!L314:L318)</f>
        <v>0</v>
      </c>
      <c r="N483" s="296"/>
      <c r="O483" s="401">
        <f>SUM(TrialBalance!N314:N318)</f>
        <v>0</v>
      </c>
      <c r="P483" s="295"/>
      <c r="R483" s="348" t="str">
        <f t="shared" si="6"/>
        <v>DELETE</v>
      </c>
      <c r="V483" s="336" t="b">
        <f>M483=M1672</f>
        <v>1</v>
      </c>
      <c r="W483" s="336"/>
      <c r="X483" s="336" t="b">
        <f>O483=O1672</f>
        <v>1</v>
      </c>
      <c r="AA483" s="336"/>
    </row>
    <row r="484" spans="3:27" ht="36" customHeight="1" x14ac:dyDescent="0.5">
      <c r="C484" s="353"/>
      <c r="D484" s="434" t="str">
        <f>IF(COUNTIF(TrialBalance!L319:L353,"&gt;0")&gt;1,"Non - current receivables",IF(COUNTIF(TrialBalance!N319:N353,"&gt;0")&gt;1,"Non - current receivables","Non - current receivable"))</f>
        <v>Non - current receivable</v>
      </c>
      <c r="E484" s="434"/>
      <c r="F484" s="434"/>
      <c r="G484" s="434"/>
      <c r="H484" s="434"/>
      <c r="I484" s="353"/>
      <c r="J484" s="353"/>
      <c r="K484" s="292">
        <f>B1695</f>
        <v>15</v>
      </c>
      <c r="L484" s="292"/>
      <c r="M484" s="400">
        <f>SUM(TrialBalance!L319:L353)</f>
        <v>0</v>
      </c>
      <c r="N484" s="296"/>
      <c r="O484" s="401">
        <f>SUM(TrialBalance!N319:N353)</f>
        <v>0</v>
      </c>
      <c r="P484" s="295"/>
      <c r="R484" s="348" t="str">
        <f t="shared" si="6"/>
        <v>DELETE</v>
      </c>
      <c r="V484" s="336" t="b">
        <f>M484=M1737</f>
        <v>1</v>
      </c>
      <c r="W484" s="336"/>
      <c r="X484" s="336" t="b">
        <f>O484=O1737</f>
        <v>1</v>
      </c>
    </row>
    <row r="485" spans="3:27" ht="36" customHeight="1" x14ac:dyDescent="0.5">
      <c r="C485" s="353"/>
      <c r="D485" s="434" t="s">
        <v>514</v>
      </c>
      <c r="E485" s="434"/>
      <c r="F485" s="434"/>
      <c r="G485" s="434"/>
      <c r="H485" s="434"/>
      <c r="I485" s="353"/>
      <c r="J485" s="353"/>
      <c r="K485" s="292">
        <f>B2002</f>
        <v>24</v>
      </c>
      <c r="L485" s="292"/>
      <c r="M485" s="400">
        <f>IF(SUM(TrialBalance!L221:L228)&gt;0,SUM(TrialBalance!L221:L228),0)</f>
        <v>0</v>
      </c>
      <c r="N485" s="296"/>
      <c r="O485" s="401">
        <f>IF(SUM(TrialBalance!N221:N228)&gt;0,SUM(TrialBalance!N221:N228),0)</f>
        <v>0</v>
      </c>
      <c r="P485" s="295"/>
      <c r="R485" s="348" t="str">
        <f>IF(M485=0,IF(O485=0,"DELETE"," ")," ")</f>
        <v>DELETE</v>
      </c>
      <c r="V485" s="336" t="str">
        <f>IF(M485=0,"TRUE",M485=-M2058)</f>
        <v>TRUE</v>
      </c>
      <c r="W485" s="336"/>
      <c r="X485" s="336" t="str">
        <f>IF(O485=0,"TRUE",O485=-O2058)</f>
        <v>TRUE</v>
      </c>
    </row>
    <row r="486" spans="3:27" ht="9" customHeight="1" x14ac:dyDescent="0.5">
      <c r="C486" s="353"/>
      <c r="D486" s="434"/>
      <c r="E486" s="434"/>
      <c r="F486" s="434"/>
      <c r="G486" s="434"/>
      <c r="H486" s="434"/>
      <c r="I486" s="353"/>
      <c r="J486" s="353"/>
      <c r="K486" s="292"/>
      <c r="L486" s="292"/>
      <c r="M486" s="402"/>
      <c r="N486" s="298"/>
      <c r="O486" s="403"/>
      <c r="P486" s="295"/>
      <c r="R486" s="348" t="str">
        <f>R474</f>
        <v>DELETE</v>
      </c>
    </row>
    <row r="487" spans="3:27" ht="9" customHeight="1" x14ac:dyDescent="0.5">
      <c r="C487" s="353"/>
      <c r="D487" s="434"/>
      <c r="E487" s="434"/>
      <c r="F487" s="434"/>
      <c r="G487" s="434"/>
      <c r="H487" s="434"/>
      <c r="I487" s="353"/>
      <c r="J487" s="353"/>
      <c r="K487" s="292"/>
      <c r="L487" s="292"/>
      <c r="M487" s="296"/>
      <c r="N487" s="296"/>
      <c r="O487" s="296"/>
      <c r="P487" s="295"/>
      <c r="R487" s="348" t="str">
        <f>R474</f>
        <v>DELETE</v>
      </c>
    </row>
    <row r="488" spans="3:27" ht="36" customHeight="1" x14ac:dyDescent="0.5">
      <c r="C488" s="353"/>
      <c r="D488" s="433" t="s">
        <v>1043</v>
      </c>
      <c r="E488" s="434"/>
      <c r="F488" s="434"/>
      <c r="G488" s="434"/>
      <c r="H488" s="434"/>
      <c r="I488" s="353"/>
      <c r="J488" s="353"/>
      <c r="K488" s="292"/>
      <c r="L488" s="292"/>
      <c r="M488" s="296">
        <f>SUM(M491:M495)</f>
        <v>0</v>
      </c>
      <c r="N488" s="296"/>
      <c r="O488" s="296">
        <f>SUM(O491:O495)</f>
        <v>0</v>
      </c>
      <c r="P488" s="295"/>
      <c r="R488" s="348" t="str">
        <f>IF(M488=0,IF(O488=0,"DELETE"," ")," ")</f>
        <v>DELETE</v>
      </c>
      <c r="S488" s="333">
        <f>M488</f>
        <v>0</v>
      </c>
      <c r="T488" s="333"/>
      <c r="U488" s="333">
        <f>O488</f>
        <v>0</v>
      </c>
      <c r="V488" s="333"/>
      <c r="W488" s="333"/>
      <c r="X488" s="333"/>
    </row>
    <row r="489" spans="3:27" ht="9" customHeight="1" x14ac:dyDescent="0.5">
      <c r="C489" s="353"/>
      <c r="D489" s="434"/>
      <c r="E489" s="434"/>
      <c r="F489" s="434"/>
      <c r="G489" s="434"/>
      <c r="H489" s="434"/>
      <c r="I489" s="353"/>
      <c r="J489" s="353"/>
      <c r="K489" s="292"/>
      <c r="L489" s="292"/>
      <c r="M489" s="296"/>
      <c r="N489" s="296"/>
      <c r="O489" s="296"/>
      <c r="P489" s="295"/>
      <c r="R489" s="348" t="str">
        <f>R488</f>
        <v>DELETE</v>
      </c>
    </row>
    <row r="490" spans="3:27" ht="9" customHeight="1" x14ac:dyDescent="0.5">
      <c r="C490" s="353"/>
      <c r="D490" s="434"/>
      <c r="E490" s="434"/>
      <c r="F490" s="434"/>
      <c r="G490" s="434"/>
      <c r="H490" s="434"/>
      <c r="I490" s="353"/>
      <c r="J490" s="353"/>
      <c r="K490" s="292"/>
      <c r="L490" s="292"/>
      <c r="M490" s="398"/>
      <c r="N490" s="297"/>
      <c r="O490" s="399"/>
      <c r="P490" s="295"/>
      <c r="R490" s="348" t="str">
        <f>R488</f>
        <v>DELETE</v>
      </c>
    </row>
    <row r="491" spans="3:27" ht="36" customHeight="1" x14ac:dyDescent="0.5">
      <c r="C491" s="353"/>
      <c r="D491" s="434" t="s">
        <v>844</v>
      </c>
      <c r="E491" s="434"/>
      <c r="F491" s="434"/>
      <c r="G491" s="434"/>
      <c r="H491" s="434"/>
      <c r="I491" s="353"/>
      <c r="J491" s="353"/>
      <c r="K491" s="292">
        <f>B1754</f>
        <v>16</v>
      </c>
      <c r="L491" s="292"/>
      <c r="M491" s="400">
        <f>SUM(TrialBalance!L355:L358)</f>
        <v>0</v>
      </c>
      <c r="N491" s="296"/>
      <c r="O491" s="401">
        <f>SUM(TrialBalance!N355:N358)</f>
        <v>0</v>
      </c>
      <c r="P491" s="295"/>
      <c r="R491" s="348" t="str">
        <f>IF(M491=0,IF(O491=0,"DELETE"," ")," ")</f>
        <v>DELETE</v>
      </c>
      <c r="V491" s="336" t="b">
        <f>M491=M1763</f>
        <v>1</v>
      </c>
      <c r="W491" s="336"/>
      <c r="X491" s="336" t="b">
        <f>O491=O1763</f>
        <v>1</v>
      </c>
      <c r="AA491" s="336"/>
    </row>
    <row r="492" spans="3:27" ht="36" customHeight="1" x14ac:dyDescent="0.5">
      <c r="C492" s="353"/>
      <c r="D492" s="434" t="s">
        <v>677</v>
      </c>
      <c r="E492" s="434"/>
      <c r="F492" s="434"/>
      <c r="G492" s="434"/>
      <c r="H492" s="434"/>
      <c r="I492" s="353"/>
      <c r="J492" s="353"/>
      <c r="K492" s="292">
        <f>B1780</f>
        <v>17</v>
      </c>
      <c r="L492" s="292"/>
      <c r="M492" s="400">
        <f>SUM(TrialBalance!L360:L365)+IF(TrialBalance!L399&gt;0,TrialBalance!L399,0)</f>
        <v>0</v>
      </c>
      <c r="N492" s="296"/>
      <c r="O492" s="401">
        <f>SUM(TrialBalance!N360:N365)+IF(TrialBalance!N399&gt;0,TrialBalance!N399,0)</f>
        <v>0</v>
      </c>
      <c r="P492" s="295"/>
      <c r="R492" s="348" t="str">
        <f>IF(M492=0,IF(O492=0,"DELETE"," ")," ")</f>
        <v>DELETE</v>
      </c>
      <c r="V492" s="336" t="b">
        <f>M492=M1794</f>
        <v>1</v>
      </c>
      <c r="W492" s="336"/>
      <c r="X492" s="336" t="b">
        <f>O492=O1794</f>
        <v>1</v>
      </c>
    </row>
    <row r="493" spans="3:27" ht="36" customHeight="1" x14ac:dyDescent="0.5">
      <c r="C493" s="353"/>
      <c r="D493" s="434" t="s">
        <v>643</v>
      </c>
      <c r="E493" s="434"/>
      <c r="F493" s="434"/>
      <c r="G493" s="434"/>
      <c r="H493" s="434"/>
      <c r="I493" s="353"/>
      <c r="J493" s="353"/>
      <c r="K493" s="292">
        <f>B1812</f>
        <v>18</v>
      </c>
      <c r="L493" s="292"/>
      <c r="M493" s="400">
        <f>TrialBalance!L373+IF(TrialBalance!L367&gt;0,TrialBalance!L367,0)+IF(TrialBalance!L368&gt;0,TrialBalance!L368,0)+IF(TrialBalance!L369&gt;0,TrialBalance!L369,0)+IF(TrialBalance!L370&gt;0,TrialBalance!L370,0)+IF(TrialBalance!L371&gt;0,TrialBalance!L371,0)+IF(TrialBalance!L372&gt;0,TrialBalance!L372,0)</f>
        <v>0</v>
      </c>
      <c r="N493" s="296"/>
      <c r="O493" s="401">
        <f>TrialBalance!N373+IF(TrialBalance!N367&gt;0,TrialBalance!N367,0)+IF(TrialBalance!N368&gt;0,TrialBalance!N368,0)+IF(TrialBalance!N369&gt;0,TrialBalance!N369,0)+IF(TrialBalance!N370&gt;0,TrialBalance!N370,0)+IF(TrialBalance!N371&gt;0,TrialBalance!N371,0)+IF(TrialBalance!N372&gt;0,TrialBalance!N372,0)</f>
        <v>0</v>
      </c>
      <c r="P493" s="295"/>
      <c r="R493" s="348" t="str">
        <f>IF(M493=0,IF(O493=0,"DELETE"," ")," ")</f>
        <v>DELETE</v>
      </c>
      <c r="V493" s="336" t="b">
        <f>M493=M1823</f>
        <v>1</v>
      </c>
      <c r="W493" s="336"/>
      <c r="X493" s="336" t="b">
        <f>O493=O1823</f>
        <v>1</v>
      </c>
    </row>
    <row r="494" spans="3:27" ht="36" customHeight="1" x14ac:dyDescent="0.5">
      <c r="C494" s="353"/>
      <c r="D494" s="434" t="s">
        <v>615</v>
      </c>
      <c r="E494" s="434"/>
      <c r="F494" s="434"/>
      <c r="G494" s="434"/>
      <c r="H494" s="434"/>
      <c r="I494" s="353"/>
      <c r="J494" s="353"/>
      <c r="K494" s="292">
        <f>B2184</f>
        <v>29</v>
      </c>
      <c r="L494" s="292"/>
      <c r="M494" s="400">
        <f>IF(SUM(TrialBalance!L386:L392)&gt;0,SUM(TrialBalance!L386:L392),0)</f>
        <v>0</v>
      </c>
      <c r="N494" s="296"/>
      <c r="O494" s="401">
        <f>IF(SUM(TrialBalance!N386:N392)&gt;0,SUM(TrialBalance!N386:N392),0)</f>
        <v>0</v>
      </c>
      <c r="P494" s="295"/>
      <c r="R494" s="348" t="str">
        <f>IF(M494=0,IF(O494=0,"DELETE"," ")," ")</f>
        <v>DELETE</v>
      </c>
      <c r="V494" s="336" t="str">
        <f>IF(M494=0,"TRUE",M494=-M2195)</f>
        <v>TRUE</v>
      </c>
      <c r="W494" s="336"/>
      <c r="X494" s="336" t="str">
        <f>IF(O494=0,"TRUE",O494=-O2195)</f>
        <v>TRUE</v>
      </c>
    </row>
    <row r="495" spans="3:27" ht="9" customHeight="1" x14ac:dyDescent="0.5">
      <c r="C495" s="353"/>
      <c r="D495" s="434"/>
      <c r="E495" s="434"/>
      <c r="F495" s="434"/>
      <c r="G495" s="434"/>
      <c r="H495" s="434"/>
      <c r="I495" s="353"/>
      <c r="J495" s="353"/>
      <c r="K495" s="292"/>
      <c r="L495" s="292"/>
      <c r="M495" s="402"/>
      <c r="N495" s="298"/>
      <c r="O495" s="403"/>
      <c r="P495" s="295"/>
      <c r="R495" s="348" t="str">
        <f>R488</f>
        <v>DELETE</v>
      </c>
    </row>
    <row r="496" spans="3:27" ht="9" customHeight="1" x14ac:dyDescent="0.5">
      <c r="C496" s="353"/>
      <c r="D496" s="434"/>
      <c r="E496" s="434"/>
      <c r="F496" s="434"/>
      <c r="G496" s="434"/>
      <c r="H496" s="434"/>
      <c r="I496" s="353"/>
      <c r="J496" s="353"/>
      <c r="K496" s="292"/>
      <c r="L496" s="292"/>
      <c r="M496" s="296"/>
      <c r="N496" s="296"/>
      <c r="O496" s="296"/>
      <c r="P496" s="295"/>
      <c r="R496" s="348" t="str">
        <f>R488</f>
        <v>DELETE</v>
      </c>
    </row>
    <row r="497" spans="3:26" ht="9" customHeight="1" x14ac:dyDescent="0.5">
      <c r="C497" s="353"/>
      <c r="D497" s="434"/>
      <c r="E497" s="434"/>
      <c r="F497" s="434"/>
      <c r="G497" s="434"/>
      <c r="H497" s="434"/>
      <c r="I497" s="353"/>
      <c r="J497" s="353"/>
      <c r="K497" s="292"/>
      <c r="L497" s="292"/>
      <c r="M497" s="298"/>
      <c r="N497" s="298"/>
      <c r="O497" s="298"/>
      <c r="P497" s="295"/>
    </row>
    <row r="498" spans="3:26" ht="9" customHeight="1" x14ac:dyDescent="0.5">
      <c r="C498" s="353"/>
      <c r="D498" s="434"/>
      <c r="E498" s="434"/>
      <c r="F498" s="434"/>
      <c r="G498" s="434"/>
      <c r="H498" s="434"/>
      <c r="I498" s="353"/>
      <c r="J498" s="353"/>
      <c r="K498" s="292"/>
      <c r="L498" s="292"/>
      <c r="M498" s="296"/>
      <c r="N498" s="296"/>
      <c r="O498" s="296"/>
      <c r="P498" s="295"/>
    </row>
    <row r="499" spans="3:26" ht="36.75" customHeight="1" x14ac:dyDescent="0.5">
      <c r="C499" s="353"/>
      <c r="D499" s="433" t="s">
        <v>670</v>
      </c>
      <c r="E499" s="434"/>
      <c r="F499" s="434"/>
      <c r="G499" s="434"/>
      <c r="H499" s="434"/>
      <c r="I499" s="353"/>
      <c r="J499" s="353"/>
      <c r="K499" s="292"/>
      <c r="L499" s="292"/>
      <c r="M499" s="296">
        <f>SUM(S474:S497)</f>
        <v>0</v>
      </c>
      <c r="N499" s="296"/>
      <c r="O499" s="296">
        <f>SUM(U474:U497)</f>
        <v>0</v>
      </c>
      <c r="P499" s="295"/>
      <c r="V499" s="337" t="b">
        <f>M499=M534</f>
        <v>1</v>
      </c>
      <c r="W499" s="337"/>
      <c r="X499" s="337" t="b">
        <f>O499=O534</f>
        <v>1</v>
      </c>
    </row>
    <row r="500" spans="3:26" ht="9" customHeight="1" thickBot="1" x14ac:dyDescent="0.55000000000000004">
      <c r="C500" s="353"/>
      <c r="D500" s="434"/>
      <c r="E500" s="434"/>
      <c r="F500" s="434"/>
      <c r="G500" s="434"/>
      <c r="H500" s="434"/>
      <c r="I500" s="353"/>
      <c r="J500" s="353"/>
      <c r="K500" s="292"/>
      <c r="L500" s="292"/>
      <c r="M500" s="299"/>
      <c r="N500" s="299"/>
      <c r="O500" s="299"/>
      <c r="P500" s="295"/>
    </row>
    <row r="501" spans="3:26" ht="9" customHeight="1" thickTop="1" x14ac:dyDescent="0.5">
      <c r="C501" s="353"/>
      <c r="D501" s="434"/>
      <c r="E501" s="434"/>
      <c r="F501" s="434"/>
      <c r="G501" s="434"/>
      <c r="H501" s="434"/>
      <c r="I501" s="353"/>
      <c r="J501" s="353"/>
      <c r="K501" s="292"/>
      <c r="L501" s="292"/>
      <c r="M501" s="296"/>
      <c r="N501" s="296"/>
      <c r="O501" s="296"/>
      <c r="P501" s="295"/>
    </row>
    <row r="502" spans="3:26" ht="36" customHeight="1" x14ac:dyDescent="0.5">
      <c r="C502" s="353"/>
      <c r="D502" s="434"/>
      <c r="E502" s="434"/>
      <c r="F502" s="434"/>
      <c r="G502" s="434"/>
      <c r="H502" s="434"/>
      <c r="I502" s="353"/>
      <c r="J502" s="353"/>
      <c r="K502" s="292"/>
      <c r="L502" s="292"/>
      <c r="M502" s="296"/>
      <c r="N502" s="296"/>
      <c r="O502" s="296"/>
      <c r="P502" s="295"/>
    </row>
    <row r="503" spans="3:26" ht="36" customHeight="1" x14ac:dyDescent="0.5">
      <c r="C503" s="350"/>
      <c r="D503" s="433" t="s">
        <v>99</v>
      </c>
      <c r="E503" s="434"/>
      <c r="F503" s="434"/>
      <c r="G503" s="434"/>
      <c r="H503" s="434"/>
      <c r="I503" s="353"/>
      <c r="J503" s="353"/>
      <c r="K503" s="292"/>
      <c r="L503" s="292"/>
      <c r="M503" s="296"/>
      <c r="N503" s="296"/>
      <c r="O503" s="296"/>
      <c r="P503" s="295"/>
    </row>
    <row r="504" spans="3:26" ht="36" customHeight="1" x14ac:dyDescent="0.5">
      <c r="C504" s="353"/>
      <c r="D504" s="433" t="s">
        <v>1044</v>
      </c>
      <c r="E504" s="434"/>
      <c r="F504" s="434"/>
      <c r="G504" s="434"/>
      <c r="H504" s="434"/>
      <c r="I504" s="353"/>
      <c r="J504" s="353"/>
      <c r="K504" s="292"/>
      <c r="L504" s="292"/>
      <c r="M504" s="296">
        <f>SUM(M507:M510)</f>
        <v>0</v>
      </c>
      <c r="N504" s="296"/>
      <c r="O504" s="296">
        <f>SUM(O507:O510)</f>
        <v>0</v>
      </c>
      <c r="P504" s="295"/>
      <c r="S504" s="333">
        <f>M504</f>
        <v>0</v>
      </c>
      <c r="T504" s="333"/>
      <c r="U504" s="333">
        <f>O504</f>
        <v>0</v>
      </c>
      <c r="V504" s="333"/>
      <c r="W504" s="333"/>
      <c r="X504" s="333"/>
    </row>
    <row r="505" spans="3:26" ht="9" customHeight="1" x14ac:dyDescent="0.5">
      <c r="C505" s="353"/>
      <c r="D505" s="434"/>
      <c r="E505" s="434"/>
      <c r="F505" s="434"/>
      <c r="G505" s="434"/>
      <c r="H505" s="434"/>
      <c r="I505" s="353"/>
      <c r="J505" s="353"/>
      <c r="K505" s="292"/>
      <c r="L505" s="292"/>
      <c r="M505" s="296"/>
      <c r="N505" s="296"/>
      <c r="O505" s="296"/>
      <c r="P505" s="295"/>
    </row>
    <row r="506" spans="3:26" ht="9" customHeight="1" x14ac:dyDescent="0.5">
      <c r="C506" s="353"/>
      <c r="D506" s="434"/>
      <c r="E506" s="434"/>
      <c r="F506" s="434"/>
      <c r="G506" s="434"/>
      <c r="H506" s="434"/>
      <c r="I506" s="353"/>
      <c r="J506" s="353"/>
      <c r="K506" s="292"/>
      <c r="L506" s="292"/>
      <c r="M506" s="398"/>
      <c r="N506" s="297"/>
      <c r="O506" s="399"/>
      <c r="P506" s="295"/>
    </row>
    <row r="507" spans="3:26" ht="36" customHeight="1" x14ac:dyDescent="0.5">
      <c r="C507" s="353"/>
      <c r="D507" s="434" t="s">
        <v>515</v>
      </c>
      <c r="E507" s="434"/>
      <c r="F507" s="434"/>
      <c r="G507" s="434"/>
      <c r="H507" s="434"/>
      <c r="I507" s="353"/>
      <c r="J507" s="353"/>
      <c r="K507" s="292">
        <f>B1840</f>
        <v>19</v>
      </c>
      <c r="L507" s="292"/>
      <c r="M507" s="400">
        <f>-SUM(TrialBalance!L170:L171)</f>
        <v>0</v>
      </c>
      <c r="N507" s="296"/>
      <c r="O507" s="401">
        <f>-SUM(TrialBalance!N170:N171)</f>
        <v>0</v>
      </c>
      <c r="P507" s="295"/>
      <c r="V507" s="336" t="b">
        <f>M1847=M507</f>
        <v>1</v>
      </c>
      <c r="W507" s="336"/>
      <c r="X507" s="336" t="b">
        <f>O1847=O507</f>
        <v>1</v>
      </c>
    </row>
    <row r="508" spans="3:26" ht="36" customHeight="1" x14ac:dyDescent="0.5">
      <c r="C508" s="353"/>
      <c r="D508" s="434" t="s">
        <v>516</v>
      </c>
      <c r="E508" s="434"/>
      <c r="F508" s="434"/>
      <c r="G508" s="434"/>
      <c r="H508" s="434"/>
      <c r="I508" s="353"/>
      <c r="J508" s="353"/>
      <c r="K508" s="292">
        <f>B1863</f>
        <v>20</v>
      </c>
      <c r="L508" s="292"/>
      <c r="M508" s="400">
        <f>-SUM(TrialBalance!L173:L175)</f>
        <v>0</v>
      </c>
      <c r="N508" s="296"/>
      <c r="O508" s="401">
        <f>-SUM(TrialBalance!N173:N175)</f>
        <v>0</v>
      </c>
      <c r="P508" s="295"/>
      <c r="R508" s="348" t="str">
        <f>IF(M508=0,IF(O508=0,"DELETE"," ")," ")</f>
        <v>DELETE</v>
      </c>
      <c r="V508" s="336" t="b">
        <f>M508=M1870</f>
        <v>1</v>
      </c>
      <c r="W508" s="336"/>
      <c r="X508" s="336" t="b">
        <f>O508=O1870</f>
        <v>1</v>
      </c>
    </row>
    <row r="509" spans="3:26" ht="36" customHeight="1" x14ac:dyDescent="0.5">
      <c r="C509" s="353"/>
      <c r="D509" s="434" t="s">
        <v>13</v>
      </c>
      <c r="E509" s="434"/>
      <c r="F509" s="434"/>
      <c r="G509" s="434"/>
      <c r="H509" s="434"/>
      <c r="I509" s="353"/>
      <c r="J509" s="353"/>
      <c r="K509" s="292">
        <f>B1887</f>
        <v>21</v>
      </c>
      <c r="L509" s="292"/>
      <c r="M509" s="400">
        <f>-SUM(TrialBalance!L177:L179)-SUM(TrialBalance!L181:L183)</f>
        <v>0</v>
      </c>
      <c r="N509" s="296"/>
      <c r="O509" s="401">
        <f>-SUM(TrialBalance!N177:N179)-SUM(TrialBalance!N181:N183)</f>
        <v>0</v>
      </c>
      <c r="P509" s="295"/>
      <c r="R509" s="348" t="str">
        <f>IF(M509=0,IF(O509=0,"DELETE"," ")," ")</f>
        <v>DELETE</v>
      </c>
      <c r="V509" s="336" t="b">
        <f>M509=M1906</f>
        <v>1</v>
      </c>
      <c r="W509" s="336"/>
      <c r="X509" s="336" t="b">
        <f>O509=O1906</f>
        <v>1</v>
      </c>
    </row>
    <row r="510" spans="3:26" ht="36" customHeight="1" x14ac:dyDescent="0.5">
      <c r="C510" s="353"/>
      <c r="D510" s="443" t="str">
        <f>IF((Y510+Z510)=3,"Retained income/(Accumulated loss)",(IF((Y510+Z510=4),"Retained income","Accumulated loss")))</f>
        <v>Retained income</v>
      </c>
      <c r="E510" s="434"/>
      <c r="F510" s="434"/>
      <c r="G510" s="434"/>
      <c r="H510" s="434"/>
      <c r="I510" s="353"/>
      <c r="J510" s="353"/>
      <c r="K510" s="292"/>
      <c r="L510" s="292"/>
      <c r="M510" s="404">
        <f>-TrialBalance!L184-SUM(TrialBalance!L5:L166)</f>
        <v>0</v>
      </c>
      <c r="N510" s="300"/>
      <c r="O510" s="405">
        <f>-TrialBalance!N184-SUM(TrialBalance!N5:N166)</f>
        <v>0</v>
      </c>
      <c r="P510" s="295"/>
      <c r="V510" s="336" t="b">
        <f>M510=M588</f>
        <v>1</v>
      </c>
      <c r="W510" s="336"/>
      <c r="X510" s="336" t="b">
        <f>O510=O588</f>
        <v>1</v>
      </c>
      <c r="Y510" s="331">
        <f>IF(M510&lt;0,1,IF(M510=0,IF(O510&lt;0,1,2),2))</f>
        <v>2</v>
      </c>
      <c r="Z510" s="331">
        <f>IF(O510&lt;0,1,IF(O510=0,IF(M510&lt;0,1,2),2))</f>
        <v>2</v>
      </c>
    </row>
    <row r="511" spans="3:26" ht="9" customHeight="1" x14ac:dyDescent="0.5">
      <c r="C511" s="353"/>
      <c r="D511" s="434"/>
      <c r="E511" s="434"/>
      <c r="F511" s="434"/>
      <c r="G511" s="434"/>
      <c r="H511" s="434"/>
      <c r="I511" s="353"/>
      <c r="J511" s="353"/>
      <c r="K511" s="292"/>
      <c r="L511" s="292"/>
      <c r="M511" s="402"/>
      <c r="N511" s="298"/>
      <c r="O511" s="403"/>
      <c r="P511" s="295"/>
      <c r="X511" s="336"/>
    </row>
    <row r="512" spans="3:26" ht="9" customHeight="1" x14ac:dyDescent="0.5">
      <c r="C512" s="353"/>
      <c r="D512" s="434"/>
      <c r="E512" s="434"/>
      <c r="F512" s="434"/>
      <c r="G512" s="434"/>
      <c r="H512" s="434"/>
      <c r="I512" s="353"/>
      <c r="J512" s="353"/>
      <c r="K512" s="292"/>
      <c r="L512" s="292"/>
      <c r="M512" s="296"/>
      <c r="N512" s="296"/>
      <c r="O512" s="296"/>
      <c r="P512" s="295"/>
    </row>
    <row r="513" spans="3:24" ht="36" customHeight="1" x14ac:dyDescent="0.5">
      <c r="C513" s="353"/>
      <c r="D513" s="433" t="s">
        <v>1045</v>
      </c>
      <c r="E513" s="434"/>
      <c r="F513" s="434"/>
      <c r="G513" s="434"/>
      <c r="H513" s="434"/>
      <c r="I513" s="353"/>
      <c r="J513" s="353"/>
      <c r="K513" s="292"/>
      <c r="L513" s="292"/>
      <c r="M513" s="296">
        <f>SUM(M516:M519)</f>
        <v>0</v>
      </c>
      <c r="N513" s="296"/>
      <c r="O513" s="296">
        <f>SUM(O516:O519)</f>
        <v>0</v>
      </c>
      <c r="P513" s="295"/>
      <c r="R513" s="348" t="str">
        <f>IF(M513=0,IF(O513=0,"DELETE"," ")," ")</f>
        <v>DELETE</v>
      </c>
      <c r="S513" s="333">
        <f>M513</f>
        <v>0</v>
      </c>
      <c r="T513" s="333"/>
      <c r="U513" s="333">
        <f>O513</f>
        <v>0</v>
      </c>
      <c r="V513" s="333"/>
      <c r="W513" s="333"/>
      <c r="X513" s="333"/>
    </row>
    <row r="514" spans="3:24" ht="9" customHeight="1" x14ac:dyDescent="0.5">
      <c r="C514" s="353"/>
      <c r="D514" s="434"/>
      <c r="E514" s="434"/>
      <c r="F514" s="434"/>
      <c r="G514" s="434"/>
      <c r="H514" s="434"/>
      <c r="I514" s="353"/>
      <c r="J514" s="353"/>
      <c r="K514" s="292"/>
      <c r="L514" s="292"/>
      <c r="M514" s="296"/>
      <c r="N514" s="296"/>
      <c r="O514" s="296"/>
      <c r="P514" s="295"/>
      <c r="R514" s="348" t="str">
        <f>R513</f>
        <v>DELETE</v>
      </c>
    </row>
    <row r="515" spans="3:24" ht="9" customHeight="1" x14ac:dyDescent="0.5">
      <c r="C515" s="353"/>
      <c r="D515" s="434"/>
      <c r="E515" s="434"/>
      <c r="F515" s="434"/>
      <c r="G515" s="434"/>
      <c r="H515" s="434"/>
      <c r="I515" s="353"/>
      <c r="J515" s="353"/>
      <c r="K515" s="292"/>
      <c r="L515" s="292"/>
      <c r="M515" s="398"/>
      <c r="N515" s="297"/>
      <c r="O515" s="399"/>
      <c r="P515" s="295"/>
      <c r="R515" s="348" t="str">
        <f>R513</f>
        <v>DELETE</v>
      </c>
    </row>
    <row r="516" spans="3:24" ht="36" customHeight="1" x14ac:dyDescent="0.5">
      <c r="C516" s="353"/>
      <c r="D516" s="434" t="str">
        <f>IF(COUNTIF(TrialBalance!L186:L200,"&lt;0")&gt;1,"Interest bearing borrowings",IF(COUNTIF(TrialBalance!N186:N200,"&lt;0")&gt;1,"Interest bearing borrowings","Interest bearing borrowing"))</f>
        <v>Interest bearing borrowing</v>
      </c>
      <c r="E516" s="434"/>
      <c r="F516" s="434"/>
      <c r="G516" s="434"/>
      <c r="H516" s="434"/>
      <c r="I516" s="353"/>
      <c r="J516" s="353"/>
      <c r="K516" s="292">
        <f>B1923</f>
        <v>22</v>
      </c>
      <c r="L516" s="292"/>
      <c r="M516" s="400">
        <f>-SUM(TrialBalance!L186:L201)</f>
        <v>0</v>
      </c>
      <c r="N516" s="296"/>
      <c r="O516" s="401">
        <f>-SUM(TrialBalance!N186:N201)</f>
        <v>0</v>
      </c>
      <c r="P516" s="295"/>
      <c r="R516" s="348" t="str">
        <f>IF(M516=0,IF(O516=0,"DELETE"," ")," ")</f>
        <v>DELETE</v>
      </c>
      <c r="V516" s="331" t="b">
        <f>M516=M1946</f>
        <v>1</v>
      </c>
      <c r="X516" s="331" t="b">
        <f>O516=O1946</f>
        <v>1</v>
      </c>
    </row>
    <row r="517" spans="3:24" ht="36" customHeight="1" x14ac:dyDescent="0.5">
      <c r="C517" s="353"/>
      <c r="D517" s="434" t="str">
        <f>IF(COUNTIF(TrialBalance!L203:L219,"&lt;0")&gt;1,"Interest free borrowings",IF(COUNTIF(TrialBalance!N203:N219,"&lt;0")&gt;1,"Interest free borrowings","Interest free borrowing"))</f>
        <v>Interest free borrowing</v>
      </c>
      <c r="E517" s="434"/>
      <c r="F517" s="434"/>
      <c r="G517" s="434"/>
      <c r="H517" s="434"/>
      <c r="I517" s="353"/>
      <c r="J517" s="353"/>
      <c r="K517" s="292">
        <f>B1963</f>
        <v>23</v>
      </c>
      <c r="L517" s="292"/>
      <c r="M517" s="400">
        <f>-SUM(TrialBalance!L203:L219)</f>
        <v>0</v>
      </c>
      <c r="N517" s="296"/>
      <c r="O517" s="401">
        <f>-SUM(TrialBalance!N203:N219)</f>
        <v>0</v>
      </c>
      <c r="P517" s="295"/>
      <c r="R517" s="348" t="str">
        <f>IF(M517=0,IF(O517=0,"DELETE"," ")," ")</f>
        <v>DELETE</v>
      </c>
      <c r="V517" s="331" t="b">
        <f>M517=M1984</f>
        <v>1</v>
      </c>
      <c r="X517" s="331" t="b">
        <f>O517=O1984</f>
        <v>1</v>
      </c>
    </row>
    <row r="518" spans="3:24" ht="36" customHeight="1" x14ac:dyDescent="0.5">
      <c r="C518" s="353"/>
      <c r="D518" s="434" t="s">
        <v>517</v>
      </c>
      <c r="E518" s="434"/>
      <c r="F518" s="434"/>
      <c r="G518" s="434"/>
      <c r="H518" s="434"/>
      <c r="I518" s="353"/>
      <c r="J518" s="353"/>
      <c r="K518" s="292">
        <f>B2002</f>
        <v>24</v>
      </c>
      <c r="L518" s="292"/>
      <c r="M518" s="400">
        <f>IF(SUM(TrialBalance!L221:L228)&gt;0,0,-SUM(TrialBalance!L221:L228))</f>
        <v>0</v>
      </c>
      <c r="N518" s="296"/>
      <c r="O518" s="401">
        <f>IF(SUM(TrialBalance!N221:N228)&gt;0,0,-SUM(TrialBalance!N221:N228))</f>
        <v>0</v>
      </c>
      <c r="P518" s="295"/>
      <c r="R518" s="348" t="str">
        <f>IF(M518=0,IF(O518=0,"DELETE"," ")," ")</f>
        <v>DELETE</v>
      </c>
      <c r="V518" s="336" t="str">
        <f>IF(M518=0,"TRUE",M518=M2058)</f>
        <v>TRUE</v>
      </c>
      <c r="W518" s="336"/>
      <c r="X518" s="336" t="str">
        <f>IF(O518=0,"TRUE",O518=O2058)</f>
        <v>TRUE</v>
      </c>
    </row>
    <row r="519" spans="3:24" ht="9" customHeight="1" x14ac:dyDescent="0.5">
      <c r="C519" s="353"/>
      <c r="D519" s="434"/>
      <c r="E519" s="434"/>
      <c r="F519" s="434"/>
      <c r="G519" s="434"/>
      <c r="H519" s="434"/>
      <c r="I519" s="353"/>
      <c r="J519" s="353"/>
      <c r="K519" s="292"/>
      <c r="L519" s="292"/>
      <c r="M519" s="402"/>
      <c r="N519" s="298"/>
      <c r="O519" s="403"/>
      <c r="P519" s="295"/>
      <c r="R519" s="348" t="str">
        <f>R513</f>
        <v>DELETE</v>
      </c>
    </row>
    <row r="520" spans="3:24" ht="9" customHeight="1" x14ac:dyDescent="0.5">
      <c r="C520" s="353"/>
      <c r="D520" s="434"/>
      <c r="E520" s="434"/>
      <c r="F520" s="434"/>
      <c r="G520" s="434"/>
      <c r="H520" s="434"/>
      <c r="I520" s="353"/>
      <c r="J520" s="353"/>
      <c r="K520" s="292"/>
      <c r="L520" s="292"/>
      <c r="M520" s="296"/>
      <c r="N520" s="296"/>
      <c r="O520" s="296"/>
      <c r="P520" s="295"/>
      <c r="R520" s="348" t="str">
        <f>R513</f>
        <v>DELETE</v>
      </c>
    </row>
    <row r="521" spans="3:24" ht="36" customHeight="1" x14ac:dyDescent="0.5">
      <c r="C521" s="353"/>
      <c r="D521" s="433" t="s">
        <v>1046</v>
      </c>
      <c r="E521" s="434"/>
      <c r="F521" s="434"/>
      <c r="G521" s="434"/>
      <c r="H521" s="434"/>
      <c r="I521" s="353"/>
      <c r="J521" s="353"/>
      <c r="K521" s="292"/>
      <c r="L521" s="292"/>
      <c r="M521" s="296">
        <f>SUM(M524:M529)</f>
        <v>0</v>
      </c>
      <c r="N521" s="296"/>
      <c r="O521" s="296">
        <f>SUM(O524:O529)</f>
        <v>0</v>
      </c>
      <c r="P521" s="295"/>
      <c r="R521" s="348" t="str">
        <f>IF(M521=0,IF(O521=0,"DELETE"," ")," ")</f>
        <v>DELETE</v>
      </c>
      <c r="S521" s="333">
        <f>M521</f>
        <v>0</v>
      </c>
      <c r="T521" s="333"/>
      <c r="U521" s="333">
        <f>O521</f>
        <v>0</v>
      </c>
      <c r="V521" s="333"/>
      <c r="W521" s="333"/>
      <c r="X521" s="333"/>
    </row>
    <row r="522" spans="3:24" ht="9" customHeight="1" x14ac:dyDescent="0.5">
      <c r="C522" s="353"/>
      <c r="D522" s="434"/>
      <c r="E522" s="434"/>
      <c r="F522" s="434"/>
      <c r="G522" s="434"/>
      <c r="H522" s="434"/>
      <c r="I522" s="353"/>
      <c r="J522" s="353"/>
      <c r="K522" s="292"/>
      <c r="L522" s="292"/>
      <c r="M522" s="296"/>
      <c r="N522" s="296"/>
      <c r="O522" s="296"/>
      <c r="P522" s="295"/>
      <c r="R522" s="348" t="str">
        <f>R521</f>
        <v>DELETE</v>
      </c>
    </row>
    <row r="523" spans="3:24" ht="9" customHeight="1" x14ac:dyDescent="0.5">
      <c r="C523" s="353"/>
      <c r="D523" s="434"/>
      <c r="E523" s="434"/>
      <c r="F523" s="434"/>
      <c r="G523" s="434"/>
      <c r="H523" s="434"/>
      <c r="I523" s="353"/>
      <c r="J523" s="353"/>
      <c r="K523" s="292"/>
      <c r="L523" s="292"/>
      <c r="M523" s="398"/>
      <c r="N523" s="297"/>
      <c r="O523" s="399"/>
      <c r="P523" s="295"/>
      <c r="R523" s="348" t="str">
        <f>R521</f>
        <v>DELETE</v>
      </c>
    </row>
    <row r="524" spans="3:24" ht="36" customHeight="1" x14ac:dyDescent="0.5">
      <c r="C524" s="353"/>
      <c r="D524" s="434" t="s">
        <v>684</v>
      </c>
      <c r="E524" s="434"/>
      <c r="F524" s="434"/>
      <c r="G524" s="434"/>
      <c r="H524" s="434"/>
      <c r="I524" s="353"/>
      <c r="J524" s="353"/>
      <c r="K524" s="292">
        <f>B2080</f>
        <v>25</v>
      </c>
      <c r="L524" s="292"/>
      <c r="M524" s="400">
        <f>-SUM(TrialBalance!L379:L384)-IF(TrialBalance!L399&lt;0,TrialBalance!L399,0)</f>
        <v>0</v>
      </c>
      <c r="N524" s="296"/>
      <c r="O524" s="401">
        <f>-SUM(TrialBalance!N379:N384)-IF(TrialBalance!N399&lt;0,TrialBalance!N399,0)</f>
        <v>0</v>
      </c>
      <c r="P524" s="295"/>
      <c r="R524" s="348" t="str">
        <f t="shared" ref="R524:R529" si="7">IF(M524=0,IF(O524=0,"DELETE"," ")," ")</f>
        <v>DELETE</v>
      </c>
      <c r="V524" s="331" t="b">
        <f>M524=M2090</f>
        <v>1</v>
      </c>
      <c r="X524" s="331" t="b">
        <f>O524=O2090</f>
        <v>1</v>
      </c>
    </row>
    <row r="525" spans="3:24" ht="36" customHeight="1" x14ac:dyDescent="0.5">
      <c r="C525" s="353"/>
      <c r="D525" s="434" t="str">
        <f>IF(COUNTIF(TrialBalance!L367:L372,"&lt;0")&gt;1,"Bank overdrafts",IF(COUNTIF(TrialBalance!N367:N372,"&lt;0")&gt;1,"Bank overdrafts","Bank overdraft"))</f>
        <v>Bank overdraft</v>
      </c>
      <c r="E525" s="434"/>
      <c r="F525" s="434"/>
      <c r="G525" s="434"/>
      <c r="H525" s="434"/>
      <c r="I525" s="353"/>
      <c r="J525" s="353"/>
      <c r="K525" s="292">
        <f>B2107</f>
        <v>26</v>
      </c>
      <c r="L525" s="292"/>
      <c r="M525" s="400">
        <f>IF(TrialBalance!L367&lt;0,-TrialBalance!L367,0)+IF(TrialBalance!L368&lt;0,-TrialBalance!L368,0)+IF(TrialBalance!L369&lt;0,-TrialBalance!L369,0)+IF(TrialBalance!L370&lt;0,-TrialBalance!L370,0)+IF(TrialBalance!L371&lt;0,-TrialBalance!L371,0)+IF(TrialBalance!L372&lt;0,-TrialBalance!L372,0)</f>
        <v>0</v>
      </c>
      <c r="N525" s="296"/>
      <c r="O525" s="401">
        <f>IF(TrialBalance!N367&lt;0,-TrialBalance!N367,0)+IF(TrialBalance!N368&lt;0,-TrialBalance!N368,0)+IF(TrialBalance!N369&lt;0,-TrialBalance!N369,0)+IF(TrialBalance!N370&lt;0,-TrialBalance!N370,0)+IF(TrialBalance!N371&lt;0,-TrialBalance!N371,0)+IF(TrialBalance!N372&lt;0,-TrialBalance!N372,0)</f>
        <v>0</v>
      </c>
      <c r="P525" s="295"/>
      <c r="R525" s="348" t="str">
        <f t="shared" si="7"/>
        <v>DELETE</v>
      </c>
      <c r="V525" s="331" t="b">
        <f>M525=M2117</f>
        <v>1</v>
      </c>
      <c r="X525" s="331" t="b">
        <f>O525=O2117</f>
        <v>1</v>
      </c>
    </row>
    <row r="526" spans="3:24" ht="36" customHeight="1" x14ac:dyDescent="0.5">
      <c r="C526" s="353"/>
      <c r="D526" s="434" t="str">
        <f>IF(COUNTIF(TrialBalance!L375:L377,"&lt;0")&gt;1,"Short term loans",IF(COUNTIF(TrialBalance!N375:N377,"&lt;0")&gt;1,"Short term loans","Short term loan"))</f>
        <v>Short term loan</v>
      </c>
      <c r="E526" s="434"/>
      <c r="F526" s="434"/>
      <c r="G526" s="434"/>
      <c r="H526" s="434"/>
      <c r="I526" s="353"/>
      <c r="J526" s="353"/>
      <c r="K526" s="292">
        <f>B2134</f>
        <v>27</v>
      </c>
      <c r="L526" s="292"/>
      <c r="M526" s="400">
        <f>-SUM(TrialBalance!L375:L377)</f>
        <v>0</v>
      </c>
      <c r="N526" s="296"/>
      <c r="O526" s="401">
        <f>-SUM(TrialBalance!N375:N377)</f>
        <v>0</v>
      </c>
      <c r="P526" s="295"/>
      <c r="R526" s="348" t="str">
        <f t="shared" si="7"/>
        <v>DELETE</v>
      </c>
      <c r="V526" s="331" t="b">
        <f>M526=M2141</f>
        <v>1</v>
      </c>
      <c r="X526" s="331" t="b">
        <f>O526=O2141</f>
        <v>1</v>
      </c>
    </row>
    <row r="527" spans="3:24" ht="36" customHeight="1" x14ac:dyDescent="0.5">
      <c r="C527" s="353"/>
      <c r="D527" s="434" t="str">
        <f>IF(COUNTIF(TrialBalance!L186:L200,"&lt;0")&gt;1,"Current portion of interest bearing loans",IF(COUNTIF(TrialBalance!N186:N200,"&lt;0")&gt;1,"Current portion of interest bearing loans","Current portion of interest bearing loan"))</f>
        <v>Current portion of interest bearing loan</v>
      </c>
      <c r="E527" s="434"/>
      <c r="F527" s="434"/>
      <c r="G527" s="434"/>
      <c r="H527" s="434"/>
      <c r="I527" s="353"/>
      <c r="J527" s="353"/>
      <c r="K527" s="292">
        <f>B1923</f>
        <v>22</v>
      </c>
      <c r="L527" s="292"/>
      <c r="M527" s="400">
        <f>-TrialBalance!L378</f>
        <v>0</v>
      </c>
      <c r="N527" s="296"/>
      <c r="O527" s="401">
        <f>-TrialBalance!N378</f>
        <v>0</v>
      </c>
      <c r="P527" s="295"/>
      <c r="R527" s="348" t="str">
        <f t="shared" si="7"/>
        <v>DELETE</v>
      </c>
      <c r="V527" s="331" t="b">
        <f>M527=M1943</f>
        <v>1</v>
      </c>
      <c r="X527" s="331" t="b">
        <f>O527=O1943</f>
        <v>1</v>
      </c>
    </row>
    <row r="528" spans="3:24" ht="36" customHeight="1" x14ac:dyDescent="0.5">
      <c r="C528" s="353"/>
      <c r="D528" s="434" t="str">
        <f>IF(COUNTIF(TrialBalance!L393:L397,"&lt;0")&gt;1,"Provisions",IF(COUNTIF(TrialBalance!N393:N397,"&lt;0")&gt;1,"Provisions","Provision"))</f>
        <v>Provision</v>
      </c>
      <c r="E528" s="434"/>
      <c r="F528" s="434"/>
      <c r="G528" s="434"/>
      <c r="H528" s="434"/>
      <c r="I528" s="353"/>
      <c r="J528" s="353"/>
      <c r="K528" s="292">
        <f>B2158</f>
        <v>28</v>
      </c>
      <c r="L528" s="292"/>
      <c r="M528" s="400">
        <f>-SUM(TrialBalance!L393:L397)</f>
        <v>0</v>
      </c>
      <c r="N528" s="296"/>
      <c r="O528" s="401">
        <f>-SUM(TrialBalance!N393:N397)</f>
        <v>0</v>
      </c>
      <c r="P528" s="295"/>
      <c r="R528" s="348" t="str">
        <f t="shared" si="7"/>
        <v>DELETE</v>
      </c>
      <c r="V528" s="331" t="b">
        <f>M528=M2167</f>
        <v>1</v>
      </c>
      <c r="X528" s="331" t="b">
        <f>O528=O2167</f>
        <v>1</v>
      </c>
    </row>
    <row r="529" spans="3:24" ht="36" customHeight="1" x14ac:dyDescent="0.5">
      <c r="C529" s="353"/>
      <c r="D529" s="434" t="s">
        <v>518</v>
      </c>
      <c r="E529" s="434"/>
      <c r="F529" s="434"/>
      <c r="G529" s="434"/>
      <c r="H529" s="434"/>
      <c r="I529" s="353"/>
      <c r="J529" s="353"/>
      <c r="K529" s="292">
        <f>B2184</f>
        <v>29</v>
      </c>
      <c r="L529" s="292"/>
      <c r="M529" s="400">
        <f>IF(-SUM(TrialBalance!L386:L392)&gt;0,-SUM(TrialBalance!L386:L392),0)</f>
        <v>0</v>
      </c>
      <c r="N529" s="296"/>
      <c r="O529" s="401">
        <f>IF(-SUM(TrialBalance!N386:N392)&gt;0,-SUM(TrialBalance!N386:N392),0)</f>
        <v>0</v>
      </c>
      <c r="P529" s="295"/>
      <c r="R529" s="348" t="str">
        <f t="shared" si="7"/>
        <v>DELETE</v>
      </c>
      <c r="V529" s="336" t="str">
        <f>IF(M529=0,"TRUE",M529=M2195)</f>
        <v>TRUE</v>
      </c>
      <c r="X529" s="336" t="str">
        <f>IF(O529=0,"TRUE",O529=O2195)</f>
        <v>TRUE</v>
      </c>
    </row>
    <row r="530" spans="3:24" ht="9" customHeight="1" x14ac:dyDescent="0.5">
      <c r="C530" s="353"/>
      <c r="D530" s="434"/>
      <c r="E530" s="434"/>
      <c r="F530" s="434"/>
      <c r="G530" s="434"/>
      <c r="H530" s="434"/>
      <c r="I530" s="353"/>
      <c r="J530" s="353"/>
      <c r="K530" s="292"/>
      <c r="L530" s="292"/>
      <c r="M530" s="402"/>
      <c r="N530" s="298"/>
      <c r="O530" s="403"/>
      <c r="P530" s="295"/>
      <c r="R530" s="348" t="str">
        <f>R521</f>
        <v>DELETE</v>
      </c>
    </row>
    <row r="531" spans="3:24" ht="9" customHeight="1" x14ac:dyDescent="0.5">
      <c r="C531" s="353"/>
      <c r="D531" s="434"/>
      <c r="E531" s="434"/>
      <c r="F531" s="434"/>
      <c r="G531" s="434"/>
      <c r="H531" s="434"/>
      <c r="I531" s="353"/>
      <c r="J531" s="353"/>
      <c r="K531" s="292"/>
      <c r="L531" s="292"/>
      <c r="M531" s="296"/>
      <c r="N531" s="296"/>
      <c r="O531" s="296"/>
      <c r="P531" s="295"/>
      <c r="R531" s="348" t="str">
        <f>R521</f>
        <v>DELETE</v>
      </c>
    </row>
    <row r="532" spans="3:24" ht="9" customHeight="1" x14ac:dyDescent="0.5">
      <c r="C532" s="353"/>
      <c r="D532" s="434"/>
      <c r="E532" s="434"/>
      <c r="F532" s="434"/>
      <c r="G532" s="434"/>
      <c r="H532" s="434"/>
      <c r="I532" s="353"/>
      <c r="J532" s="353"/>
      <c r="K532" s="292"/>
      <c r="L532" s="292"/>
      <c r="M532" s="298"/>
      <c r="N532" s="298"/>
      <c r="O532" s="298"/>
      <c r="P532" s="295"/>
    </row>
    <row r="533" spans="3:24" ht="9" customHeight="1" x14ac:dyDescent="0.5">
      <c r="C533" s="353"/>
      <c r="D533" s="434"/>
      <c r="E533" s="434"/>
      <c r="F533" s="434"/>
      <c r="G533" s="434"/>
      <c r="H533" s="434"/>
      <c r="I533" s="353"/>
      <c r="J533" s="353"/>
      <c r="K533" s="292"/>
      <c r="L533" s="292"/>
      <c r="M533" s="296"/>
      <c r="N533" s="296"/>
      <c r="O533" s="296"/>
      <c r="P533" s="295"/>
    </row>
    <row r="534" spans="3:24" ht="36.75" customHeight="1" x14ac:dyDescent="0.5">
      <c r="C534" s="353"/>
      <c r="D534" s="433" t="s">
        <v>1047</v>
      </c>
      <c r="E534" s="434"/>
      <c r="F534" s="434"/>
      <c r="G534" s="434"/>
      <c r="H534" s="434"/>
      <c r="I534" s="353"/>
      <c r="J534" s="429"/>
      <c r="K534" s="292"/>
      <c r="L534" s="292"/>
      <c r="M534" s="296">
        <f>SUM(S504:S531)</f>
        <v>0</v>
      </c>
      <c r="N534" s="296"/>
      <c r="O534" s="296">
        <f>SUM(U504:U531)</f>
        <v>0</v>
      </c>
      <c r="P534" s="295"/>
      <c r="R534" s="445"/>
    </row>
    <row r="535" spans="3:24" ht="9" customHeight="1" thickBot="1" x14ac:dyDescent="0.55000000000000004">
      <c r="C535" s="353"/>
      <c r="D535" s="434"/>
      <c r="E535" s="434"/>
      <c r="F535" s="434"/>
      <c r="G535" s="434"/>
      <c r="H535" s="434"/>
      <c r="I535" s="353"/>
      <c r="J535" s="429"/>
      <c r="K535" s="292"/>
      <c r="L535" s="292"/>
      <c r="M535" s="299"/>
      <c r="N535" s="299"/>
      <c r="O535" s="299"/>
      <c r="P535" s="295"/>
    </row>
    <row r="536" spans="3:24" ht="9" customHeight="1" thickTop="1" x14ac:dyDescent="0.5">
      <c r="C536" s="353"/>
      <c r="D536" s="434"/>
      <c r="E536" s="434"/>
      <c r="F536" s="434"/>
      <c r="G536" s="434"/>
      <c r="H536" s="434"/>
      <c r="I536" s="353"/>
      <c r="J536" s="429"/>
      <c r="K536" s="292"/>
      <c r="L536" s="292"/>
      <c r="M536" s="296"/>
      <c r="N536" s="296"/>
      <c r="O536" s="296"/>
      <c r="P536" s="295"/>
    </row>
    <row r="537" spans="3:24" ht="36" customHeight="1" x14ac:dyDescent="0.5">
      <c r="C537" s="353"/>
      <c r="D537" s="434"/>
      <c r="E537" s="434"/>
      <c r="F537" s="434"/>
      <c r="G537" s="434"/>
      <c r="H537" s="434"/>
      <c r="I537" s="353"/>
      <c r="J537" s="429"/>
      <c r="K537" s="292"/>
      <c r="L537" s="292"/>
      <c r="M537" s="296"/>
      <c r="N537" s="296"/>
      <c r="O537" s="296"/>
      <c r="P537" s="295"/>
    </row>
    <row r="538" spans="3:24" ht="36" customHeight="1" x14ac:dyDescent="0.5">
      <c r="C538" s="353"/>
      <c r="D538" s="434"/>
      <c r="E538" s="434"/>
      <c r="F538" s="434"/>
      <c r="G538" s="434"/>
      <c r="H538" s="434"/>
      <c r="I538" s="353"/>
      <c r="J538" s="353"/>
      <c r="M538" s="347"/>
      <c r="O538" s="347"/>
    </row>
    <row r="539" spans="3:24" ht="36" customHeight="1" x14ac:dyDescent="0.5">
      <c r="C539" s="353"/>
      <c r="D539" s="353"/>
      <c r="E539" s="353"/>
      <c r="F539" s="353"/>
      <c r="G539" s="353"/>
      <c r="H539" s="353"/>
      <c r="I539" s="353"/>
      <c r="J539" s="353"/>
      <c r="M539" s="347"/>
      <c r="O539" s="295" t="s">
        <v>89</v>
      </c>
      <c r="Q539" s="292">
        <f>MAX($Q$105:Q538)+1</f>
        <v>11</v>
      </c>
    </row>
    <row r="540" spans="3:24" ht="36" customHeight="1" x14ac:dyDescent="0.5">
      <c r="C540" s="450"/>
      <c r="D540" s="456" t="str">
        <f>Criteria!E9</f>
        <v>HOLDING COMPANY 268 (PROPRIETARY) LIMITED</v>
      </c>
      <c r="E540" s="450"/>
      <c r="F540" s="450"/>
      <c r="G540" s="450"/>
      <c r="H540" s="450"/>
      <c r="I540" s="353"/>
      <c r="J540" s="353"/>
      <c r="M540" s="347"/>
      <c r="O540" s="347"/>
    </row>
    <row r="541" spans="3:24" ht="36" customHeight="1" x14ac:dyDescent="0.5">
      <c r="C541" s="450"/>
      <c r="D541" s="456" t="str">
        <f>Criteria!E10</f>
        <v>CONSOLIDATED FINANCIAL STATEMENTS</v>
      </c>
      <c r="E541" s="450"/>
      <c r="F541" s="450"/>
      <c r="G541" s="450"/>
      <c r="H541" s="450"/>
      <c r="I541" s="353"/>
      <c r="J541" s="353"/>
      <c r="M541" s="347"/>
      <c r="O541" s="347"/>
      <c r="R541" s="348" t="str">
        <f>IF(D541=0,"DELETE"," ")</f>
        <v xml:space="preserve"> </v>
      </c>
    </row>
    <row r="542" spans="3:24" ht="36" customHeight="1" x14ac:dyDescent="0.5">
      <c r="C542" s="450"/>
      <c r="D542" s="450"/>
      <c r="E542" s="450"/>
      <c r="F542" s="450"/>
      <c r="G542" s="450"/>
      <c r="H542" s="450"/>
      <c r="I542" s="353"/>
      <c r="J542" s="353"/>
      <c r="M542" s="347"/>
      <c r="O542" s="347"/>
    </row>
    <row r="543" spans="3:24" ht="36" customHeight="1" x14ac:dyDescent="0.5">
      <c r="C543" s="450"/>
      <c r="D543" s="456" t="s">
        <v>1207</v>
      </c>
      <c r="E543" s="450"/>
      <c r="F543" s="450"/>
      <c r="G543" s="450"/>
      <c r="H543" s="450"/>
      <c r="I543" s="353"/>
      <c r="J543" s="353"/>
      <c r="M543" s="347"/>
      <c r="O543" s="347"/>
    </row>
    <row r="544" spans="3:24" ht="36" customHeight="1" x14ac:dyDescent="0.5">
      <c r="C544" s="450"/>
      <c r="D544" s="456" t="str">
        <f>CONCATENATE("YEAR ENDED ",Criteria!E20)</f>
        <v>YEAR ENDED 28 FEBRUARY 2025</v>
      </c>
      <c r="E544" s="450"/>
      <c r="F544" s="450"/>
      <c r="G544" s="450"/>
      <c r="H544" s="450"/>
      <c r="I544" s="353"/>
      <c r="J544" s="353"/>
      <c r="M544" s="347"/>
      <c r="O544" s="347"/>
    </row>
    <row r="545" spans="2:24" ht="36" customHeight="1" x14ac:dyDescent="0.5">
      <c r="C545" s="450"/>
      <c r="D545" s="450"/>
      <c r="E545" s="450"/>
      <c r="F545" s="450"/>
      <c r="G545" s="450"/>
      <c r="H545" s="450"/>
      <c r="I545" s="353"/>
      <c r="J545" s="353"/>
      <c r="K545" s="359"/>
      <c r="L545" s="359"/>
      <c r="M545" s="361"/>
      <c r="N545" s="361"/>
      <c r="O545" s="361"/>
    </row>
    <row r="546" spans="2:24" ht="36" customHeight="1" x14ac:dyDescent="0.5">
      <c r="B546" s="364"/>
      <c r="C546" s="460"/>
      <c r="D546" s="460"/>
      <c r="E546" s="460"/>
      <c r="F546" s="460"/>
      <c r="G546" s="460"/>
      <c r="H546" s="460"/>
      <c r="I546" s="411"/>
      <c r="J546" s="411"/>
      <c r="K546" s="292"/>
      <c r="L546" s="292"/>
      <c r="M546" s="294"/>
      <c r="N546" s="294"/>
      <c r="O546" s="294"/>
      <c r="P546" s="301"/>
      <c r="Q546" s="364"/>
    </row>
    <row r="547" spans="2:24" ht="36" customHeight="1" x14ac:dyDescent="0.5">
      <c r="C547" s="450"/>
      <c r="D547" s="450"/>
      <c r="E547" s="450"/>
      <c r="F547" s="450"/>
      <c r="G547" s="450"/>
      <c r="H547" s="450"/>
      <c r="I547" s="353"/>
      <c r="J547" s="353"/>
      <c r="K547" s="292"/>
      <c r="L547" s="292"/>
      <c r="M547" s="294">
        <f>Criteria!E22</f>
        <v>2025</v>
      </c>
      <c r="N547" s="294"/>
      <c r="O547" s="294">
        <f>Criteria!E27</f>
        <v>2024</v>
      </c>
      <c r="P547" s="294"/>
    </row>
    <row r="548" spans="2:24" ht="36" customHeight="1" x14ac:dyDescent="0.5">
      <c r="C548" s="450"/>
      <c r="D548" s="450"/>
      <c r="E548" s="450"/>
      <c r="F548" s="450"/>
      <c r="G548" s="450"/>
      <c r="H548" s="450"/>
      <c r="I548" s="353"/>
      <c r="J548" s="353"/>
      <c r="K548" s="292"/>
      <c r="L548" s="292"/>
      <c r="M548" s="295"/>
      <c r="N548" s="295"/>
      <c r="O548" s="295"/>
      <c r="P548" s="295"/>
    </row>
    <row r="549" spans="2:24" ht="36" customHeight="1" x14ac:dyDescent="0.5">
      <c r="B549" s="292">
        <v>1</v>
      </c>
      <c r="C549" s="456" t="s">
        <v>515</v>
      </c>
      <c r="D549" s="450"/>
      <c r="E549" s="450"/>
      <c r="F549" s="450"/>
      <c r="G549" s="450"/>
      <c r="H549" s="450"/>
      <c r="I549" s="353"/>
      <c r="J549" s="353"/>
      <c r="M549" s="305"/>
      <c r="N549" s="305"/>
      <c r="O549" s="296"/>
      <c r="P549" s="295"/>
    </row>
    <row r="550" spans="2:24" ht="36" customHeight="1" x14ac:dyDescent="0.5">
      <c r="B550" s="292"/>
      <c r="C550" s="450"/>
      <c r="D550" s="450"/>
      <c r="E550" s="450"/>
      <c r="F550" s="450"/>
      <c r="G550" s="450"/>
      <c r="H550" s="450"/>
      <c r="I550" s="353"/>
      <c r="J550" s="353"/>
      <c r="M550" s="305"/>
      <c r="N550" s="305"/>
      <c r="O550" s="296"/>
      <c r="P550" s="295"/>
    </row>
    <row r="551" spans="2:24" ht="36" customHeight="1" x14ac:dyDescent="0.5">
      <c r="B551" s="292"/>
      <c r="C551" s="450" t="s">
        <v>462</v>
      </c>
      <c r="D551" s="459"/>
      <c r="E551" s="450"/>
      <c r="F551" s="450"/>
      <c r="G551" s="450"/>
      <c r="H551" s="450"/>
      <c r="I551" s="353"/>
      <c r="J551" s="353"/>
      <c r="M551" s="306">
        <f>O555</f>
        <v>0</v>
      </c>
      <c r="N551" s="306"/>
      <c r="O551" s="296">
        <f>-TrialBalance!N170</f>
        <v>0</v>
      </c>
      <c r="P551" s="295"/>
    </row>
    <row r="552" spans="2:24" ht="36" customHeight="1" x14ac:dyDescent="0.5">
      <c r="B552" s="292"/>
      <c r="C552" s="450" t="s">
        <v>463</v>
      </c>
      <c r="D552" s="459"/>
      <c r="E552" s="450"/>
      <c r="F552" s="450"/>
      <c r="G552" s="450"/>
      <c r="H552" s="450"/>
      <c r="I552" s="353"/>
      <c r="J552" s="353"/>
      <c r="M552" s="306">
        <f>-TrialBalance!L171</f>
        <v>0</v>
      </c>
      <c r="N552" s="306"/>
      <c r="O552" s="296">
        <f>-TrialBalance!N171</f>
        <v>0</v>
      </c>
      <c r="P552" s="295"/>
    </row>
    <row r="553" spans="2:24" ht="9" customHeight="1" x14ac:dyDescent="0.5">
      <c r="B553" s="292"/>
      <c r="C553" s="450"/>
      <c r="D553" s="459"/>
      <c r="E553" s="450"/>
      <c r="F553" s="450"/>
      <c r="G553" s="450"/>
      <c r="H553" s="450"/>
      <c r="I553" s="353"/>
      <c r="J553" s="353"/>
      <c r="M553" s="307"/>
      <c r="N553" s="307"/>
      <c r="O553" s="406"/>
      <c r="P553" s="295"/>
    </row>
    <row r="554" spans="2:24" ht="9" customHeight="1" x14ac:dyDescent="0.5">
      <c r="B554" s="292"/>
      <c r="C554" s="450"/>
      <c r="D554" s="459"/>
      <c r="E554" s="450"/>
      <c r="F554" s="450"/>
      <c r="G554" s="450"/>
      <c r="H554" s="450"/>
      <c r="I554" s="353"/>
      <c r="J554" s="353"/>
      <c r="M554" s="306"/>
      <c r="N554" s="306"/>
      <c r="O554" s="296"/>
      <c r="P554" s="295"/>
    </row>
    <row r="555" spans="2:24" ht="36.75" customHeight="1" x14ac:dyDescent="0.5">
      <c r="B555" s="292"/>
      <c r="C555" s="450" t="s">
        <v>464</v>
      </c>
      <c r="D555" s="459"/>
      <c r="E555" s="450"/>
      <c r="F555" s="450"/>
      <c r="G555" s="450"/>
      <c r="H555" s="450"/>
      <c r="I555" s="353"/>
      <c r="J555" s="353"/>
      <c r="M555" s="296">
        <f>SUM(M551:M554)</f>
        <v>0</v>
      </c>
      <c r="N555" s="306"/>
      <c r="O555" s="296">
        <f>SUM(O551:O554)</f>
        <v>0</v>
      </c>
      <c r="P555" s="295"/>
      <c r="V555" s="331" t="b">
        <f>M555=M1847</f>
        <v>1</v>
      </c>
      <c r="X555" s="331" t="b">
        <f>O555=O1847</f>
        <v>1</v>
      </c>
    </row>
    <row r="556" spans="2:24" ht="9" customHeight="1" thickBot="1" x14ac:dyDescent="0.55000000000000004">
      <c r="B556" s="292"/>
      <c r="C556" s="450"/>
      <c r="D556" s="450"/>
      <c r="E556" s="450"/>
      <c r="F556" s="450"/>
      <c r="G556" s="450"/>
      <c r="H556" s="450"/>
      <c r="I556" s="353"/>
      <c r="J556" s="353"/>
      <c r="M556" s="308"/>
      <c r="N556" s="308"/>
      <c r="O556" s="299"/>
      <c r="P556" s="295"/>
    </row>
    <row r="557" spans="2:24" ht="9" customHeight="1" thickTop="1" x14ac:dyDescent="0.5">
      <c r="B557" s="292"/>
      <c r="C557" s="450"/>
      <c r="D557" s="450"/>
      <c r="E557" s="450"/>
      <c r="F557" s="450"/>
      <c r="G557" s="450"/>
      <c r="H557" s="450"/>
      <c r="I557" s="353"/>
      <c r="J557" s="353"/>
      <c r="M557" s="309"/>
      <c r="N557" s="309"/>
      <c r="O557" s="310"/>
      <c r="P557" s="295"/>
    </row>
    <row r="558" spans="2:24" ht="36" customHeight="1" x14ac:dyDescent="0.5">
      <c r="B558" s="292"/>
      <c r="C558" s="450"/>
      <c r="D558" s="450"/>
      <c r="E558" s="450"/>
      <c r="F558" s="450"/>
      <c r="G558" s="450"/>
      <c r="H558" s="450"/>
      <c r="I558" s="353"/>
      <c r="J558" s="353"/>
      <c r="M558" s="306"/>
      <c r="N558" s="306"/>
      <c r="O558" s="296"/>
      <c r="P558" s="295"/>
      <c r="R558" s="348" t="str">
        <f>R559</f>
        <v>DELETE</v>
      </c>
    </row>
    <row r="559" spans="2:24" ht="36" customHeight="1" x14ac:dyDescent="0.5">
      <c r="B559" s="292">
        <f>MAX(B$549:B558)+1</f>
        <v>2</v>
      </c>
      <c r="C559" s="456" t="s">
        <v>516</v>
      </c>
      <c r="D559" s="450"/>
      <c r="E559" s="450"/>
      <c r="F559" s="450"/>
      <c r="G559" s="450"/>
      <c r="H559" s="450"/>
      <c r="I559" s="353"/>
      <c r="J559" s="353"/>
      <c r="M559" s="306"/>
      <c r="N559" s="306"/>
      <c r="O559" s="296"/>
      <c r="P559" s="295"/>
      <c r="R559" s="348" t="str">
        <f>R566</f>
        <v>DELETE</v>
      </c>
    </row>
    <row r="560" spans="2:24" ht="36" customHeight="1" x14ac:dyDescent="0.5">
      <c r="B560" s="292"/>
      <c r="C560" s="450"/>
      <c r="D560" s="450"/>
      <c r="E560" s="450"/>
      <c r="F560" s="450"/>
      <c r="G560" s="450"/>
      <c r="H560" s="450"/>
      <c r="I560" s="353"/>
      <c r="J560" s="353"/>
      <c r="M560" s="306"/>
      <c r="N560" s="306"/>
      <c r="O560" s="296"/>
      <c r="P560" s="295"/>
      <c r="R560" s="348" t="str">
        <f>R566</f>
        <v>DELETE</v>
      </c>
    </row>
    <row r="561" spans="2:24" ht="36" customHeight="1" x14ac:dyDescent="0.5">
      <c r="B561" s="292"/>
      <c r="C561" s="450" t="s">
        <v>466</v>
      </c>
      <c r="D561" s="459"/>
      <c r="E561" s="450"/>
      <c r="F561" s="450"/>
      <c r="G561" s="450"/>
      <c r="H561" s="450"/>
      <c r="I561" s="353"/>
      <c r="J561" s="353"/>
      <c r="M561" s="306">
        <f>O566</f>
        <v>0</v>
      </c>
      <c r="N561" s="306"/>
      <c r="O561" s="300">
        <f>-TrialBalance!N173</f>
        <v>0</v>
      </c>
      <c r="P561" s="295"/>
      <c r="R561" s="348" t="str">
        <f>R566</f>
        <v>DELETE</v>
      </c>
    </row>
    <row r="562" spans="2:24" ht="36" customHeight="1" x14ac:dyDescent="0.5">
      <c r="B562" s="292"/>
      <c r="C562" s="450" t="s">
        <v>467</v>
      </c>
      <c r="D562" s="459"/>
      <c r="E562" s="450"/>
      <c r="F562" s="450"/>
      <c r="G562" s="450"/>
      <c r="H562" s="450"/>
      <c r="I562" s="353"/>
      <c r="J562" s="353"/>
      <c r="M562" s="306">
        <f>-TrialBalance!L174</f>
        <v>0</v>
      </c>
      <c r="N562" s="306"/>
      <c r="O562" s="300">
        <f>-TrialBalance!N174</f>
        <v>0</v>
      </c>
      <c r="P562" s="295"/>
      <c r="R562" s="348" t="str">
        <f>IF(M562=0,IF(O562=0,"DELETE"," ")," ")</f>
        <v>DELETE</v>
      </c>
    </row>
    <row r="563" spans="2:24" ht="36" customHeight="1" x14ac:dyDescent="0.5">
      <c r="B563" s="292"/>
      <c r="C563" s="450" t="s">
        <v>468</v>
      </c>
      <c r="D563" s="459"/>
      <c r="E563" s="450"/>
      <c r="F563" s="450"/>
      <c r="G563" s="450"/>
      <c r="H563" s="450"/>
      <c r="I563" s="353"/>
      <c r="J563" s="353"/>
      <c r="M563" s="306">
        <f>-TrialBalance!L175</f>
        <v>0</v>
      </c>
      <c r="N563" s="306"/>
      <c r="O563" s="300">
        <f>-TrialBalance!N175</f>
        <v>0</v>
      </c>
      <c r="P563" s="295"/>
      <c r="R563" s="348" t="str">
        <f>IF(M563=0,IF(O563=0,"DELETE"," ")," ")</f>
        <v>DELETE</v>
      </c>
    </row>
    <row r="564" spans="2:24" ht="9" customHeight="1" x14ac:dyDescent="0.5">
      <c r="B564" s="292"/>
      <c r="C564" s="450"/>
      <c r="D564" s="459"/>
      <c r="E564" s="450"/>
      <c r="F564" s="450"/>
      <c r="G564" s="450"/>
      <c r="H564" s="450"/>
      <c r="I564" s="353"/>
      <c r="J564" s="353"/>
      <c r="M564" s="307"/>
      <c r="N564" s="307"/>
      <c r="O564" s="406"/>
      <c r="P564" s="295"/>
      <c r="R564" s="348" t="str">
        <f>R566</f>
        <v>DELETE</v>
      </c>
    </row>
    <row r="565" spans="2:24" ht="9" customHeight="1" x14ac:dyDescent="0.5">
      <c r="B565" s="292"/>
      <c r="C565" s="450"/>
      <c r="D565" s="459"/>
      <c r="E565" s="450"/>
      <c r="F565" s="450"/>
      <c r="G565" s="450"/>
      <c r="H565" s="450"/>
      <c r="I565" s="353"/>
      <c r="J565" s="353"/>
      <c r="M565" s="306"/>
      <c r="N565" s="306"/>
      <c r="O565" s="296"/>
      <c r="P565" s="295"/>
      <c r="R565" s="348" t="str">
        <f>R566</f>
        <v>DELETE</v>
      </c>
    </row>
    <row r="566" spans="2:24" ht="36.75" customHeight="1" x14ac:dyDescent="0.5">
      <c r="B566" s="292"/>
      <c r="C566" s="450" t="s">
        <v>469</v>
      </c>
      <c r="D566" s="459"/>
      <c r="E566" s="450"/>
      <c r="F566" s="450"/>
      <c r="G566" s="450"/>
      <c r="H566" s="450"/>
      <c r="I566" s="353"/>
      <c r="J566" s="353"/>
      <c r="M566" s="296">
        <f>SUM(M561:M564)</f>
        <v>0</v>
      </c>
      <c r="N566" s="306"/>
      <c r="O566" s="296">
        <f>SUM(O561:O564)</f>
        <v>0</v>
      </c>
      <c r="P566" s="295"/>
      <c r="R566" s="348" t="str">
        <f>IF(COUNTIF(O561:O563,"&gt;0")&gt;0," ",IF(COUNTIF(M561:M563,"&gt;0")&gt;0," ","DELETE"))</f>
        <v>DELETE</v>
      </c>
      <c r="V566" s="331" t="b">
        <f>M566=M1870</f>
        <v>1</v>
      </c>
      <c r="X566" s="331" t="b">
        <f>O566=O1870</f>
        <v>1</v>
      </c>
    </row>
    <row r="567" spans="2:24" ht="9" customHeight="1" thickBot="1" x14ac:dyDescent="0.55000000000000004">
      <c r="B567" s="292"/>
      <c r="C567" s="450"/>
      <c r="D567" s="450"/>
      <c r="E567" s="450"/>
      <c r="F567" s="450"/>
      <c r="G567" s="450"/>
      <c r="H567" s="450"/>
      <c r="I567" s="353"/>
      <c r="J567" s="353"/>
      <c r="M567" s="308"/>
      <c r="N567" s="308"/>
      <c r="O567" s="299"/>
      <c r="P567" s="295"/>
      <c r="R567" s="348" t="str">
        <f>R566</f>
        <v>DELETE</v>
      </c>
    </row>
    <row r="568" spans="2:24" ht="9" customHeight="1" thickTop="1" x14ac:dyDescent="0.5">
      <c r="B568" s="292"/>
      <c r="C568" s="450"/>
      <c r="D568" s="450"/>
      <c r="E568" s="450"/>
      <c r="F568" s="450"/>
      <c r="G568" s="450"/>
      <c r="H568" s="450"/>
      <c r="I568" s="353"/>
      <c r="J568" s="353"/>
      <c r="M568" s="309"/>
      <c r="N568" s="309"/>
      <c r="O568" s="310"/>
      <c r="P568" s="295"/>
      <c r="R568" s="348" t="str">
        <f>R567</f>
        <v>DELETE</v>
      </c>
    </row>
    <row r="569" spans="2:24" ht="36" customHeight="1" x14ac:dyDescent="0.5">
      <c r="B569" s="292"/>
      <c r="C569" s="450"/>
      <c r="D569" s="450"/>
      <c r="E569" s="450"/>
      <c r="F569" s="450"/>
      <c r="G569" s="450"/>
      <c r="H569" s="450"/>
      <c r="I569" s="353"/>
      <c r="J569" s="353"/>
      <c r="M569" s="306"/>
      <c r="N569" s="306"/>
      <c r="O569" s="296"/>
      <c r="P569" s="295"/>
      <c r="R569" s="348" t="str">
        <f>R567</f>
        <v>DELETE</v>
      </c>
    </row>
    <row r="570" spans="2:24" ht="36" customHeight="1" x14ac:dyDescent="0.5">
      <c r="B570" s="292">
        <f>MAX(B$549:B569)+1</f>
        <v>3</v>
      </c>
      <c r="C570" s="456" t="s">
        <v>13</v>
      </c>
      <c r="D570" s="450"/>
      <c r="E570" s="450"/>
      <c r="F570" s="450"/>
      <c r="G570" s="450"/>
      <c r="H570" s="450"/>
      <c r="I570" s="353"/>
      <c r="J570" s="353"/>
      <c r="M570" s="306"/>
      <c r="N570" s="306"/>
      <c r="O570" s="296"/>
      <c r="P570" s="295"/>
      <c r="R570" s="348" t="str">
        <f>R$577</f>
        <v>DELETE</v>
      </c>
    </row>
    <row r="571" spans="2:24" ht="36" customHeight="1" x14ac:dyDescent="0.5">
      <c r="B571" s="292"/>
      <c r="C571" s="450"/>
      <c r="D571" s="450"/>
      <c r="E571" s="450"/>
      <c r="F571" s="450"/>
      <c r="G571" s="450"/>
      <c r="H571" s="450"/>
      <c r="I571" s="353"/>
      <c r="J571" s="353"/>
      <c r="M571" s="306"/>
      <c r="N571" s="306"/>
      <c r="O571" s="296"/>
      <c r="P571" s="295"/>
      <c r="R571" s="348" t="str">
        <f>R$577</f>
        <v>DELETE</v>
      </c>
    </row>
    <row r="572" spans="2:24" ht="36" customHeight="1" x14ac:dyDescent="0.5">
      <c r="B572" s="292"/>
      <c r="C572" s="450" t="s">
        <v>105</v>
      </c>
      <c r="D572" s="459"/>
      <c r="E572" s="450"/>
      <c r="F572" s="450"/>
      <c r="G572" s="450"/>
      <c r="H572" s="450"/>
      <c r="I572" s="353"/>
      <c r="J572" s="353"/>
      <c r="M572" s="306">
        <f>O577</f>
        <v>0</v>
      </c>
      <c r="N572" s="306"/>
      <c r="O572" s="300">
        <f>-TrialBalance!N177-TrialBalance!N181</f>
        <v>0</v>
      </c>
      <c r="P572" s="295"/>
      <c r="R572" s="348" t="str">
        <f>R$577</f>
        <v>DELETE</v>
      </c>
    </row>
    <row r="573" spans="2:24" ht="36" customHeight="1" x14ac:dyDescent="0.5">
      <c r="B573" s="292"/>
      <c r="C573" s="450" t="s">
        <v>674</v>
      </c>
      <c r="D573" s="459"/>
      <c r="E573" s="450"/>
      <c r="F573" s="450"/>
      <c r="G573" s="450"/>
      <c r="H573" s="450"/>
      <c r="I573" s="353"/>
      <c r="J573" s="353"/>
      <c r="M573" s="300">
        <f>-TrialBalance!L178-TrialBalance!L182</f>
        <v>0</v>
      </c>
      <c r="N573" s="306"/>
      <c r="O573" s="300">
        <f>-TrialBalance!N178-TrialBalance!N182</f>
        <v>0</v>
      </c>
      <c r="P573" s="295"/>
      <c r="R573" s="348" t="str">
        <f>IF(M573+O573=0,"DELETE"," ")</f>
        <v>DELETE</v>
      </c>
    </row>
    <row r="574" spans="2:24" ht="36" customHeight="1" x14ac:dyDescent="0.5">
      <c r="B574" s="292"/>
      <c r="C574" s="450" t="s">
        <v>675</v>
      </c>
      <c r="D574" s="459"/>
      <c r="E574" s="450"/>
      <c r="F574" s="450"/>
      <c r="G574" s="450"/>
      <c r="H574" s="450"/>
      <c r="I574" s="353"/>
      <c r="J574" s="353"/>
      <c r="M574" s="296">
        <f>-TrialBalance!L179-TrialBalance!L183</f>
        <v>0</v>
      </c>
      <c r="N574" s="300"/>
      <c r="O574" s="296">
        <f>-TrialBalance!N179-TrialBalance!N183</f>
        <v>0</v>
      </c>
      <c r="P574" s="295"/>
      <c r="R574" s="348" t="str">
        <f>IF(M574+O574=0,"DELETE"," ")</f>
        <v>DELETE</v>
      </c>
    </row>
    <row r="575" spans="2:24" ht="9" customHeight="1" x14ac:dyDescent="0.5">
      <c r="B575" s="292"/>
      <c r="C575" s="450"/>
      <c r="D575" s="459"/>
      <c r="E575" s="450"/>
      <c r="F575" s="450"/>
      <c r="G575" s="450"/>
      <c r="H575" s="450"/>
      <c r="I575" s="353"/>
      <c r="J575" s="353"/>
      <c r="M575" s="307"/>
      <c r="N575" s="307"/>
      <c r="O575" s="406"/>
      <c r="P575" s="295"/>
      <c r="R575" s="348" t="str">
        <f>R$577</f>
        <v>DELETE</v>
      </c>
    </row>
    <row r="576" spans="2:24" ht="9" customHeight="1" x14ac:dyDescent="0.5">
      <c r="B576" s="292"/>
      <c r="C576" s="450"/>
      <c r="D576" s="459"/>
      <c r="E576" s="450"/>
      <c r="F576" s="450"/>
      <c r="G576" s="450"/>
      <c r="H576" s="450"/>
      <c r="I576" s="353"/>
      <c r="J576" s="353"/>
      <c r="M576" s="306"/>
      <c r="N576" s="306"/>
      <c r="O576" s="296"/>
      <c r="P576" s="295"/>
      <c r="R576" s="348" t="str">
        <f>R$577</f>
        <v>DELETE</v>
      </c>
    </row>
    <row r="577" spans="2:26" ht="36.75" customHeight="1" x14ac:dyDescent="0.5">
      <c r="B577" s="292"/>
      <c r="C577" s="450" t="s">
        <v>470</v>
      </c>
      <c r="D577" s="459"/>
      <c r="E577" s="450"/>
      <c r="F577" s="450"/>
      <c r="G577" s="450"/>
      <c r="H577" s="450"/>
      <c r="I577" s="353"/>
      <c r="J577" s="353"/>
      <c r="M577" s="296">
        <f>SUM(M572:M575)</f>
        <v>0</v>
      </c>
      <c r="N577" s="306"/>
      <c r="O577" s="296">
        <f>SUM(O572:O575)</f>
        <v>0</v>
      </c>
      <c r="P577" s="295"/>
      <c r="R577" s="348" t="str">
        <f>IF(COUNTIF(O572:O574,"&gt;0")&gt;0," ",IF(COUNTIF(M572:M574,"&gt;0")&gt;0," ","DELETE"))</f>
        <v>DELETE</v>
      </c>
      <c r="V577" s="331" t="b">
        <f>M577=M1906</f>
        <v>1</v>
      </c>
      <c r="X577" s="331" t="b">
        <f>O577=O1906</f>
        <v>1</v>
      </c>
    </row>
    <row r="578" spans="2:26" ht="9" customHeight="1" thickBot="1" x14ac:dyDescent="0.55000000000000004">
      <c r="B578" s="292"/>
      <c r="C578" s="450"/>
      <c r="D578" s="450"/>
      <c r="E578" s="450"/>
      <c r="F578" s="450"/>
      <c r="G578" s="450"/>
      <c r="H578" s="450"/>
      <c r="I578" s="353"/>
      <c r="J578" s="353"/>
      <c r="M578" s="308"/>
      <c r="N578" s="308"/>
      <c r="O578" s="299"/>
      <c r="P578" s="295"/>
      <c r="R578" s="348" t="str">
        <f>R$577</f>
        <v>DELETE</v>
      </c>
    </row>
    <row r="579" spans="2:26" ht="9" customHeight="1" thickTop="1" x14ac:dyDescent="0.5">
      <c r="B579" s="292"/>
      <c r="C579" s="450"/>
      <c r="D579" s="450"/>
      <c r="E579" s="450"/>
      <c r="F579" s="450"/>
      <c r="G579" s="450"/>
      <c r="H579" s="450"/>
      <c r="I579" s="353"/>
      <c r="J579" s="353"/>
      <c r="M579" s="306"/>
      <c r="N579" s="306"/>
      <c r="O579" s="300"/>
      <c r="P579" s="295"/>
      <c r="R579" s="348" t="str">
        <f>R$577</f>
        <v>DELETE</v>
      </c>
    </row>
    <row r="580" spans="2:26" ht="36" customHeight="1" x14ac:dyDescent="0.5">
      <c r="B580" s="292"/>
      <c r="C580" s="450"/>
      <c r="D580" s="450"/>
      <c r="E580" s="450"/>
      <c r="F580" s="450"/>
      <c r="G580" s="450"/>
      <c r="H580" s="450"/>
      <c r="I580" s="353"/>
      <c r="J580" s="353"/>
      <c r="M580" s="306"/>
      <c r="N580" s="306"/>
      <c r="O580" s="296"/>
      <c r="P580" s="295"/>
    </row>
    <row r="581" spans="2:26" ht="36" customHeight="1" x14ac:dyDescent="0.5">
      <c r="B581" s="292">
        <f>MAX(B$549:B580)+1</f>
        <v>4</v>
      </c>
      <c r="C581" s="461" t="str">
        <f>IF((Y581+Z581)=3,"Retained income/(Accumulated loss)",(IF((Y581+Z581=4),"Retained income","Accumulated loss")))</f>
        <v>Retained income</v>
      </c>
      <c r="D581" s="450"/>
      <c r="E581" s="450"/>
      <c r="F581" s="450"/>
      <c r="G581" s="450"/>
      <c r="H581" s="450"/>
      <c r="I581" s="353"/>
      <c r="J581" s="353"/>
      <c r="M581" s="306"/>
      <c r="N581" s="306"/>
      <c r="O581" s="296"/>
      <c r="P581" s="295"/>
      <c r="Y581" s="331">
        <f>IF(M588&lt;0,1,IF(M588=0,IF(O588&lt;0,1,2),2))</f>
        <v>2</v>
      </c>
      <c r="Z581" s="331">
        <f>IF(O588&lt;0,1,IF(O588=0,IF(M588&lt;0,1,2),2))</f>
        <v>2</v>
      </c>
    </row>
    <row r="582" spans="2:26" ht="36" customHeight="1" x14ac:dyDescent="0.5">
      <c r="B582" s="292"/>
      <c r="C582" s="450"/>
      <c r="D582" s="450"/>
      <c r="E582" s="450"/>
      <c r="F582" s="450"/>
      <c r="G582" s="450"/>
      <c r="H582" s="450"/>
      <c r="I582" s="353"/>
      <c r="J582" s="353"/>
      <c r="M582" s="306"/>
      <c r="N582" s="306"/>
      <c r="O582" s="296"/>
      <c r="P582" s="295"/>
    </row>
    <row r="583" spans="2:26" ht="36" customHeight="1" x14ac:dyDescent="0.5">
      <c r="B583" s="292"/>
      <c r="C583" s="450" t="s">
        <v>105</v>
      </c>
      <c r="D583" s="459"/>
      <c r="E583" s="450"/>
      <c r="F583" s="450"/>
      <c r="G583" s="450"/>
      <c r="H583" s="450"/>
      <c r="I583" s="353"/>
      <c r="J583" s="353"/>
      <c r="M583" s="306">
        <f>O588</f>
        <v>0</v>
      </c>
      <c r="N583" s="350"/>
      <c r="O583" s="306">
        <f>-TrialBalance!N184</f>
        <v>0</v>
      </c>
      <c r="P583" s="295"/>
      <c r="S583" s="333"/>
      <c r="T583" s="333"/>
      <c r="U583" s="333"/>
    </row>
    <row r="584" spans="2:26" ht="36" customHeight="1" x14ac:dyDescent="0.5">
      <c r="B584" s="292"/>
      <c r="C584" s="458" t="str">
        <f>IF((Y584+Z584)=3,"Net profit/(loss) for the year after taxation",(IF((Y584+Z584=4),"Net profit for the year after taxation","Net loss for the year after taxation")))</f>
        <v>Net profit for the year after taxation</v>
      </c>
      <c r="D584" s="459"/>
      <c r="E584" s="450"/>
      <c r="F584" s="450"/>
      <c r="G584" s="450"/>
      <c r="H584" s="450"/>
      <c r="I584" s="353"/>
      <c r="J584" s="353"/>
      <c r="M584" s="296">
        <f>M449</f>
        <v>0</v>
      </c>
      <c r="N584" s="306"/>
      <c r="O584" s="296">
        <f>O449</f>
        <v>0</v>
      </c>
      <c r="P584" s="295"/>
      <c r="S584" s="333"/>
      <c r="T584" s="333"/>
      <c r="U584" s="333"/>
      <c r="Y584" s="331">
        <f>IF(M584&lt;0,1,IF(M584=0,IF(O584&lt;0,1,2),2))</f>
        <v>2</v>
      </c>
      <c r="Z584" s="331">
        <f>IF(O584&lt;0,1,IF(O584=0,IF(M584&lt;0,1,2),2))</f>
        <v>2</v>
      </c>
    </row>
    <row r="585" spans="2:26" ht="36" customHeight="1" x14ac:dyDescent="0.5">
      <c r="B585" s="292"/>
      <c r="C585" s="450" t="s">
        <v>646</v>
      </c>
      <c r="D585" s="459"/>
      <c r="E585" s="450"/>
      <c r="F585" s="450"/>
      <c r="G585" s="450"/>
      <c r="H585" s="450"/>
      <c r="I585" s="353"/>
      <c r="J585" s="353"/>
      <c r="M585" s="296">
        <f>-SUM(TrialBalance!L164:L165)</f>
        <v>0</v>
      </c>
      <c r="N585" s="306"/>
      <c r="O585" s="296">
        <f>-SUM(TrialBalance!N164:N165)</f>
        <v>0</v>
      </c>
      <c r="P585" s="295"/>
      <c r="R585" s="348" t="str">
        <f>IF(M585=0,IF(O585=0,"DELETE"," ")," ")</f>
        <v>DELETE</v>
      </c>
      <c r="S585" s="333"/>
      <c r="T585" s="333"/>
      <c r="U585" s="333"/>
    </row>
    <row r="586" spans="2:26" ht="9" customHeight="1" x14ac:dyDescent="0.5">
      <c r="B586" s="292"/>
      <c r="C586" s="450"/>
      <c r="D586" s="459"/>
      <c r="E586" s="450"/>
      <c r="F586" s="450"/>
      <c r="G586" s="450"/>
      <c r="H586" s="450"/>
      <c r="I586" s="353"/>
      <c r="J586" s="353"/>
      <c r="M586" s="307"/>
      <c r="N586" s="307"/>
      <c r="O586" s="406"/>
      <c r="P586" s="295"/>
    </row>
    <row r="587" spans="2:26" ht="9" customHeight="1" x14ac:dyDescent="0.5">
      <c r="B587" s="292"/>
      <c r="C587" s="450"/>
      <c r="D587" s="459"/>
      <c r="E587" s="450"/>
      <c r="F587" s="450"/>
      <c r="G587" s="450"/>
      <c r="H587" s="450"/>
      <c r="I587" s="353"/>
      <c r="J587" s="353"/>
      <c r="M587" s="306"/>
      <c r="N587" s="306"/>
      <c r="O587" s="296"/>
      <c r="P587" s="295"/>
    </row>
    <row r="588" spans="2:26" ht="36.75" customHeight="1" x14ac:dyDescent="0.5">
      <c r="B588" s="292"/>
      <c r="C588" s="450" t="s">
        <v>470</v>
      </c>
      <c r="D588" s="459"/>
      <c r="E588" s="450"/>
      <c r="F588" s="450"/>
      <c r="G588" s="450"/>
      <c r="H588" s="450"/>
      <c r="I588" s="353"/>
      <c r="J588" s="353"/>
      <c r="M588" s="296">
        <f>SUM(M583:M586)</f>
        <v>0</v>
      </c>
      <c r="N588" s="306"/>
      <c r="O588" s="296">
        <f>SUM(O583:O586)</f>
        <v>0</v>
      </c>
      <c r="P588" s="295"/>
    </row>
    <row r="589" spans="2:26" ht="9" customHeight="1" thickBot="1" x14ac:dyDescent="0.55000000000000004">
      <c r="B589" s="292"/>
      <c r="C589" s="450"/>
      <c r="D589" s="450"/>
      <c r="E589" s="450"/>
      <c r="F589" s="450"/>
      <c r="G589" s="450"/>
      <c r="H589" s="450"/>
      <c r="I589" s="353"/>
      <c r="J589" s="353"/>
      <c r="M589" s="308"/>
      <c r="N589" s="308"/>
      <c r="O589" s="299"/>
      <c r="P589" s="295"/>
    </row>
    <row r="590" spans="2:26" ht="9" customHeight="1" thickTop="1" x14ac:dyDescent="0.5">
      <c r="B590" s="292"/>
      <c r="C590" s="450"/>
      <c r="D590" s="450"/>
      <c r="E590" s="450"/>
      <c r="F590" s="450"/>
      <c r="G590" s="450"/>
      <c r="H590" s="450"/>
      <c r="I590" s="353"/>
      <c r="J590" s="353"/>
      <c r="M590" s="306"/>
      <c r="N590" s="306"/>
      <c r="O590" s="296"/>
      <c r="P590" s="295"/>
    </row>
    <row r="591" spans="2:26" ht="36" customHeight="1" x14ac:dyDescent="0.5">
      <c r="B591" s="292"/>
      <c r="C591" s="450"/>
      <c r="D591" s="450"/>
      <c r="E591" s="450"/>
      <c r="F591" s="450"/>
      <c r="G591" s="450"/>
      <c r="H591" s="450"/>
      <c r="I591" s="353"/>
      <c r="J591" s="353"/>
      <c r="M591" s="306"/>
      <c r="N591" s="306"/>
      <c r="O591" s="296"/>
      <c r="P591" s="295"/>
    </row>
    <row r="592" spans="2:26" ht="36" customHeight="1" x14ac:dyDescent="0.5">
      <c r="C592" s="450"/>
      <c r="D592" s="450"/>
      <c r="E592" s="450"/>
      <c r="F592" s="450"/>
      <c r="G592" s="450"/>
      <c r="H592" s="450"/>
      <c r="I592" s="353"/>
      <c r="J592" s="353"/>
      <c r="K592" s="292"/>
      <c r="L592" s="292"/>
      <c r="M592" s="330"/>
      <c r="N592" s="330"/>
      <c r="O592" s="330"/>
      <c r="P592" s="330"/>
    </row>
    <row r="593" spans="2:18" ht="36" customHeight="1" x14ac:dyDescent="0.5">
      <c r="C593" s="450"/>
      <c r="D593" s="450"/>
      <c r="E593" s="450"/>
      <c r="F593" s="450"/>
      <c r="G593" s="450"/>
      <c r="H593" s="450"/>
      <c r="I593" s="353"/>
      <c r="J593" s="353"/>
      <c r="M593" s="347"/>
      <c r="O593" s="347"/>
    </row>
    <row r="594" spans="2:18" ht="36" customHeight="1" x14ac:dyDescent="0.5">
      <c r="C594" s="353"/>
      <c r="D594" s="353"/>
      <c r="E594" s="353"/>
      <c r="F594" s="353"/>
      <c r="G594" s="353"/>
      <c r="H594" s="353"/>
      <c r="I594" s="353"/>
      <c r="J594" s="353"/>
      <c r="M594" s="347"/>
      <c r="O594" s="295" t="s">
        <v>89</v>
      </c>
      <c r="Q594" s="292">
        <f>MAX($Q$105:Q593)+1</f>
        <v>12</v>
      </c>
    </row>
    <row r="595" spans="2:18" ht="36" customHeight="1" x14ac:dyDescent="0.5">
      <c r="C595" s="450"/>
      <c r="D595" s="456" t="str">
        <f>Criteria!E9</f>
        <v>HOLDING COMPANY 268 (PROPRIETARY) LIMITED</v>
      </c>
      <c r="E595" s="450"/>
      <c r="F595" s="450"/>
      <c r="G595" s="450"/>
      <c r="H595" s="450"/>
      <c r="I595" s="450"/>
      <c r="J595" s="450"/>
      <c r="M595" s="347"/>
      <c r="O595" s="347"/>
    </row>
    <row r="596" spans="2:18" ht="36" customHeight="1" x14ac:dyDescent="0.5">
      <c r="C596" s="450"/>
      <c r="D596" s="456" t="str">
        <f>Criteria!E10</f>
        <v>CONSOLIDATED FINANCIAL STATEMENTS</v>
      </c>
      <c r="E596" s="450"/>
      <c r="F596" s="450"/>
      <c r="G596" s="450"/>
      <c r="H596" s="450"/>
      <c r="I596" s="450"/>
      <c r="J596" s="450"/>
      <c r="M596" s="347"/>
      <c r="O596" s="347"/>
      <c r="R596" s="348" t="str">
        <f>IF(D596=0,"DELETE"," ")</f>
        <v xml:space="preserve"> </v>
      </c>
    </row>
    <row r="597" spans="2:18" ht="36" customHeight="1" x14ac:dyDescent="0.5">
      <c r="C597" s="450"/>
      <c r="D597" s="450"/>
      <c r="E597" s="450"/>
      <c r="F597" s="450"/>
      <c r="G597" s="450"/>
      <c r="H597" s="450"/>
      <c r="I597" s="450"/>
      <c r="J597" s="450"/>
      <c r="M597" s="347"/>
      <c r="O597" s="347"/>
    </row>
    <row r="598" spans="2:18" ht="36" customHeight="1" x14ac:dyDescent="0.5">
      <c r="C598" s="450"/>
      <c r="D598" s="456" t="s">
        <v>351</v>
      </c>
      <c r="E598" s="450"/>
      <c r="F598" s="450"/>
      <c r="G598" s="450"/>
      <c r="H598" s="450"/>
      <c r="I598" s="450"/>
      <c r="J598" s="450"/>
      <c r="M598" s="347"/>
      <c r="O598" s="347"/>
    </row>
    <row r="599" spans="2:18" ht="36" customHeight="1" x14ac:dyDescent="0.5">
      <c r="C599" s="450"/>
      <c r="D599" s="456" t="str">
        <f>Criteria!E20</f>
        <v>28 FEBRUARY 2025</v>
      </c>
      <c r="E599" s="450"/>
      <c r="F599" s="450"/>
      <c r="G599" s="450"/>
      <c r="H599" s="450"/>
      <c r="I599" s="450"/>
      <c r="J599" s="450"/>
      <c r="M599" s="347"/>
      <c r="O599" s="347"/>
    </row>
    <row r="600" spans="2:18" ht="36" customHeight="1" x14ac:dyDescent="0.5">
      <c r="C600" s="450"/>
      <c r="D600" s="450"/>
      <c r="E600" s="450"/>
      <c r="F600" s="450"/>
      <c r="G600" s="450"/>
      <c r="H600" s="450"/>
      <c r="I600" s="450"/>
      <c r="J600" s="450"/>
      <c r="M600" s="347"/>
      <c r="O600" s="347"/>
    </row>
    <row r="601" spans="2:18" ht="36" customHeight="1" x14ac:dyDescent="0.5">
      <c r="B601" s="364"/>
      <c r="C601" s="460"/>
      <c r="D601" s="460"/>
      <c r="E601" s="460"/>
      <c r="F601" s="460"/>
      <c r="G601" s="460"/>
      <c r="H601" s="460"/>
      <c r="I601" s="460"/>
      <c r="J601" s="460"/>
      <c r="K601" s="364"/>
      <c r="L601" s="364"/>
      <c r="M601" s="367"/>
      <c r="N601" s="367"/>
      <c r="O601" s="367"/>
      <c r="P601" s="367"/>
      <c r="Q601" s="364"/>
    </row>
    <row r="602" spans="2:18" ht="36" customHeight="1" x14ac:dyDescent="0.5">
      <c r="B602" s="316">
        <v>1</v>
      </c>
      <c r="C602" s="456" t="s">
        <v>1055</v>
      </c>
      <c r="D602" s="450"/>
      <c r="E602" s="450"/>
      <c r="F602" s="450"/>
      <c r="G602" s="450"/>
      <c r="H602" s="450"/>
      <c r="I602" s="450"/>
      <c r="J602" s="450"/>
      <c r="M602" s="347"/>
      <c r="O602" s="347"/>
    </row>
    <row r="603" spans="2:18" ht="36" customHeight="1" x14ac:dyDescent="0.5">
      <c r="B603" s="316"/>
      <c r="C603" s="456"/>
      <c r="D603" s="450"/>
      <c r="E603" s="450"/>
      <c r="F603" s="450"/>
      <c r="G603" s="450"/>
      <c r="H603" s="450"/>
      <c r="I603" s="450"/>
      <c r="J603" s="450"/>
      <c r="M603" s="347"/>
      <c r="O603" s="347"/>
    </row>
    <row r="604" spans="2:18" ht="36" customHeight="1" x14ac:dyDescent="0.5">
      <c r="B604" s="316"/>
      <c r="C604" s="456"/>
      <c r="D604" s="450" t="s">
        <v>1137</v>
      </c>
      <c r="E604" s="450"/>
      <c r="F604" s="450"/>
      <c r="G604" s="450"/>
      <c r="H604" s="450"/>
      <c r="I604" s="450"/>
      <c r="J604" s="450"/>
      <c r="M604" s="347"/>
      <c r="O604" s="347"/>
    </row>
    <row r="605" spans="2:18" ht="36" customHeight="1" x14ac:dyDescent="0.5">
      <c r="B605" s="316"/>
      <c r="C605" s="456"/>
      <c r="D605" s="450" t="s">
        <v>1136</v>
      </c>
      <c r="E605" s="450"/>
      <c r="F605" s="450"/>
      <c r="G605" s="450"/>
      <c r="H605" s="450"/>
      <c r="I605" s="450"/>
      <c r="J605" s="450"/>
      <c r="M605" s="347"/>
      <c r="O605" s="347"/>
    </row>
    <row r="606" spans="2:18" ht="36" customHeight="1" x14ac:dyDescent="0.5">
      <c r="B606" s="316"/>
      <c r="C606" s="456"/>
      <c r="D606" s="450" t="str">
        <f>IF(Criteria!E24="No","The principal accounting policies and which are consistent with those of the previous","The principal accounting policies are as follows:")</f>
        <v>The principal accounting policies and which are consistent with those of the previous</v>
      </c>
      <c r="E606" s="450"/>
      <c r="F606" s="450"/>
      <c r="G606" s="450"/>
      <c r="H606" s="450"/>
      <c r="I606" s="450"/>
      <c r="J606" s="450"/>
      <c r="M606" s="347"/>
      <c r="O606" s="347"/>
    </row>
    <row r="607" spans="2:18" ht="36" customHeight="1" x14ac:dyDescent="0.5">
      <c r="B607" s="316"/>
      <c r="C607" s="456"/>
      <c r="D607" s="450" t="str">
        <f>IF(Criteria!E24="No","year, except where stated otherwise, are as follows:"," ")</f>
        <v>year, except where stated otherwise, are as follows:</v>
      </c>
      <c r="E607" s="450"/>
      <c r="F607" s="450"/>
      <c r="G607" s="450"/>
      <c r="H607" s="450"/>
      <c r="I607" s="450"/>
      <c r="J607" s="450"/>
      <c r="M607" s="347"/>
      <c r="O607" s="347"/>
      <c r="R607" s="348" t="str">
        <f>IF(D607=" ","DELETE"," ")</f>
        <v xml:space="preserve"> </v>
      </c>
    </row>
    <row r="608" spans="2:18" ht="36" customHeight="1" x14ac:dyDescent="0.5">
      <c r="B608" s="316"/>
      <c r="C608" s="456"/>
      <c r="D608" s="450"/>
      <c r="E608" s="450"/>
      <c r="F608" s="450"/>
      <c r="G608" s="450"/>
      <c r="H608" s="450"/>
      <c r="I608" s="450"/>
      <c r="J608" s="450"/>
      <c r="M608" s="347"/>
      <c r="O608" s="347"/>
    </row>
    <row r="609" spans="2:15" ht="36" customHeight="1" x14ac:dyDescent="0.5">
      <c r="B609" s="316"/>
      <c r="C609" s="354">
        <f>B602+0.1</f>
        <v>1.1000000000000001</v>
      </c>
      <c r="D609" s="456" t="s">
        <v>1056</v>
      </c>
      <c r="E609" s="450"/>
      <c r="F609" s="450"/>
      <c r="G609" s="450"/>
      <c r="H609" s="450"/>
      <c r="I609" s="450"/>
      <c r="J609" s="450"/>
      <c r="K609" s="434"/>
      <c r="M609" s="347"/>
      <c r="O609" s="347"/>
    </row>
    <row r="610" spans="2:15" ht="36" customHeight="1" x14ac:dyDescent="0.5">
      <c r="B610" s="316"/>
      <c r="C610" s="354"/>
      <c r="D610" s="456"/>
      <c r="E610" s="450"/>
      <c r="F610" s="450"/>
      <c r="G610" s="450"/>
      <c r="H610" s="450"/>
      <c r="I610" s="450"/>
      <c r="J610" s="450"/>
      <c r="K610" s="434"/>
      <c r="M610" s="347"/>
      <c r="O610" s="347"/>
    </row>
    <row r="611" spans="2:15" ht="36" customHeight="1" x14ac:dyDescent="0.5">
      <c r="B611" s="316"/>
      <c r="C611" s="354"/>
      <c r="D611" s="450" t="s">
        <v>1138</v>
      </c>
      <c r="E611" s="450"/>
      <c r="F611" s="450"/>
      <c r="G611" s="450"/>
      <c r="H611" s="450"/>
      <c r="I611" s="450"/>
      <c r="J611" s="450"/>
      <c r="K611" s="434"/>
      <c r="M611" s="347"/>
      <c r="O611" s="347"/>
    </row>
    <row r="612" spans="2:15" ht="36" customHeight="1" x14ac:dyDescent="0.5">
      <c r="B612" s="316"/>
      <c r="C612" s="369"/>
      <c r="D612" s="450" t="str">
        <f>CONCATENATE("company and its wholly-owned ",IF(Criteria!E15=0,"subsidiary.","subsidiaries.")," All intragroup transactions, balances,")</f>
        <v>company and its wholly-owned subsidiaries. All intragroup transactions, balances,</v>
      </c>
      <c r="E612" s="450"/>
      <c r="F612" s="450"/>
      <c r="G612" s="450"/>
      <c r="H612" s="450"/>
      <c r="I612" s="450"/>
      <c r="J612" s="450"/>
      <c r="K612" s="434"/>
      <c r="M612" s="347"/>
      <c r="O612" s="347"/>
    </row>
    <row r="613" spans="2:15" ht="36" customHeight="1" x14ac:dyDescent="0.5">
      <c r="B613" s="316"/>
      <c r="C613" s="369"/>
      <c r="D613" s="450" t="s">
        <v>1139</v>
      </c>
      <c r="E613" s="450"/>
      <c r="F613" s="450"/>
      <c r="G613" s="450"/>
      <c r="H613" s="450"/>
      <c r="I613" s="450"/>
      <c r="J613" s="450"/>
      <c r="K613" s="434"/>
      <c r="M613" s="347"/>
      <c r="O613" s="347"/>
    </row>
    <row r="614" spans="2:15" ht="36" customHeight="1" x14ac:dyDescent="0.5">
      <c r="B614" s="316"/>
      <c r="C614" s="369"/>
      <c r="D614" s="450"/>
      <c r="E614" s="450"/>
      <c r="F614" s="450"/>
      <c r="G614" s="450"/>
      <c r="H614" s="450"/>
      <c r="I614" s="450"/>
      <c r="J614" s="450"/>
      <c r="K614" s="434"/>
      <c r="M614" s="347"/>
      <c r="O614" s="347"/>
    </row>
    <row r="615" spans="2:15" ht="36" customHeight="1" x14ac:dyDescent="0.5">
      <c r="B615" s="316"/>
      <c r="C615" s="354">
        <f>MAX(C$602:C614)+0.1</f>
        <v>1.2000000000000002</v>
      </c>
      <c r="D615" s="456" t="s">
        <v>1057</v>
      </c>
      <c r="E615" s="450"/>
      <c r="F615" s="450"/>
      <c r="G615" s="450"/>
      <c r="H615" s="450"/>
      <c r="I615" s="450"/>
      <c r="J615" s="450"/>
      <c r="K615" s="434"/>
      <c r="M615" s="347"/>
      <c r="O615" s="347"/>
    </row>
    <row r="616" spans="2:15" ht="36" customHeight="1" x14ac:dyDescent="0.5">
      <c r="B616" s="316"/>
      <c r="C616" s="354"/>
      <c r="D616" s="456"/>
      <c r="E616" s="450"/>
      <c r="F616" s="450"/>
      <c r="G616" s="450"/>
      <c r="H616" s="450"/>
      <c r="I616" s="450"/>
      <c r="J616" s="450"/>
      <c r="K616" s="434"/>
      <c r="M616" s="347"/>
      <c r="O616" s="347"/>
    </row>
    <row r="617" spans="2:15" ht="36" customHeight="1" x14ac:dyDescent="0.5">
      <c r="B617" s="316"/>
      <c r="C617" s="369"/>
      <c r="D617" s="450" t="s">
        <v>1087</v>
      </c>
      <c r="E617" s="450"/>
      <c r="F617" s="450"/>
      <c r="G617" s="450"/>
      <c r="H617" s="450"/>
      <c r="I617" s="450"/>
      <c r="J617" s="450"/>
      <c r="K617" s="434"/>
      <c r="M617" s="347"/>
      <c r="O617" s="347"/>
    </row>
    <row r="618" spans="2:15" ht="36" customHeight="1" x14ac:dyDescent="0.5">
      <c r="B618" s="316"/>
      <c r="C618" s="369"/>
      <c r="D618" s="450" t="s">
        <v>1140</v>
      </c>
      <c r="E618" s="450"/>
      <c r="F618" s="450"/>
      <c r="G618" s="450"/>
      <c r="H618" s="450"/>
      <c r="I618" s="450"/>
      <c r="J618" s="450"/>
      <c r="K618" s="434"/>
      <c r="M618" s="347"/>
      <c r="O618" s="347"/>
    </row>
    <row r="619" spans="2:15" ht="36" customHeight="1" x14ac:dyDescent="0.5">
      <c r="B619" s="316"/>
      <c r="C619" s="369"/>
      <c r="D619" s="450" t="s">
        <v>1142</v>
      </c>
      <c r="E619" s="450"/>
      <c r="F619" s="450"/>
      <c r="G619" s="450"/>
      <c r="H619" s="450"/>
      <c r="I619" s="450"/>
      <c r="J619" s="450"/>
      <c r="K619" s="434"/>
      <c r="M619" s="347"/>
      <c r="O619" s="347"/>
    </row>
    <row r="620" spans="2:15" ht="36" customHeight="1" x14ac:dyDescent="0.5">
      <c r="B620" s="316"/>
      <c r="C620" s="369"/>
      <c r="D620" s="450" t="s">
        <v>1141</v>
      </c>
      <c r="E620" s="450"/>
      <c r="F620" s="450"/>
      <c r="G620" s="450"/>
      <c r="H620" s="450"/>
      <c r="I620" s="450"/>
      <c r="J620" s="450"/>
      <c r="K620" s="434"/>
      <c r="M620" s="347"/>
      <c r="O620" s="347"/>
    </row>
    <row r="621" spans="2:15" ht="36" customHeight="1" x14ac:dyDescent="0.5">
      <c r="B621" s="316"/>
      <c r="C621" s="369"/>
      <c r="D621" s="462" t="s">
        <v>837</v>
      </c>
      <c r="E621" s="450"/>
      <c r="F621" s="450"/>
      <c r="G621" s="450"/>
      <c r="H621" s="450"/>
      <c r="I621" s="450"/>
      <c r="J621" s="450"/>
      <c r="K621" s="434"/>
      <c r="M621" s="347"/>
      <c r="O621" s="347"/>
    </row>
    <row r="622" spans="2:15" ht="36" customHeight="1" x14ac:dyDescent="0.5">
      <c r="B622" s="316"/>
      <c r="C622" s="369"/>
      <c r="D622" s="450" t="s">
        <v>1144</v>
      </c>
      <c r="E622" s="450"/>
      <c r="F622" s="450"/>
      <c r="G622" s="450"/>
      <c r="H622" s="450"/>
      <c r="I622" s="450"/>
      <c r="J622" s="450"/>
      <c r="K622" s="434"/>
      <c r="M622" s="347"/>
      <c r="O622" s="347"/>
    </row>
    <row r="623" spans="2:15" ht="36" customHeight="1" x14ac:dyDescent="0.5">
      <c r="B623" s="316"/>
      <c r="C623" s="369"/>
      <c r="D623" s="450" t="s">
        <v>1143</v>
      </c>
      <c r="E623" s="450"/>
      <c r="F623" s="450"/>
      <c r="G623" s="450"/>
      <c r="H623" s="450"/>
      <c r="I623" s="450"/>
      <c r="J623" s="450"/>
      <c r="K623" s="434"/>
      <c r="M623" s="347"/>
      <c r="O623" s="347"/>
    </row>
    <row r="624" spans="2:15" ht="36" customHeight="1" x14ac:dyDescent="0.5">
      <c r="B624" s="316"/>
      <c r="C624" s="369"/>
      <c r="D624" s="462" t="s">
        <v>838</v>
      </c>
      <c r="E624" s="450"/>
      <c r="F624" s="450"/>
      <c r="G624" s="450"/>
      <c r="H624" s="450"/>
      <c r="I624" s="450"/>
      <c r="J624" s="450"/>
      <c r="K624" s="434"/>
      <c r="M624" s="347"/>
      <c r="O624" s="347"/>
    </row>
    <row r="625" spans="2:15" ht="36" customHeight="1" x14ac:dyDescent="0.5">
      <c r="B625" s="316"/>
      <c r="C625" s="369"/>
      <c r="D625" s="450" t="s">
        <v>1145</v>
      </c>
      <c r="E625" s="450"/>
      <c r="F625" s="450"/>
      <c r="G625" s="450"/>
      <c r="H625" s="450"/>
      <c r="I625" s="450"/>
      <c r="J625" s="450"/>
      <c r="K625" s="434"/>
      <c r="M625" s="347"/>
      <c r="O625" s="347"/>
    </row>
    <row r="626" spans="2:15" ht="36" customHeight="1" x14ac:dyDescent="0.5">
      <c r="B626" s="316"/>
      <c r="C626" s="369"/>
      <c r="D626" s="450" t="s">
        <v>1147</v>
      </c>
      <c r="E626" s="450"/>
      <c r="F626" s="450"/>
      <c r="G626" s="450"/>
      <c r="H626" s="450"/>
      <c r="I626" s="450"/>
      <c r="J626" s="450"/>
      <c r="K626" s="434"/>
      <c r="M626" s="347"/>
      <c r="O626" s="347"/>
    </row>
    <row r="627" spans="2:15" ht="36" customHeight="1" x14ac:dyDescent="0.5">
      <c r="B627" s="316"/>
      <c r="C627" s="369"/>
      <c r="D627" s="450" t="s">
        <v>1146</v>
      </c>
      <c r="E627" s="450"/>
      <c r="F627" s="450"/>
      <c r="G627" s="450"/>
      <c r="H627" s="450"/>
      <c r="I627" s="450"/>
      <c r="J627" s="450"/>
      <c r="K627" s="434"/>
      <c r="M627" s="347"/>
      <c r="O627" s="347"/>
    </row>
    <row r="628" spans="2:15" ht="36" customHeight="1" x14ac:dyDescent="0.5">
      <c r="B628" s="316"/>
      <c r="C628" s="369"/>
      <c r="D628" s="450"/>
      <c r="E628" s="450"/>
      <c r="F628" s="450"/>
      <c r="G628" s="450"/>
      <c r="H628" s="450"/>
      <c r="I628" s="450"/>
      <c r="J628" s="450"/>
      <c r="K628" s="434"/>
      <c r="M628" s="347"/>
      <c r="O628" s="347"/>
    </row>
    <row r="629" spans="2:15" ht="36" customHeight="1" x14ac:dyDescent="0.5">
      <c r="B629" s="316"/>
      <c r="C629" s="354">
        <f>MAX(C$602:C628)+0.1</f>
        <v>1.3000000000000003</v>
      </c>
      <c r="D629" s="456" t="s">
        <v>762</v>
      </c>
      <c r="E629" s="450"/>
      <c r="F629" s="450"/>
      <c r="G629" s="450"/>
      <c r="H629" s="450"/>
      <c r="I629" s="450"/>
      <c r="J629" s="450"/>
      <c r="K629" s="434"/>
      <c r="M629" s="347"/>
      <c r="O629" s="347"/>
    </row>
    <row r="630" spans="2:15" ht="36" customHeight="1" x14ac:dyDescent="0.5">
      <c r="B630" s="316"/>
      <c r="C630" s="354"/>
      <c r="D630" s="456"/>
      <c r="E630" s="450"/>
      <c r="F630" s="450"/>
      <c r="G630" s="450"/>
      <c r="H630" s="450"/>
      <c r="I630" s="450"/>
      <c r="J630" s="450"/>
      <c r="K630" s="434"/>
      <c r="M630" s="347"/>
      <c r="O630" s="347"/>
    </row>
    <row r="631" spans="2:15" ht="36" customHeight="1" x14ac:dyDescent="0.5">
      <c r="B631" s="316"/>
      <c r="C631" s="369"/>
      <c r="D631" s="462" t="s">
        <v>854</v>
      </c>
      <c r="E631" s="450"/>
      <c r="F631" s="450"/>
      <c r="G631" s="450"/>
      <c r="H631" s="450"/>
      <c r="I631" s="450"/>
      <c r="J631" s="450"/>
      <c r="K631" s="434"/>
      <c r="M631" s="347"/>
      <c r="O631" s="347"/>
    </row>
    <row r="632" spans="2:15" ht="36" customHeight="1" x14ac:dyDescent="0.5">
      <c r="B632" s="316"/>
      <c r="C632" s="369"/>
      <c r="D632" s="450" t="s">
        <v>1148</v>
      </c>
      <c r="E632" s="450"/>
      <c r="F632" s="450"/>
      <c r="G632" s="450"/>
      <c r="H632" s="450"/>
      <c r="I632" s="450"/>
      <c r="J632" s="450"/>
      <c r="K632" s="434"/>
      <c r="M632" s="347"/>
      <c r="O632" s="347"/>
    </row>
    <row r="633" spans="2:15" ht="36" customHeight="1" x14ac:dyDescent="0.5">
      <c r="B633" s="316"/>
      <c r="C633" s="369"/>
      <c r="D633" s="450" t="s">
        <v>1149</v>
      </c>
      <c r="E633" s="450"/>
      <c r="F633" s="450"/>
      <c r="G633" s="450"/>
      <c r="H633" s="450"/>
      <c r="I633" s="450"/>
      <c r="J633" s="450"/>
      <c r="K633" s="434"/>
      <c r="M633" s="347"/>
      <c r="O633" s="347"/>
    </row>
    <row r="634" spans="2:15" ht="36" customHeight="1" x14ac:dyDescent="0.5">
      <c r="B634" s="316"/>
      <c r="C634" s="369"/>
      <c r="D634" s="450" t="s">
        <v>1150</v>
      </c>
      <c r="E634" s="450"/>
      <c r="F634" s="450"/>
      <c r="G634" s="450"/>
      <c r="H634" s="450"/>
      <c r="I634" s="450"/>
      <c r="J634" s="450"/>
      <c r="K634" s="434"/>
      <c r="M634" s="347"/>
      <c r="O634" s="347"/>
    </row>
    <row r="635" spans="2:15" ht="36" customHeight="1" x14ac:dyDescent="0.5">
      <c r="B635" s="316"/>
      <c r="C635" s="369"/>
      <c r="D635" s="450" t="s">
        <v>1152</v>
      </c>
      <c r="E635" s="450"/>
      <c r="F635" s="450"/>
      <c r="G635" s="450"/>
      <c r="H635" s="450"/>
      <c r="I635" s="450"/>
      <c r="J635" s="450"/>
      <c r="K635" s="434"/>
      <c r="M635" s="347"/>
      <c r="O635" s="347"/>
    </row>
    <row r="636" spans="2:15" ht="36" customHeight="1" x14ac:dyDescent="0.5">
      <c r="B636" s="316"/>
      <c r="C636" s="369"/>
      <c r="D636" s="450" t="s">
        <v>1151</v>
      </c>
      <c r="E636" s="450"/>
      <c r="F636" s="450"/>
      <c r="G636" s="450"/>
      <c r="H636" s="450"/>
      <c r="I636" s="450"/>
      <c r="J636" s="450"/>
      <c r="K636" s="434"/>
      <c r="M636" s="347"/>
      <c r="O636" s="347"/>
    </row>
    <row r="637" spans="2:15" ht="36" customHeight="1" x14ac:dyDescent="0.5">
      <c r="B637" s="316"/>
      <c r="C637" s="369"/>
      <c r="D637" s="450"/>
      <c r="E637" s="450"/>
      <c r="F637" s="450"/>
      <c r="G637" s="450"/>
      <c r="H637" s="450"/>
      <c r="I637" s="450"/>
      <c r="J637" s="450"/>
      <c r="K637" s="434"/>
      <c r="M637" s="347"/>
      <c r="O637" s="347"/>
    </row>
    <row r="638" spans="2:15" ht="36" customHeight="1" x14ac:dyDescent="0.5">
      <c r="B638" s="316"/>
      <c r="C638" s="369"/>
      <c r="D638" s="450"/>
      <c r="E638" s="450"/>
      <c r="F638" s="450"/>
      <c r="G638" s="450"/>
      <c r="H638" s="450"/>
      <c r="I638" s="450"/>
      <c r="J638" s="450"/>
      <c r="K638" s="434"/>
      <c r="M638" s="347"/>
      <c r="O638" s="347"/>
    </row>
    <row r="639" spans="2:15" ht="36" customHeight="1" x14ac:dyDescent="0.5">
      <c r="B639" s="316"/>
      <c r="C639" s="369"/>
      <c r="D639" s="450"/>
      <c r="E639" s="450"/>
      <c r="F639" s="450"/>
      <c r="G639" s="450"/>
      <c r="H639" s="450"/>
      <c r="I639" s="450"/>
      <c r="J639" s="450"/>
      <c r="K639" s="434"/>
      <c r="M639" s="347"/>
      <c r="O639" s="347"/>
    </row>
    <row r="640" spans="2:15" ht="36" customHeight="1" x14ac:dyDescent="0.5">
      <c r="B640" s="316"/>
      <c r="C640" s="369"/>
      <c r="D640" s="450"/>
      <c r="E640" s="450"/>
      <c r="F640" s="450"/>
      <c r="G640" s="450"/>
      <c r="H640" s="450"/>
      <c r="I640" s="450"/>
      <c r="J640" s="450"/>
      <c r="K640" s="434"/>
      <c r="M640" s="347"/>
      <c r="O640" s="347"/>
    </row>
    <row r="641" spans="2:18" ht="36" customHeight="1" x14ac:dyDescent="0.5">
      <c r="B641" s="316"/>
      <c r="C641" s="369"/>
      <c r="D641" s="450"/>
      <c r="E641" s="450"/>
      <c r="F641" s="450"/>
      <c r="G641" s="450"/>
      <c r="H641" s="450"/>
      <c r="I641" s="450"/>
      <c r="J641" s="450"/>
      <c r="K641" s="434"/>
      <c r="M641" s="347"/>
      <c r="O641" s="347"/>
    </row>
    <row r="642" spans="2:18" ht="36" customHeight="1" x14ac:dyDescent="0.5">
      <c r="C642" s="353"/>
      <c r="D642" s="353"/>
      <c r="E642" s="353"/>
      <c r="F642" s="353"/>
      <c r="G642" s="353"/>
      <c r="H642" s="353"/>
      <c r="I642" s="353"/>
      <c r="J642" s="353"/>
      <c r="M642" s="347"/>
      <c r="O642" s="295" t="s">
        <v>89</v>
      </c>
      <c r="Q642" s="292">
        <f>MAX($Q$105:Q641)+1</f>
        <v>13</v>
      </c>
    </row>
    <row r="643" spans="2:18" ht="36" customHeight="1" x14ac:dyDescent="0.5">
      <c r="C643" s="434"/>
      <c r="D643" s="456" t="str">
        <f>Criteria!E9</f>
        <v>HOLDING COMPANY 268 (PROPRIETARY) LIMITED</v>
      </c>
      <c r="E643" s="450"/>
      <c r="F643" s="450"/>
      <c r="G643" s="450"/>
      <c r="H643" s="450"/>
      <c r="I643" s="450"/>
      <c r="J643" s="450"/>
      <c r="M643" s="347"/>
      <c r="O643" s="347"/>
    </row>
    <row r="644" spans="2:18" ht="36" customHeight="1" x14ac:dyDescent="0.5">
      <c r="C644" s="434"/>
      <c r="D644" s="456" t="str">
        <f>Criteria!E10</f>
        <v>CONSOLIDATED FINANCIAL STATEMENTS</v>
      </c>
      <c r="E644" s="450"/>
      <c r="F644" s="450"/>
      <c r="G644" s="450"/>
      <c r="H644" s="450"/>
      <c r="I644" s="450"/>
      <c r="J644" s="450"/>
      <c r="M644" s="347"/>
      <c r="O644" s="347"/>
      <c r="R644" s="348" t="str">
        <f>IF(D644=0,"DELETE"," ")</f>
        <v xml:space="preserve"> </v>
      </c>
    </row>
    <row r="645" spans="2:18" ht="36" customHeight="1" x14ac:dyDescent="0.5">
      <c r="C645" s="434"/>
      <c r="D645" s="450"/>
      <c r="E645" s="450"/>
      <c r="F645" s="450"/>
      <c r="G645" s="450"/>
      <c r="H645" s="450"/>
      <c r="I645" s="450"/>
      <c r="J645" s="450"/>
      <c r="M645" s="347"/>
      <c r="O645" s="347"/>
    </row>
    <row r="646" spans="2:18" ht="36" customHeight="1" x14ac:dyDescent="0.5">
      <c r="C646" s="434"/>
      <c r="D646" s="456" t="s">
        <v>351</v>
      </c>
      <c r="E646" s="450"/>
      <c r="F646" s="450"/>
      <c r="G646" s="450"/>
      <c r="H646" s="450"/>
      <c r="I646" s="450"/>
      <c r="J646" s="450"/>
      <c r="M646" s="347"/>
      <c r="O646" s="347"/>
    </row>
    <row r="647" spans="2:18" ht="36" customHeight="1" x14ac:dyDescent="0.5">
      <c r="C647" s="434"/>
      <c r="D647" s="456" t="str">
        <f>Criteria!E20</f>
        <v>28 FEBRUARY 2025</v>
      </c>
      <c r="E647" s="450"/>
      <c r="F647" s="450"/>
      <c r="G647" s="450"/>
      <c r="H647" s="450"/>
      <c r="I647" s="450"/>
      <c r="J647" s="450" t="s">
        <v>231</v>
      </c>
      <c r="M647" s="347"/>
      <c r="O647" s="347"/>
    </row>
    <row r="648" spans="2:18" ht="36" customHeight="1" x14ac:dyDescent="0.5">
      <c r="C648" s="434"/>
      <c r="D648" s="450"/>
      <c r="E648" s="450"/>
      <c r="F648" s="450"/>
      <c r="G648" s="450"/>
      <c r="H648" s="450"/>
      <c r="I648" s="450"/>
      <c r="J648" s="450"/>
      <c r="M648" s="347"/>
      <c r="O648" s="347"/>
    </row>
    <row r="649" spans="2:18" ht="36" customHeight="1" x14ac:dyDescent="0.5">
      <c r="B649" s="364"/>
      <c r="C649" s="444"/>
      <c r="D649" s="460"/>
      <c r="E649" s="460"/>
      <c r="F649" s="460"/>
      <c r="G649" s="460"/>
      <c r="H649" s="460"/>
      <c r="I649" s="460"/>
      <c r="J649" s="460"/>
      <c r="K649" s="364"/>
      <c r="L649" s="364"/>
      <c r="M649" s="367"/>
      <c r="N649" s="367"/>
      <c r="O649" s="367"/>
      <c r="P649" s="367"/>
      <c r="Q649" s="364"/>
    </row>
    <row r="650" spans="2:18" ht="36" customHeight="1" x14ac:dyDescent="0.5">
      <c r="B650" s="316"/>
      <c r="C650" s="369"/>
      <c r="D650" s="462" t="s">
        <v>855</v>
      </c>
      <c r="E650" s="450"/>
      <c r="F650" s="450"/>
      <c r="G650" s="450"/>
      <c r="H650" s="450"/>
      <c r="I650" s="450"/>
      <c r="J650" s="450"/>
      <c r="K650" s="434"/>
      <c r="M650" s="347"/>
      <c r="O650" s="347"/>
    </row>
    <row r="651" spans="2:18" ht="36" customHeight="1" x14ac:dyDescent="0.5">
      <c r="B651" s="316"/>
      <c r="C651" s="369"/>
      <c r="D651" s="450" t="s">
        <v>1088</v>
      </c>
      <c r="E651" s="450"/>
      <c r="F651" s="450"/>
      <c r="G651" s="450"/>
      <c r="H651" s="450"/>
      <c r="I651" s="450"/>
      <c r="J651" s="450"/>
      <c r="K651" s="434"/>
      <c r="M651" s="347"/>
      <c r="O651" s="347"/>
    </row>
    <row r="652" spans="2:18" ht="36" customHeight="1" x14ac:dyDescent="0.5">
      <c r="B652" s="316"/>
      <c r="C652" s="369"/>
      <c r="D652" s="450" t="s">
        <v>1089</v>
      </c>
      <c r="E652" s="450"/>
      <c r="F652" s="450"/>
      <c r="G652" s="450"/>
      <c r="H652" s="450"/>
      <c r="I652" s="450"/>
      <c r="J652" s="450"/>
      <c r="K652" s="434"/>
      <c r="M652" s="347"/>
      <c r="O652" s="347"/>
    </row>
    <row r="653" spans="2:18" ht="36" customHeight="1" x14ac:dyDescent="0.5">
      <c r="B653" s="316"/>
      <c r="C653" s="369"/>
      <c r="D653" s="450" t="s">
        <v>1153</v>
      </c>
      <c r="E653" s="450"/>
      <c r="F653" s="450"/>
      <c r="G653" s="450"/>
      <c r="H653" s="450"/>
      <c r="I653" s="450"/>
      <c r="J653" s="450"/>
      <c r="K653" s="434"/>
      <c r="M653" s="347"/>
      <c r="O653" s="347"/>
    </row>
    <row r="654" spans="2:18" ht="36" customHeight="1" x14ac:dyDescent="0.5">
      <c r="B654" s="316"/>
      <c r="C654" s="369"/>
      <c r="D654" s="450" t="s">
        <v>1154</v>
      </c>
      <c r="E654" s="450"/>
      <c r="F654" s="450"/>
      <c r="G654" s="450"/>
      <c r="H654" s="450"/>
      <c r="I654" s="450"/>
      <c r="J654" s="450"/>
      <c r="K654" s="434"/>
      <c r="M654" s="347"/>
      <c r="O654" s="347"/>
    </row>
    <row r="655" spans="2:18" ht="36" customHeight="1" x14ac:dyDescent="0.5">
      <c r="B655" s="316"/>
      <c r="C655" s="369"/>
      <c r="D655" s="450" t="s">
        <v>1155</v>
      </c>
      <c r="E655" s="450"/>
      <c r="F655" s="450"/>
      <c r="G655" s="450"/>
      <c r="H655" s="450"/>
      <c r="I655" s="450"/>
      <c r="J655" s="450"/>
      <c r="K655" s="434"/>
      <c r="M655" s="347"/>
      <c r="O655" s="347"/>
    </row>
    <row r="656" spans="2:18" ht="36" customHeight="1" x14ac:dyDescent="0.5">
      <c r="B656" s="316"/>
      <c r="C656" s="369"/>
      <c r="D656" s="450" t="s">
        <v>1157</v>
      </c>
      <c r="E656" s="450"/>
      <c r="F656" s="450"/>
      <c r="G656" s="450"/>
      <c r="H656" s="450"/>
      <c r="I656" s="450"/>
      <c r="J656" s="450"/>
      <c r="K656" s="434"/>
      <c r="M656" s="347"/>
      <c r="O656" s="347"/>
    </row>
    <row r="657" spans="2:18" ht="36" customHeight="1" x14ac:dyDescent="0.5">
      <c r="B657" s="316"/>
      <c r="C657" s="369"/>
      <c r="D657" s="450" t="s">
        <v>1156</v>
      </c>
      <c r="E657" s="450"/>
      <c r="F657" s="450"/>
      <c r="G657" s="450"/>
      <c r="H657" s="450"/>
      <c r="I657" s="450"/>
      <c r="J657" s="450"/>
      <c r="K657" s="434"/>
      <c r="M657" s="347"/>
      <c r="O657" s="347"/>
    </row>
    <row r="658" spans="2:18" ht="36" customHeight="1" x14ac:dyDescent="0.5">
      <c r="B658" s="316"/>
      <c r="C658" s="369"/>
      <c r="D658" s="450"/>
      <c r="E658" s="450"/>
      <c r="F658" s="450"/>
      <c r="G658" s="450"/>
      <c r="H658" s="450"/>
      <c r="I658" s="450"/>
      <c r="J658" s="450"/>
      <c r="K658" s="434"/>
      <c r="M658" s="347"/>
      <c r="O658" s="347"/>
    </row>
    <row r="659" spans="2:18" ht="36" customHeight="1" x14ac:dyDescent="0.5">
      <c r="B659" s="316"/>
      <c r="C659" s="369"/>
      <c r="D659" s="459"/>
      <c r="E659" s="450"/>
      <c r="F659" s="450"/>
      <c r="G659" s="450"/>
      <c r="H659" s="450"/>
      <c r="I659" s="450"/>
      <c r="J659" s="450"/>
      <c r="K659" s="434"/>
      <c r="M659" s="347"/>
      <c r="O659" s="347"/>
    </row>
    <row r="660" spans="2:18" ht="36" customHeight="1" x14ac:dyDescent="0.5">
      <c r="D660" s="450"/>
      <c r="E660" s="450"/>
      <c r="F660" s="450"/>
      <c r="G660" s="450"/>
      <c r="H660" s="450"/>
      <c r="I660" s="450"/>
      <c r="J660" s="450"/>
      <c r="K660" s="449"/>
      <c r="L660" s="292"/>
      <c r="M660" s="330"/>
      <c r="N660" s="330"/>
      <c r="O660" s="330"/>
      <c r="P660" s="330"/>
    </row>
    <row r="661" spans="2:18" ht="36" customHeight="1" x14ac:dyDescent="0.5">
      <c r="D661" s="450"/>
      <c r="E661" s="450"/>
      <c r="F661" s="450"/>
      <c r="G661" s="450"/>
      <c r="H661" s="450"/>
      <c r="I661" s="450"/>
      <c r="J661" s="450"/>
      <c r="K661" s="449"/>
      <c r="L661" s="292"/>
      <c r="M661" s="330"/>
      <c r="N661" s="330"/>
      <c r="O661" s="330"/>
      <c r="P661" s="330"/>
    </row>
    <row r="662" spans="2:18" ht="36" customHeight="1" x14ac:dyDescent="0.5">
      <c r="D662" s="450"/>
      <c r="E662" s="450"/>
      <c r="F662" s="450"/>
      <c r="G662" s="450"/>
      <c r="H662" s="450"/>
      <c r="I662" s="450"/>
      <c r="J662" s="450"/>
      <c r="K662" s="434"/>
      <c r="M662" s="347"/>
      <c r="O662" s="295" t="s">
        <v>89</v>
      </c>
      <c r="Q662" s="292">
        <f>MAX($Q$105:Q661)+1</f>
        <v>14</v>
      </c>
    </row>
    <row r="663" spans="2:18" ht="36" customHeight="1" x14ac:dyDescent="0.5">
      <c r="D663" s="456" t="str">
        <f>Criteria!E9</f>
        <v>HOLDING COMPANY 268 (PROPRIETARY) LIMITED</v>
      </c>
      <c r="E663" s="450"/>
      <c r="F663" s="450"/>
      <c r="G663" s="450"/>
      <c r="H663" s="450"/>
      <c r="I663" s="450"/>
      <c r="J663" s="450"/>
      <c r="K663" s="434"/>
      <c r="M663" s="347"/>
      <c r="O663" s="347"/>
    </row>
    <row r="664" spans="2:18" ht="36" customHeight="1" x14ac:dyDescent="0.5">
      <c r="D664" s="456" t="str">
        <f>Criteria!E10</f>
        <v>CONSOLIDATED FINANCIAL STATEMENTS</v>
      </c>
      <c r="E664" s="450"/>
      <c r="F664" s="450"/>
      <c r="G664" s="450"/>
      <c r="H664" s="450"/>
      <c r="I664" s="450"/>
      <c r="J664" s="450"/>
      <c r="K664" s="434"/>
      <c r="M664" s="347"/>
      <c r="O664" s="347"/>
      <c r="R664" s="348" t="str">
        <f>IF(D664=0,"DELETE"," ")</f>
        <v xml:space="preserve"> </v>
      </c>
    </row>
    <row r="665" spans="2:18" ht="36" customHeight="1" x14ac:dyDescent="0.5">
      <c r="D665" s="450"/>
      <c r="E665" s="450"/>
      <c r="F665" s="450"/>
      <c r="G665" s="450"/>
      <c r="H665" s="450"/>
      <c r="I665" s="450"/>
      <c r="J665" s="450"/>
      <c r="K665" s="434"/>
      <c r="M665" s="347"/>
      <c r="O665" s="347"/>
    </row>
    <row r="666" spans="2:18" ht="36" customHeight="1" x14ac:dyDescent="0.5">
      <c r="D666" s="456" t="s">
        <v>351</v>
      </c>
      <c r="E666" s="450"/>
      <c r="F666" s="450"/>
      <c r="G666" s="450"/>
      <c r="H666" s="450"/>
      <c r="I666" s="450"/>
      <c r="J666" s="450"/>
      <c r="K666" s="434"/>
      <c r="M666" s="347"/>
      <c r="O666" s="347"/>
    </row>
    <row r="667" spans="2:18" ht="36" customHeight="1" x14ac:dyDescent="0.5">
      <c r="D667" s="456" t="str">
        <f>Criteria!E20</f>
        <v>28 FEBRUARY 2025</v>
      </c>
      <c r="E667" s="450"/>
      <c r="F667" s="450"/>
      <c r="G667" s="450"/>
      <c r="H667" s="450"/>
      <c r="I667" s="450"/>
      <c r="J667" s="450" t="s">
        <v>231</v>
      </c>
      <c r="K667" s="434"/>
      <c r="M667" s="347"/>
      <c r="O667" s="347"/>
    </row>
    <row r="668" spans="2:18" ht="36" customHeight="1" x14ac:dyDescent="0.5">
      <c r="D668" s="450"/>
      <c r="E668" s="450"/>
      <c r="F668" s="450"/>
      <c r="G668" s="450"/>
      <c r="H668" s="450"/>
      <c r="I668" s="450"/>
      <c r="J668" s="450"/>
      <c r="K668" s="449"/>
      <c r="L668" s="292"/>
      <c r="M668" s="330"/>
      <c r="N668" s="330"/>
      <c r="O668" s="330"/>
      <c r="P668" s="330"/>
    </row>
    <row r="669" spans="2:18" ht="36" customHeight="1" x14ac:dyDescent="0.5">
      <c r="B669" s="364"/>
      <c r="C669" s="364"/>
      <c r="D669" s="460"/>
      <c r="E669" s="460"/>
      <c r="F669" s="460"/>
      <c r="G669" s="460"/>
      <c r="H669" s="460"/>
      <c r="I669" s="460"/>
      <c r="J669" s="460"/>
      <c r="K669" s="453"/>
      <c r="L669" s="432"/>
      <c r="M669" s="313"/>
      <c r="N669" s="313"/>
      <c r="O669" s="313"/>
      <c r="P669" s="313"/>
      <c r="Q669" s="364"/>
    </row>
    <row r="670" spans="2:18" ht="36" customHeight="1" x14ac:dyDescent="0.5">
      <c r="D670" s="462" t="s">
        <v>856</v>
      </c>
      <c r="E670" s="450"/>
      <c r="F670" s="450"/>
      <c r="G670" s="450"/>
      <c r="H670" s="450"/>
      <c r="I670" s="450"/>
      <c r="J670" s="450"/>
      <c r="K670" s="449"/>
      <c r="L670" s="292"/>
      <c r="M670" s="330"/>
      <c r="N670" s="330"/>
      <c r="O670" s="330"/>
      <c r="P670" s="330"/>
    </row>
    <row r="671" spans="2:18" ht="36" customHeight="1" x14ac:dyDescent="0.5">
      <c r="D671" s="450" t="s">
        <v>1090</v>
      </c>
      <c r="E671" s="450"/>
      <c r="F671" s="450"/>
      <c r="G671" s="450"/>
      <c r="H671" s="450"/>
      <c r="I671" s="450"/>
      <c r="J671" s="450"/>
      <c r="K671" s="449"/>
      <c r="L671" s="292"/>
      <c r="M671" s="330"/>
      <c r="N671" s="330"/>
      <c r="O671" s="330"/>
      <c r="P671" s="330"/>
    </row>
    <row r="672" spans="2:18" ht="36" customHeight="1" x14ac:dyDescent="0.5">
      <c r="D672" s="450" t="s">
        <v>1159</v>
      </c>
      <c r="E672" s="450"/>
      <c r="F672" s="450"/>
      <c r="G672" s="450"/>
      <c r="H672" s="450"/>
      <c r="I672" s="450"/>
      <c r="J672" s="450"/>
      <c r="K672" s="449"/>
      <c r="L672" s="292"/>
      <c r="M672" s="330"/>
      <c r="N672" s="330"/>
      <c r="O672" s="330"/>
      <c r="P672" s="330"/>
    </row>
    <row r="673" spans="2:18" ht="36" customHeight="1" x14ac:dyDescent="0.5">
      <c r="D673" s="450" t="s">
        <v>1158</v>
      </c>
      <c r="E673" s="450"/>
      <c r="F673" s="450"/>
      <c r="G673" s="450"/>
      <c r="H673" s="450"/>
      <c r="I673" s="450"/>
      <c r="J673" s="450"/>
      <c r="K673" s="449"/>
      <c r="L673" s="292"/>
      <c r="M673" s="330"/>
      <c r="N673" s="330"/>
      <c r="O673" s="330"/>
      <c r="P673" s="330"/>
    </row>
    <row r="674" spans="2:18" ht="36" customHeight="1" x14ac:dyDescent="0.5">
      <c r="D674" s="450"/>
      <c r="E674" s="450"/>
      <c r="F674" s="450"/>
      <c r="G674" s="450"/>
      <c r="H674" s="450"/>
      <c r="I674" s="450"/>
      <c r="J674" s="450"/>
      <c r="K674" s="449"/>
      <c r="L674" s="292"/>
      <c r="M674" s="330"/>
      <c r="N674" s="330"/>
      <c r="O674" s="330"/>
      <c r="P674" s="330"/>
    </row>
    <row r="675" spans="2:18" ht="36" customHeight="1" x14ac:dyDescent="0.5">
      <c r="D675" s="450"/>
      <c r="E675" s="450"/>
      <c r="F675" s="450"/>
      <c r="G675" s="450"/>
      <c r="H675" s="450"/>
      <c r="I675" s="450"/>
      <c r="J675" s="450"/>
      <c r="K675" s="449"/>
      <c r="L675" s="292"/>
      <c r="M675" s="330"/>
      <c r="N675" s="330"/>
      <c r="O675" s="330"/>
      <c r="P675" s="330"/>
    </row>
    <row r="676" spans="2:18" ht="36" customHeight="1" x14ac:dyDescent="0.5">
      <c r="D676" s="450"/>
      <c r="E676" s="450"/>
      <c r="F676" s="450"/>
      <c r="G676" s="450"/>
      <c r="H676" s="450"/>
      <c r="I676" s="450"/>
      <c r="J676" s="450"/>
      <c r="K676" s="449"/>
      <c r="L676" s="292"/>
      <c r="M676" s="330"/>
      <c r="N676" s="330"/>
      <c r="O676" s="330"/>
      <c r="P676" s="330"/>
    </row>
    <row r="677" spans="2:18" ht="36" customHeight="1" x14ac:dyDescent="0.5">
      <c r="C677" s="354"/>
      <c r="D677" s="450"/>
      <c r="E677" s="450"/>
      <c r="F677" s="450"/>
      <c r="G677" s="450"/>
      <c r="H677" s="450"/>
      <c r="I677" s="450"/>
      <c r="J677" s="450"/>
      <c r="K677" s="434"/>
      <c r="M677" s="347"/>
      <c r="O677" s="347"/>
    </row>
    <row r="678" spans="2:18" ht="36" customHeight="1" x14ac:dyDescent="0.5">
      <c r="C678" s="354"/>
      <c r="D678" s="450"/>
      <c r="E678" s="450"/>
      <c r="F678" s="450"/>
      <c r="G678" s="450"/>
      <c r="H678" s="450"/>
      <c r="I678" s="450"/>
      <c r="J678" s="450"/>
      <c r="K678" s="434"/>
      <c r="M678" s="347"/>
      <c r="O678" s="295" t="s">
        <v>89</v>
      </c>
      <c r="Q678" s="292">
        <f>MAX($Q$105:Q677)+1</f>
        <v>15</v>
      </c>
    </row>
    <row r="679" spans="2:18" ht="36" customHeight="1" x14ac:dyDescent="0.5">
      <c r="C679" s="354"/>
      <c r="D679" s="456" t="str">
        <f>Criteria!E9</f>
        <v>HOLDING COMPANY 268 (PROPRIETARY) LIMITED</v>
      </c>
      <c r="E679" s="450"/>
      <c r="F679" s="450"/>
      <c r="G679" s="450"/>
      <c r="H679" s="450"/>
      <c r="I679" s="450"/>
      <c r="J679" s="450"/>
      <c r="K679" s="434"/>
      <c r="M679" s="347"/>
      <c r="O679" s="347"/>
    </row>
    <row r="680" spans="2:18" ht="36" customHeight="1" x14ac:dyDescent="0.5">
      <c r="C680" s="354"/>
      <c r="D680" s="456" t="str">
        <f>Criteria!E10</f>
        <v>CONSOLIDATED FINANCIAL STATEMENTS</v>
      </c>
      <c r="E680" s="450"/>
      <c r="F680" s="450"/>
      <c r="G680" s="450"/>
      <c r="H680" s="450"/>
      <c r="I680" s="450"/>
      <c r="J680" s="450"/>
      <c r="K680" s="434"/>
      <c r="M680" s="347"/>
      <c r="O680" s="347"/>
      <c r="R680" s="348" t="str">
        <f>IF(D680=0,"DELETE"," ")</f>
        <v xml:space="preserve"> </v>
      </c>
    </row>
    <row r="681" spans="2:18" ht="36" customHeight="1" x14ac:dyDescent="0.5">
      <c r="C681" s="354"/>
      <c r="D681" s="450"/>
      <c r="E681" s="450"/>
      <c r="F681" s="450"/>
      <c r="G681" s="450"/>
      <c r="H681" s="450"/>
      <c r="I681" s="450"/>
      <c r="J681" s="450"/>
      <c r="K681" s="434"/>
      <c r="M681" s="347"/>
      <c r="O681" s="347"/>
    </row>
    <row r="682" spans="2:18" ht="36" customHeight="1" x14ac:dyDescent="0.5">
      <c r="C682" s="354"/>
      <c r="D682" s="456" t="s">
        <v>351</v>
      </c>
      <c r="E682" s="450"/>
      <c r="F682" s="450"/>
      <c r="G682" s="450"/>
      <c r="H682" s="450"/>
      <c r="I682" s="450"/>
      <c r="J682" s="450"/>
      <c r="K682" s="434"/>
      <c r="M682" s="347"/>
      <c r="O682" s="347"/>
    </row>
    <row r="683" spans="2:18" ht="36" customHeight="1" x14ac:dyDescent="0.5">
      <c r="C683" s="354"/>
      <c r="D683" s="456" t="str">
        <f>Criteria!E20</f>
        <v>28 FEBRUARY 2025</v>
      </c>
      <c r="E683" s="450"/>
      <c r="F683" s="450"/>
      <c r="G683" s="450"/>
      <c r="H683" s="450"/>
      <c r="I683" s="450"/>
      <c r="J683" s="450" t="s">
        <v>231</v>
      </c>
      <c r="K683" s="434"/>
      <c r="M683" s="347"/>
      <c r="O683" s="347"/>
    </row>
    <row r="684" spans="2:18" ht="36" customHeight="1" x14ac:dyDescent="0.5">
      <c r="C684" s="354"/>
      <c r="D684" s="450"/>
      <c r="E684" s="450"/>
      <c r="F684" s="450"/>
      <c r="G684" s="450"/>
      <c r="H684" s="450"/>
      <c r="I684" s="450"/>
      <c r="J684" s="450"/>
      <c r="K684" s="434"/>
      <c r="M684" s="347"/>
      <c r="O684" s="347"/>
    </row>
    <row r="685" spans="2:18" ht="36" customHeight="1" x14ac:dyDescent="0.5">
      <c r="B685" s="364"/>
      <c r="C685" s="368"/>
      <c r="D685" s="460"/>
      <c r="E685" s="460"/>
      <c r="F685" s="460"/>
      <c r="G685" s="460"/>
      <c r="H685" s="460"/>
      <c r="I685" s="460"/>
      <c r="J685" s="460"/>
      <c r="K685" s="444"/>
      <c r="L685" s="364"/>
      <c r="M685" s="367"/>
      <c r="N685" s="367"/>
      <c r="O685" s="367"/>
      <c r="P685" s="367"/>
      <c r="Q685" s="364"/>
    </row>
    <row r="686" spans="2:18" ht="36" customHeight="1" x14ac:dyDescent="0.5">
      <c r="C686" s="354">
        <f>MAX(C$602:C685)+0.1</f>
        <v>1.4000000000000004</v>
      </c>
      <c r="D686" s="456" t="s">
        <v>1058</v>
      </c>
      <c r="E686" s="450"/>
      <c r="F686" s="450"/>
      <c r="G686" s="450"/>
      <c r="H686" s="450"/>
      <c r="I686" s="450"/>
      <c r="J686" s="450"/>
      <c r="K686" s="434"/>
      <c r="M686" s="347"/>
      <c r="O686" s="347"/>
    </row>
    <row r="687" spans="2:18" ht="36" customHeight="1" x14ac:dyDescent="0.5">
      <c r="C687" s="354"/>
      <c r="D687" s="456"/>
      <c r="E687" s="450"/>
      <c r="F687" s="450"/>
      <c r="G687" s="450"/>
      <c r="H687" s="450"/>
      <c r="I687" s="450"/>
      <c r="J687" s="450"/>
      <c r="K687" s="434"/>
      <c r="M687" s="347"/>
      <c r="O687" s="347"/>
    </row>
    <row r="688" spans="2:18" ht="36" customHeight="1" x14ac:dyDescent="0.5">
      <c r="C688" s="369"/>
      <c r="D688" s="450" t="s">
        <v>1092</v>
      </c>
      <c r="E688" s="450"/>
      <c r="F688" s="450"/>
      <c r="G688" s="450"/>
      <c r="H688" s="450"/>
      <c r="I688" s="450"/>
      <c r="J688" s="450"/>
      <c r="K688" s="434"/>
      <c r="M688" s="347"/>
      <c r="O688" s="347"/>
    </row>
    <row r="689" spans="3:18" ht="36" customHeight="1" x14ac:dyDescent="0.5">
      <c r="C689" s="369"/>
      <c r="D689" s="450" t="s">
        <v>1091</v>
      </c>
      <c r="E689" s="450"/>
      <c r="F689" s="450"/>
      <c r="G689" s="450"/>
      <c r="H689" s="450"/>
      <c r="I689" s="450"/>
      <c r="J689" s="450"/>
      <c r="K689" s="434"/>
      <c r="M689" s="347"/>
      <c r="O689" s="347"/>
    </row>
    <row r="690" spans="3:18" ht="36" customHeight="1" x14ac:dyDescent="0.5">
      <c r="C690" s="369"/>
      <c r="D690" s="450" t="s">
        <v>1160</v>
      </c>
      <c r="E690" s="450"/>
      <c r="F690" s="450"/>
      <c r="G690" s="450"/>
      <c r="H690" s="450"/>
      <c r="I690" s="450"/>
      <c r="J690" s="450"/>
      <c r="K690" s="434"/>
      <c r="M690" s="347"/>
      <c r="O690" s="347"/>
    </row>
    <row r="691" spans="3:18" ht="36" customHeight="1" x14ac:dyDescent="0.5">
      <c r="C691" s="369"/>
      <c r="D691" s="450" t="s">
        <v>1161</v>
      </c>
      <c r="E691" s="450"/>
      <c r="F691" s="450"/>
      <c r="G691" s="450"/>
      <c r="H691" s="450"/>
      <c r="I691" s="450"/>
      <c r="J691" s="450"/>
      <c r="K691" s="434"/>
      <c r="M691" s="347"/>
      <c r="O691" s="347"/>
    </row>
    <row r="692" spans="3:18" ht="36" customHeight="1" x14ac:dyDescent="0.5">
      <c r="C692" s="369"/>
      <c r="D692" s="450" t="s">
        <v>1162</v>
      </c>
      <c r="E692" s="450"/>
      <c r="F692" s="450"/>
      <c r="G692" s="450"/>
      <c r="H692" s="450"/>
      <c r="I692" s="450"/>
      <c r="J692" s="450"/>
      <c r="K692" s="434"/>
      <c r="M692" s="347"/>
      <c r="O692" s="347"/>
    </row>
    <row r="693" spans="3:18" ht="36" customHeight="1" x14ac:dyDescent="0.5">
      <c r="C693" s="369"/>
      <c r="D693" s="450" t="s">
        <v>1164</v>
      </c>
      <c r="E693" s="450"/>
      <c r="F693" s="450"/>
      <c r="G693" s="450"/>
      <c r="H693" s="450"/>
      <c r="I693" s="450"/>
      <c r="J693" s="450"/>
      <c r="K693" s="434"/>
      <c r="M693" s="347"/>
      <c r="O693" s="347"/>
    </row>
    <row r="694" spans="3:18" ht="36" customHeight="1" x14ac:dyDescent="0.5">
      <c r="C694" s="369"/>
      <c r="D694" s="450" t="s">
        <v>1163</v>
      </c>
      <c r="E694" s="450"/>
      <c r="F694" s="450"/>
      <c r="G694" s="450"/>
      <c r="H694" s="450"/>
      <c r="I694" s="450"/>
      <c r="J694" s="450"/>
      <c r="K694" s="434"/>
      <c r="M694" s="347"/>
      <c r="O694" s="347"/>
    </row>
    <row r="695" spans="3:18" ht="36" customHeight="1" x14ac:dyDescent="0.5">
      <c r="C695" s="354"/>
      <c r="D695" s="450"/>
      <c r="E695" s="450"/>
      <c r="F695" s="450"/>
      <c r="G695" s="450"/>
      <c r="H695" s="450"/>
      <c r="I695" s="450"/>
      <c r="J695" s="450"/>
      <c r="K695" s="434"/>
      <c r="M695" s="356"/>
      <c r="N695" s="356"/>
      <c r="O695" s="356"/>
      <c r="P695" s="356"/>
    </row>
    <row r="696" spans="3:18" ht="36" customHeight="1" x14ac:dyDescent="0.5">
      <c r="C696" s="354"/>
      <c r="D696" s="450"/>
      <c r="E696" s="450"/>
      <c r="F696" s="450"/>
      <c r="G696" s="450"/>
      <c r="H696" s="450"/>
      <c r="I696" s="450"/>
      <c r="J696" s="450"/>
      <c r="K696" s="434"/>
      <c r="M696" s="356"/>
      <c r="N696" s="356"/>
      <c r="O696" s="356"/>
      <c r="P696" s="356"/>
    </row>
    <row r="697" spans="3:18" ht="36" customHeight="1" x14ac:dyDescent="0.5">
      <c r="C697" s="354"/>
      <c r="D697" s="450"/>
      <c r="E697" s="450"/>
      <c r="F697" s="450"/>
      <c r="G697" s="450"/>
      <c r="H697" s="450"/>
      <c r="I697" s="450"/>
      <c r="J697" s="450"/>
      <c r="K697" s="434"/>
      <c r="M697" s="356"/>
      <c r="N697" s="356"/>
      <c r="O697" s="356"/>
      <c r="P697" s="356"/>
    </row>
    <row r="698" spans="3:18" ht="36" customHeight="1" x14ac:dyDescent="0.5">
      <c r="C698" s="354"/>
      <c r="D698" s="450"/>
      <c r="E698" s="450"/>
      <c r="F698" s="450"/>
      <c r="G698" s="450"/>
      <c r="H698" s="450"/>
      <c r="I698" s="450"/>
      <c r="J698" s="450"/>
      <c r="K698" s="434"/>
      <c r="M698" s="347"/>
      <c r="O698" s="347"/>
    </row>
    <row r="699" spans="3:18" ht="36" customHeight="1" x14ac:dyDescent="0.5">
      <c r="C699" s="354"/>
      <c r="D699" s="450"/>
      <c r="E699" s="450"/>
      <c r="F699" s="450"/>
      <c r="G699" s="450"/>
      <c r="H699" s="450"/>
      <c r="I699" s="450"/>
      <c r="J699" s="450"/>
      <c r="K699" s="434"/>
      <c r="M699" s="347"/>
      <c r="O699" s="295" t="s">
        <v>89</v>
      </c>
      <c r="Q699" s="292">
        <f>MAX($Q$105:Q698)+1</f>
        <v>16</v>
      </c>
    </row>
    <row r="700" spans="3:18" ht="36" customHeight="1" x14ac:dyDescent="0.5">
      <c r="C700" s="354"/>
      <c r="D700" s="456" t="str">
        <f>Criteria!E9</f>
        <v>HOLDING COMPANY 268 (PROPRIETARY) LIMITED</v>
      </c>
      <c r="E700" s="450"/>
      <c r="F700" s="450"/>
      <c r="G700" s="450"/>
      <c r="H700" s="450"/>
      <c r="I700" s="450"/>
      <c r="J700" s="450"/>
      <c r="K700" s="434"/>
      <c r="M700" s="347"/>
      <c r="O700" s="347"/>
    </row>
    <row r="701" spans="3:18" ht="36" customHeight="1" x14ac:dyDescent="0.5">
      <c r="C701" s="354"/>
      <c r="D701" s="456" t="str">
        <f>Criteria!E10</f>
        <v>CONSOLIDATED FINANCIAL STATEMENTS</v>
      </c>
      <c r="E701" s="450"/>
      <c r="F701" s="450"/>
      <c r="G701" s="450"/>
      <c r="H701" s="450"/>
      <c r="I701" s="450"/>
      <c r="J701" s="450"/>
      <c r="K701" s="434"/>
      <c r="M701" s="347"/>
      <c r="O701" s="347"/>
      <c r="R701" s="348" t="str">
        <f>IF(D701=0,"DELETE"," ")</f>
        <v xml:space="preserve"> </v>
      </c>
    </row>
    <row r="702" spans="3:18" ht="36" customHeight="1" x14ac:dyDescent="0.5">
      <c r="C702" s="354"/>
      <c r="D702" s="450"/>
      <c r="E702" s="450"/>
      <c r="F702" s="450"/>
      <c r="G702" s="450"/>
      <c r="H702" s="450"/>
      <c r="I702" s="450"/>
      <c r="J702" s="450"/>
      <c r="K702" s="434"/>
      <c r="M702" s="347"/>
      <c r="O702" s="347"/>
    </row>
    <row r="703" spans="3:18" ht="36" customHeight="1" x14ac:dyDescent="0.5">
      <c r="C703" s="354"/>
      <c r="D703" s="456" t="s">
        <v>351</v>
      </c>
      <c r="E703" s="450"/>
      <c r="F703" s="450"/>
      <c r="G703" s="450"/>
      <c r="H703" s="450"/>
      <c r="I703" s="450"/>
      <c r="J703" s="450"/>
      <c r="K703" s="434"/>
      <c r="M703" s="347"/>
      <c r="O703" s="347"/>
    </row>
    <row r="704" spans="3:18" ht="36" customHeight="1" x14ac:dyDescent="0.5">
      <c r="C704" s="354"/>
      <c r="D704" s="456" t="str">
        <f>Criteria!E20</f>
        <v>28 FEBRUARY 2025</v>
      </c>
      <c r="E704" s="450"/>
      <c r="F704" s="450"/>
      <c r="G704" s="450"/>
      <c r="H704" s="450"/>
      <c r="I704" s="450"/>
      <c r="J704" s="450" t="s">
        <v>231</v>
      </c>
      <c r="K704" s="434"/>
      <c r="M704" s="347"/>
      <c r="O704" s="347"/>
    </row>
    <row r="705" spans="2:17" ht="36" customHeight="1" x14ac:dyDescent="0.5">
      <c r="C705" s="354"/>
      <c r="D705" s="450"/>
      <c r="E705" s="450"/>
      <c r="F705" s="450"/>
      <c r="G705" s="450"/>
      <c r="H705" s="450"/>
      <c r="I705" s="450"/>
      <c r="J705" s="450"/>
      <c r="K705" s="434"/>
      <c r="M705" s="347"/>
      <c r="O705" s="347"/>
    </row>
    <row r="706" spans="2:17" ht="36" customHeight="1" x14ac:dyDescent="0.5">
      <c r="B706" s="364"/>
      <c r="C706" s="368"/>
      <c r="D706" s="460"/>
      <c r="E706" s="460"/>
      <c r="F706" s="460"/>
      <c r="G706" s="460"/>
      <c r="H706" s="460"/>
      <c r="I706" s="460"/>
      <c r="J706" s="460"/>
      <c r="K706" s="444"/>
      <c r="L706" s="364"/>
      <c r="M706" s="367"/>
      <c r="N706" s="367"/>
      <c r="O706" s="367"/>
      <c r="P706" s="367"/>
      <c r="Q706" s="364"/>
    </row>
    <row r="707" spans="2:17" ht="36" customHeight="1" x14ac:dyDescent="0.5">
      <c r="B707" s="316"/>
      <c r="C707" s="369"/>
      <c r="D707" s="450" t="s">
        <v>1165</v>
      </c>
      <c r="E707" s="450"/>
      <c r="F707" s="450"/>
      <c r="G707" s="450"/>
      <c r="H707" s="450"/>
      <c r="I707" s="450"/>
      <c r="J707" s="450"/>
      <c r="K707" s="434"/>
      <c r="M707" s="347"/>
      <c r="O707" s="347"/>
    </row>
    <row r="708" spans="2:17" ht="36" customHeight="1" x14ac:dyDescent="0.5">
      <c r="B708" s="316"/>
      <c r="C708" s="369"/>
      <c r="D708" s="450" t="s">
        <v>1167</v>
      </c>
      <c r="E708" s="450"/>
      <c r="F708" s="450"/>
      <c r="G708" s="450"/>
      <c r="H708" s="450"/>
      <c r="I708" s="450"/>
      <c r="J708" s="450"/>
      <c r="K708" s="434"/>
      <c r="M708" s="347"/>
      <c r="O708" s="347"/>
    </row>
    <row r="709" spans="2:17" ht="36" customHeight="1" x14ac:dyDescent="0.5">
      <c r="B709" s="316"/>
      <c r="C709" s="369"/>
      <c r="D709" s="450" t="s">
        <v>1166</v>
      </c>
      <c r="E709" s="450"/>
      <c r="F709" s="450"/>
      <c r="G709" s="450"/>
      <c r="H709" s="450"/>
      <c r="I709" s="450"/>
      <c r="J709" s="450"/>
      <c r="K709" s="434"/>
      <c r="M709" s="347"/>
      <c r="O709" s="347"/>
    </row>
    <row r="710" spans="2:17" ht="36" customHeight="1" x14ac:dyDescent="0.5">
      <c r="B710" s="316"/>
      <c r="C710" s="369"/>
      <c r="D710" s="450" t="str">
        <f>CONCATENATE("- ",Criteria!F209)</f>
        <v>- Property</v>
      </c>
      <c r="E710" s="450"/>
      <c r="F710" s="450"/>
      <c r="G710" s="450"/>
      <c r="H710" s="450"/>
      <c r="I710" s="450"/>
      <c r="J710" s="463">
        <f>Criteria!F210</f>
        <v>0.02</v>
      </c>
      <c r="K710" s="434" t="str">
        <f>Criteria!F211</f>
        <v>Straight line</v>
      </c>
      <c r="M710" s="347"/>
      <c r="O710" s="347"/>
    </row>
    <row r="711" spans="2:17" ht="36" customHeight="1" x14ac:dyDescent="0.5">
      <c r="B711" s="316"/>
      <c r="C711" s="369"/>
      <c r="D711" s="450" t="str">
        <f>CONCATENATE("- ",Criteria!G208," ",Criteria!G209)</f>
        <v>- Plant and equipment</v>
      </c>
      <c r="E711" s="450"/>
      <c r="F711" s="450"/>
      <c r="G711" s="450"/>
      <c r="H711" s="450"/>
      <c r="I711" s="450"/>
      <c r="J711" s="463">
        <f>Criteria!G210</f>
        <v>0.2</v>
      </c>
      <c r="K711" s="454" t="str">
        <f>Criteria!G211</f>
        <v>Straight line</v>
      </c>
      <c r="M711" s="347"/>
      <c r="O711" s="347"/>
    </row>
    <row r="712" spans="2:17" ht="36" customHeight="1" x14ac:dyDescent="0.5">
      <c r="B712" s="316"/>
      <c r="C712" s="369"/>
      <c r="D712" s="450" t="str">
        <f>CONCATENATE("- ",Criteria!H208," ",Criteria!H209)</f>
        <v>- Motor vehicles</v>
      </c>
      <c r="E712" s="450"/>
      <c r="F712" s="450"/>
      <c r="G712" s="450"/>
      <c r="H712" s="450"/>
      <c r="I712" s="450"/>
      <c r="J712" s="463">
        <f>Criteria!H210</f>
        <v>0.2</v>
      </c>
      <c r="K712" s="454" t="str">
        <f>Criteria!H211</f>
        <v>Straight line</v>
      </c>
      <c r="M712" s="347"/>
      <c r="O712" s="347"/>
    </row>
    <row r="713" spans="2:17" ht="36" customHeight="1" x14ac:dyDescent="0.5">
      <c r="B713" s="316"/>
      <c r="C713" s="369"/>
      <c r="D713" s="450" t="str">
        <f>CONCATENATE("- ",Criteria!I208," ",Criteria!I209)</f>
        <v>- Electronic equipment</v>
      </c>
      <c r="E713" s="450"/>
      <c r="F713" s="450"/>
      <c r="G713" s="450"/>
      <c r="H713" s="450"/>
      <c r="I713" s="450"/>
      <c r="J713" s="463">
        <f>Criteria!I210</f>
        <v>0.33339999999999997</v>
      </c>
      <c r="K713" s="454" t="str">
        <f>Criteria!I211</f>
        <v>Straight line</v>
      </c>
      <c r="M713" s="347"/>
      <c r="O713" s="347"/>
    </row>
    <row r="714" spans="2:17" ht="36" customHeight="1" x14ac:dyDescent="0.5">
      <c r="B714" s="316"/>
      <c r="C714" s="369"/>
      <c r="D714" s="450" t="str">
        <f>CONCATENATE("- ",Criteria!J208," ",Criteria!J209)</f>
        <v>- Furniture and fittings</v>
      </c>
      <c r="E714" s="450"/>
      <c r="F714" s="450"/>
      <c r="G714" s="450"/>
      <c r="H714" s="450"/>
      <c r="I714" s="450"/>
      <c r="J714" s="463">
        <f>Criteria!J210</f>
        <v>0.2</v>
      </c>
      <c r="K714" s="454" t="str">
        <f>Criteria!J211</f>
        <v>Straight line</v>
      </c>
      <c r="M714" s="347"/>
      <c r="O714" s="347"/>
    </row>
    <row r="715" spans="2:17" ht="36" customHeight="1" x14ac:dyDescent="0.5">
      <c r="B715" s="316"/>
      <c r="C715" s="369"/>
      <c r="D715" s="450"/>
      <c r="E715" s="450"/>
      <c r="F715" s="450"/>
      <c r="G715" s="450"/>
      <c r="H715" s="450"/>
      <c r="I715" s="450"/>
      <c r="J715" s="464"/>
      <c r="K715" s="454"/>
      <c r="M715" s="347"/>
      <c r="O715" s="347"/>
    </row>
    <row r="716" spans="2:17" ht="36" customHeight="1" x14ac:dyDescent="0.5">
      <c r="B716" s="316"/>
      <c r="C716" s="369"/>
      <c r="D716" s="450" t="s">
        <v>1168</v>
      </c>
      <c r="E716" s="450"/>
      <c r="F716" s="450"/>
      <c r="G716" s="450"/>
      <c r="H716" s="450"/>
      <c r="I716" s="450"/>
      <c r="J716" s="464"/>
      <c r="K716" s="454"/>
      <c r="M716" s="347"/>
      <c r="O716" s="347"/>
    </row>
    <row r="717" spans="2:17" ht="36" customHeight="1" x14ac:dyDescent="0.5">
      <c r="B717" s="316"/>
      <c r="C717" s="369"/>
      <c r="D717" s="450" t="s">
        <v>1170</v>
      </c>
      <c r="E717" s="450"/>
      <c r="F717" s="450"/>
      <c r="G717" s="450"/>
      <c r="H717" s="450"/>
      <c r="I717" s="450"/>
      <c r="J717" s="464"/>
      <c r="K717" s="454"/>
      <c r="M717" s="347"/>
      <c r="O717" s="347"/>
    </row>
    <row r="718" spans="2:17" ht="36" customHeight="1" x14ac:dyDescent="0.5">
      <c r="B718" s="316"/>
      <c r="C718" s="369"/>
      <c r="D718" s="450" t="s">
        <v>1169</v>
      </c>
      <c r="E718" s="450"/>
      <c r="F718" s="450"/>
      <c r="G718" s="450"/>
      <c r="H718" s="450"/>
      <c r="I718" s="450"/>
      <c r="J718" s="464"/>
      <c r="K718" s="454"/>
      <c r="M718" s="347"/>
      <c r="O718" s="347"/>
    </row>
    <row r="719" spans="2:17" ht="36" customHeight="1" x14ac:dyDescent="0.5">
      <c r="B719" s="316"/>
      <c r="C719" s="369"/>
      <c r="D719" s="450"/>
      <c r="E719" s="450"/>
      <c r="F719" s="450"/>
      <c r="G719" s="450"/>
      <c r="H719" s="450"/>
      <c r="I719" s="450"/>
      <c r="J719" s="450"/>
      <c r="K719" s="434"/>
      <c r="M719" s="347"/>
      <c r="O719" s="347"/>
    </row>
    <row r="720" spans="2:17" ht="36" customHeight="1" x14ac:dyDescent="0.5">
      <c r="B720" s="316"/>
      <c r="C720" s="369"/>
      <c r="D720" s="450" t="s">
        <v>1107</v>
      </c>
      <c r="E720" s="450"/>
      <c r="F720" s="450"/>
      <c r="G720" s="450"/>
      <c r="H720" s="450"/>
      <c r="I720" s="450"/>
      <c r="J720" s="450"/>
      <c r="K720" s="434"/>
      <c r="M720" s="347"/>
      <c r="O720" s="347"/>
    </row>
    <row r="721" spans="2:18" ht="36" customHeight="1" x14ac:dyDescent="0.5">
      <c r="B721" s="316"/>
      <c r="C721" s="369"/>
      <c r="D721" s="450" t="s">
        <v>1093</v>
      </c>
      <c r="E721" s="450"/>
      <c r="F721" s="450"/>
      <c r="G721" s="450"/>
      <c r="H721" s="450"/>
      <c r="I721" s="450"/>
      <c r="J721" s="450"/>
      <c r="K721" s="434"/>
      <c r="M721" s="347"/>
      <c r="O721" s="347"/>
    </row>
    <row r="722" spans="2:18" ht="36" customHeight="1" x14ac:dyDescent="0.5">
      <c r="B722" s="316"/>
      <c r="C722" s="369"/>
      <c r="D722" s="450"/>
      <c r="E722" s="450"/>
      <c r="F722" s="450"/>
      <c r="G722" s="450"/>
      <c r="H722" s="450"/>
      <c r="I722" s="450"/>
      <c r="J722" s="450"/>
      <c r="K722" s="434"/>
      <c r="M722" s="347"/>
      <c r="O722" s="347"/>
    </row>
    <row r="723" spans="2:18" ht="36" customHeight="1" x14ac:dyDescent="0.5">
      <c r="D723" s="450"/>
      <c r="E723" s="450"/>
      <c r="F723" s="450"/>
      <c r="G723" s="450"/>
      <c r="H723" s="450"/>
      <c r="I723" s="450"/>
      <c r="J723" s="450"/>
      <c r="K723" s="449"/>
      <c r="L723" s="292"/>
      <c r="M723" s="330"/>
      <c r="N723" s="330"/>
      <c r="O723" s="330"/>
      <c r="P723" s="330"/>
    </row>
    <row r="724" spans="2:18" ht="36" customHeight="1" x14ac:dyDescent="0.5">
      <c r="C724" s="354"/>
      <c r="D724" s="450"/>
      <c r="E724" s="450"/>
      <c r="F724" s="450"/>
      <c r="G724" s="450"/>
      <c r="H724" s="450"/>
      <c r="I724" s="450"/>
      <c r="J724" s="450"/>
      <c r="K724" s="434"/>
      <c r="M724" s="347"/>
      <c r="O724" s="347"/>
    </row>
    <row r="725" spans="2:18" ht="36" customHeight="1" x14ac:dyDescent="0.5">
      <c r="C725" s="354"/>
      <c r="D725" s="450"/>
      <c r="E725" s="450"/>
      <c r="F725" s="450"/>
      <c r="G725" s="450"/>
      <c r="H725" s="450"/>
      <c r="I725" s="450"/>
      <c r="J725" s="450"/>
      <c r="K725" s="434"/>
      <c r="M725" s="347"/>
      <c r="O725" s="295" t="s">
        <v>89</v>
      </c>
      <c r="Q725" s="292">
        <f>MAX($Q$105:Q724)+1</f>
        <v>17</v>
      </c>
    </row>
    <row r="726" spans="2:18" ht="36" customHeight="1" x14ac:dyDescent="0.5">
      <c r="C726" s="354"/>
      <c r="D726" s="456" t="str">
        <f>Criteria!E9</f>
        <v>HOLDING COMPANY 268 (PROPRIETARY) LIMITED</v>
      </c>
      <c r="E726" s="450"/>
      <c r="F726" s="450"/>
      <c r="G726" s="450"/>
      <c r="H726" s="450"/>
      <c r="I726" s="450"/>
      <c r="J726" s="450"/>
      <c r="K726" s="434"/>
      <c r="M726" s="347"/>
      <c r="O726" s="347"/>
    </row>
    <row r="727" spans="2:18" ht="36" customHeight="1" x14ac:dyDescent="0.5">
      <c r="C727" s="354"/>
      <c r="D727" s="456" t="str">
        <f>Criteria!E10</f>
        <v>CONSOLIDATED FINANCIAL STATEMENTS</v>
      </c>
      <c r="E727" s="450"/>
      <c r="F727" s="450"/>
      <c r="G727" s="450"/>
      <c r="H727" s="450"/>
      <c r="I727" s="450"/>
      <c r="J727" s="450"/>
      <c r="K727" s="434"/>
      <c r="M727" s="347"/>
      <c r="O727" s="347"/>
      <c r="R727" s="348" t="str">
        <f>IF(D727=0,"DELETE"," ")</f>
        <v xml:space="preserve"> </v>
      </c>
    </row>
    <row r="728" spans="2:18" ht="36" customHeight="1" x14ac:dyDescent="0.5">
      <c r="C728" s="354"/>
      <c r="D728" s="450"/>
      <c r="E728" s="450"/>
      <c r="F728" s="450"/>
      <c r="G728" s="450"/>
      <c r="H728" s="450"/>
      <c r="I728" s="450"/>
      <c r="J728" s="450"/>
      <c r="K728" s="434"/>
      <c r="M728" s="347"/>
      <c r="O728" s="347"/>
    </row>
    <row r="729" spans="2:18" ht="36" customHeight="1" x14ac:dyDescent="0.5">
      <c r="C729" s="354"/>
      <c r="D729" s="456" t="s">
        <v>351</v>
      </c>
      <c r="E729" s="450"/>
      <c r="F729" s="450"/>
      <c r="G729" s="450"/>
      <c r="H729" s="450"/>
      <c r="I729" s="450"/>
      <c r="J729" s="450"/>
      <c r="K729" s="434"/>
      <c r="M729" s="347"/>
      <c r="O729" s="347"/>
    </row>
    <row r="730" spans="2:18" ht="36" customHeight="1" x14ac:dyDescent="0.5">
      <c r="C730" s="354"/>
      <c r="D730" s="456" t="str">
        <f>Criteria!E20</f>
        <v>28 FEBRUARY 2025</v>
      </c>
      <c r="E730" s="450"/>
      <c r="F730" s="450"/>
      <c r="G730" s="450"/>
      <c r="H730" s="450"/>
      <c r="I730" s="450"/>
      <c r="J730" s="450" t="s">
        <v>231</v>
      </c>
      <c r="K730" s="434"/>
      <c r="M730" s="347"/>
      <c r="O730" s="347"/>
    </row>
    <row r="731" spans="2:18" ht="36" customHeight="1" x14ac:dyDescent="0.5">
      <c r="C731" s="354"/>
      <c r="D731" s="450"/>
      <c r="E731" s="450"/>
      <c r="F731" s="450"/>
      <c r="G731" s="450"/>
      <c r="H731" s="450"/>
      <c r="I731" s="450"/>
      <c r="J731" s="450"/>
      <c r="K731" s="434"/>
      <c r="M731" s="347"/>
      <c r="O731" s="347"/>
    </row>
    <row r="732" spans="2:18" ht="36" customHeight="1" x14ac:dyDescent="0.5">
      <c r="B732" s="364"/>
      <c r="C732" s="368"/>
      <c r="D732" s="460"/>
      <c r="E732" s="460"/>
      <c r="F732" s="460"/>
      <c r="G732" s="460"/>
      <c r="H732" s="460"/>
      <c r="I732" s="460"/>
      <c r="J732" s="460"/>
      <c r="K732" s="444"/>
      <c r="L732" s="364"/>
      <c r="M732" s="367"/>
      <c r="N732" s="367"/>
      <c r="O732" s="367"/>
      <c r="P732" s="367"/>
      <c r="Q732" s="364"/>
    </row>
    <row r="733" spans="2:18" ht="36" customHeight="1" x14ac:dyDescent="0.5">
      <c r="B733" s="316"/>
      <c r="C733" s="354">
        <f>MAX(C$602:C732)+0.1</f>
        <v>1.5000000000000004</v>
      </c>
      <c r="D733" s="456" t="s">
        <v>1059</v>
      </c>
      <c r="E733" s="450"/>
      <c r="F733" s="450"/>
      <c r="G733" s="450"/>
      <c r="H733" s="450"/>
      <c r="I733" s="450"/>
      <c r="J733" s="450"/>
      <c r="K733" s="434"/>
      <c r="M733" s="347"/>
      <c r="O733" s="347"/>
    </row>
    <row r="734" spans="2:18" ht="36" customHeight="1" x14ac:dyDescent="0.5">
      <c r="B734" s="316"/>
      <c r="C734" s="354"/>
      <c r="D734" s="456"/>
      <c r="E734" s="450"/>
      <c r="F734" s="450"/>
      <c r="G734" s="450"/>
      <c r="H734" s="450"/>
      <c r="I734" s="450"/>
      <c r="J734" s="450"/>
      <c r="K734" s="434"/>
      <c r="M734" s="347"/>
      <c r="O734" s="347"/>
    </row>
    <row r="735" spans="2:18" ht="36" customHeight="1" x14ac:dyDescent="0.5">
      <c r="B735" s="316"/>
      <c r="C735" s="369"/>
      <c r="D735" s="450" t="s">
        <v>1171</v>
      </c>
      <c r="E735" s="450"/>
      <c r="F735" s="450"/>
      <c r="G735" s="450"/>
      <c r="H735" s="450"/>
      <c r="I735" s="450"/>
      <c r="J735" s="450"/>
      <c r="K735" s="434"/>
      <c r="M735" s="347"/>
      <c r="O735" s="347"/>
    </row>
    <row r="736" spans="2:18" ht="36" customHeight="1" x14ac:dyDescent="0.5">
      <c r="B736" s="316"/>
      <c r="C736" s="369"/>
      <c r="D736" s="450" t="s">
        <v>1172</v>
      </c>
      <c r="E736" s="450"/>
      <c r="F736" s="450"/>
      <c r="G736" s="450"/>
      <c r="H736" s="450"/>
      <c r="I736" s="450"/>
      <c r="J736" s="450"/>
      <c r="K736" s="434"/>
      <c r="M736" s="347"/>
      <c r="O736" s="347"/>
    </row>
    <row r="737" spans="2:18" ht="36" customHeight="1" x14ac:dyDescent="0.5">
      <c r="B737" s="316"/>
      <c r="C737" s="369"/>
      <c r="D737" s="450" t="s">
        <v>1174</v>
      </c>
      <c r="E737" s="450"/>
      <c r="F737" s="450"/>
      <c r="G737" s="450"/>
      <c r="H737" s="450"/>
      <c r="I737" s="450"/>
      <c r="J737" s="450"/>
      <c r="K737" s="434"/>
      <c r="M737" s="347"/>
      <c r="O737" s="347"/>
    </row>
    <row r="738" spans="2:18" ht="36" customHeight="1" x14ac:dyDescent="0.5">
      <c r="B738" s="316"/>
      <c r="C738" s="369"/>
      <c r="D738" s="450" t="s">
        <v>1173</v>
      </c>
      <c r="E738" s="450"/>
      <c r="F738" s="450"/>
      <c r="G738" s="450"/>
      <c r="H738" s="450"/>
      <c r="I738" s="450"/>
      <c r="J738" s="450"/>
      <c r="K738" s="434"/>
      <c r="M738" s="347"/>
      <c r="O738" s="347"/>
    </row>
    <row r="739" spans="2:18" ht="36" customHeight="1" x14ac:dyDescent="0.5">
      <c r="B739" s="316"/>
      <c r="C739" s="369"/>
      <c r="D739" s="450"/>
      <c r="E739" s="450"/>
      <c r="F739" s="450"/>
      <c r="G739" s="450"/>
      <c r="H739" s="450"/>
      <c r="I739" s="450"/>
      <c r="J739" s="450"/>
      <c r="K739" s="434"/>
      <c r="M739" s="347"/>
      <c r="O739" s="347"/>
    </row>
    <row r="740" spans="2:18" ht="36" customHeight="1" x14ac:dyDescent="0.5">
      <c r="B740" s="316"/>
      <c r="C740" s="369"/>
      <c r="D740" s="450"/>
      <c r="E740" s="450"/>
      <c r="F740" s="450"/>
      <c r="G740" s="450"/>
      <c r="H740" s="450"/>
      <c r="I740" s="450"/>
      <c r="J740" s="450"/>
      <c r="K740" s="434"/>
      <c r="M740" s="347"/>
      <c r="O740" s="347"/>
    </row>
    <row r="741" spans="2:18" ht="36" customHeight="1" x14ac:dyDescent="0.5">
      <c r="D741" s="450"/>
      <c r="E741" s="450"/>
      <c r="F741" s="450"/>
      <c r="G741" s="450"/>
      <c r="H741" s="450"/>
      <c r="I741" s="450"/>
      <c r="J741" s="450"/>
      <c r="K741" s="449"/>
      <c r="L741" s="292"/>
      <c r="M741" s="330"/>
      <c r="N741" s="330"/>
      <c r="O741" s="330"/>
      <c r="P741" s="330"/>
    </row>
    <row r="742" spans="2:18" ht="36" customHeight="1" x14ac:dyDescent="0.5">
      <c r="C742" s="354"/>
      <c r="D742" s="450"/>
      <c r="E742" s="450"/>
      <c r="F742" s="450"/>
      <c r="G742" s="450"/>
      <c r="H742" s="450"/>
      <c r="I742" s="450"/>
      <c r="J742" s="450"/>
      <c r="K742" s="434"/>
      <c r="M742" s="347"/>
      <c r="O742" s="347"/>
    </row>
    <row r="743" spans="2:18" ht="36" customHeight="1" x14ac:dyDescent="0.5">
      <c r="C743" s="354"/>
      <c r="D743" s="450"/>
      <c r="E743" s="450"/>
      <c r="F743" s="450"/>
      <c r="G743" s="450"/>
      <c r="H743" s="450"/>
      <c r="I743" s="450"/>
      <c r="J743" s="450"/>
      <c r="K743" s="434"/>
      <c r="M743" s="347"/>
      <c r="O743" s="295" t="s">
        <v>89</v>
      </c>
      <c r="Q743" s="292">
        <f>MAX($Q$105:Q742)+1</f>
        <v>18</v>
      </c>
    </row>
    <row r="744" spans="2:18" ht="36" customHeight="1" x14ac:dyDescent="0.5">
      <c r="C744" s="354"/>
      <c r="D744" s="456" t="str">
        <f>Criteria!E9</f>
        <v>HOLDING COMPANY 268 (PROPRIETARY) LIMITED</v>
      </c>
      <c r="E744" s="450"/>
      <c r="F744" s="450"/>
      <c r="G744" s="450"/>
      <c r="H744" s="450"/>
      <c r="I744" s="450"/>
      <c r="J744" s="450"/>
      <c r="K744" s="434"/>
      <c r="M744" s="347"/>
      <c r="O744" s="347"/>
    </row>
    <row r="745" spans="2:18" ht="36" customHeight="1" x14ac:dyDescent="0.5">
      <c r="C745" s="354"/>
      <c r="D745" s="456" t="str">
        <f>Criteria!E10</f>
        <v>CONSOLIDATED FINANCIAL STATEMENTS</v>
      </c>
      <c r="E745" s="450"/>
      <c r="F745" s="450"/>
      <c r="G745" s="450"/>
      <c r="H745" s="450"/>
      <c r="I745" s="450"/>
      <c r="J745" s="450"/>
      <c r="K745" s="434"/>
      <c r="M745" s="347"/>
      <c r="O745" s="347"/>
      <c r="R745" s="348" t="str">
        <f>IF(D745=0,"DELETE"," ")</f>
        <v xml:space="preserve"> </v>
      </c>
    </row>
    <row r="746" spans="2:18" ht="36" customHeight="1" x14ac:dyDescent="0.5">
      <c r="C746" s="354"/>
      <c r="D746" s="450"/>
      <c r="E746" s="450"/>
      <c r="F746" s="450"/>
      <c r="G746" s="450"/>
      <c r="H746" s="450"/>
      <c r="I746" s="450"/>
      <c r="J746" s="450"/>
      <c r="K746" s="434"/>
      <c r="M746" s="347"/>
      <c r="O746" s="347"/>
    </row>
    <row r="747" spans="2:18" ht="36" customHeight="1" x14ac:dyDescent="0.5">
      <c r="C747" s="354"/>
      <c r="D747" s="456" t="s">
        <v>351</v>
      </c>
      <c r="E747" s="450"/>
      <c r="F747" s="450"/>
      <c r="G747" s="450"/>
      <c r="H747" s="450"/>
      <c r="I747" s="450"/>
      <c r="J747" s="450"/>
      <c r="K747" s="434"/>
      <c r="M747" s="347"/>
      <c r="O747" s="347"/>
    </row>
    <row r="748" spans="2:18" ht="36" customHeight="1" x14ac:dyDescent="0.5">
      <c r="C748" s="354"/>
      <c r="D748" s="456" t="str">
        <f>Criteria!E20</f>
        <v>28 FEBRUARY 2025</v>
      </c>
      <c r="E748" s="450"/>
      <c r="F748" s="450"/>
      <c r="G748" s="450"/>
      <c r="H748" s="450"/>
      <c r="I748" s="450"/>
      <c r="J748" s="450" t="s">
        <v>231</v>
      </c>
      <c r="K748" s="434"/>
      <c r="M748" s="347"/>
      <c r="O748" s="347"/>
    </row>
    <row r="749" spans="2:18" ht="36" customHeight="1" x14ac:dyDescent="0.5">
      <c r="C749" s="354"/>
      <c r="D749" s="450"/>
      <c r="E749" s="450"/>
      <c r="F749" s="450"/>
      <c r="G749" s="450"/>
      <c r="H749" s="450"/>
      <c r="I749" s="450"/>
      <c r="J749" s="450"/>
      <c r="K749" s="434"/>
      <c r="M749" s="347"/>
      <c r="O749" s="347"/>
    </row>
    <row r="750" spans="2:18" ht="36" customHeight="1" x14ac:dyDescent="0.5">
      <c r="B750" s="364"/>
      <c r="C750" s="368"/>
      <c r="D750" s="460"/>
      <c r="E750" s="460"/>
      <c r="F750" s="460"/>
      <c r="G750" s="460"/>
      <c r="H750" s="460"/>
      <c r="I750" s="460"/>
      <c r="J750" s="460"/>
      <c r="K750" s="444"/>
      <c r="L750" s="364"/>
      <c r="M750" s="367"/>
      <c r="N750" s="367"/>
      <c r="O750" s="367"/>
      <c r="P750" s="367"/>
      <c r="Q750" s="364"/>
    </row>
    <row r="751" spans="2:18" ht="36" customHeight="1" x14ac:dyDescent="0.5">
      <c r="B751" s="316"/>
      <c r="C751" s="354">
        <f>MAX(C$602:C750)+0.1</f>
        <v>1.6000000000000005</v>
      </c>
      <c r="D751" s="456" t="s">
        <v>922</v>
      </c>
      <c r="E751" s="450"/>
      <c r="F751" s="450"/>
      <c r="G751" s="450"/>
      <c r="H751" s="450"/>
      <c r="I751" s="450"/>
      <c r="J751" s="450"/>
      <c r="K751" s="434"/>
      <c r="M751" s="347"/>
      <c r="O751" s="347"/>
    </row>
    <row r="752" spans="2:18" ht="36" customHeight="1" x14ac:dyDescent="0.5">
      <c r="B752" s="316"/>
      <c r="C752" s="354"/>
      <c r="D752" s="456"/>
      <c r="E752" s="450"/>
      <c r="F752" s="450"/>
      <c r="G752" s="450"/>
      <c r="H752" s="450"/>
      <c r="I752" s="450"/>
      <c r="J752" s="450"/>
      <c r="K752" s="434"/>
      <c r="M752" s="347"/>
      <c r="O752" s="347"/>
    </row>
    <row r="753" spans="2:18" ht="36" customHeight="1" x14ac:dyDescent="0.5">
      <c r="B753" s="316"/>
      <c r="C753" s="369"/>
      <c r="D753" s="450" t="s">
        <v>859</v>
      </c>
      <c r="E753" s="450"/>
      <c r="F753" s="450"/>
      <c r="G753" s="450"/>
      <c r="H753" s="450"/>
      <c r="I753" s="450"/>
      <c r="J753" s="450"/>
      <c r="K753" s="434"/>
      <c r="M753" s="347"/>
      <c r="O753" s="347"/>
    </row>
    <row r="754" spans="2:18" ht="36" customHeight="1" x14ac:dyDescent="0.5">
      <c r="B754" s="316"/>
      <c r="C754" s="369"/>
      <c r="D754" s="462" t="s">
        <v>860</v>
      </c>
      <c r="E754" s="450"/>
      <c r="F754" s="450"/>
      <c r="G754" s="450"/>
      <c r="H754" s="450"/>
      <c r="I754" s="450"/>
      <c r="J754" s="450"/>
      <c r="K754" s="434"/>
      <c r="M754" s="347"/>
      <c r="O754" s="347"/>
    </row>
    <row r="755" spans="2:18" ht="36" customHeight="1" x14ac:dyDescent="0.5">
      <c r="B755" s="316"/>
      <c r="C755" s="369"/>
      <c r="D755" s="450" t="s">
        <v>1175</v>
      </c>
      <c r="E755" s="450"/>
      <c r="F755" s="450"/>
      <c r="G755" s="450"/>
      <c r="H755" s="450"/>
      <c r="I755" s="450"/>
      <c r="J755" s="450"/>
      <c r="K755" s="434"/>
      <c r="M755" s="347"/>
      <c r="O755" s="347"/>
    </row>
    <row r="756" spans="2:18" ht="36" customHeight="1" x14ac:dyDescent="0.5">
      <c r="B756" s="316"/>
      <c r="C756" s="369"/>
      <c r="D756" s="450" t="s">
        <v>1177</v>
      </c>
      <c r="E756" s="450"/>
      <c r="F756" s="450"/>
      <c r="G756" s="450"/>
      <c r="H756" s="450"/>
      <c r="I756" s="450"/>
      <c r="J756" s="450"/>
      <c r="K756" s="434"/>
      <c r="M756" s="347"/>
      <c r="O756" s="347"/>
    </row>
    <row r="757" spans="2:18" ht="36" customHeight="1" x14ac:dyDescent="0.5">
      <c r="B757" s="316"/>
      <c r="C757" s="369"/>
      <c r="D757" s="450" t="s">
        <v>1176</v>
      </c>
      <c r="E757" s="450"/>
      <c r="F757" s="450"/>
      <c r="G757" s="450"/>
      <c r="H757" s="450"/>
      <c r="I757" s="450"/>
      <c r="J757" s="450"/>
      <c r="K757" s="434"/>
      <c r="M757" s="347"/>
      <c r="O757" s="347"/>
    </row>
    <row r="758" spans="2:18" ht="36" customHeight="1" x14ac:dyDescent="0.5">
      <c r="B758" s="316"/>
      <c r="C758" s="369"/>
      <c r="D758" s="450"/>
      <c r="E758" s="450"/>
      <c r="F758" s="450"/>
      <c r="G758" s="450"/>
      <c r="H758" s="450"/>
      <c r="I758" s="450"/>
      <c r="J758" s="450"/>
      <c r="K758" s="434"/>
      <c r="M758" s="347"/>
      <c r="O758" s="347"/>
    </row>
    <row r="759" spans="2:18" ht="36" customHeight="1" x14ac:dyDescent="0.5">
      <c r="B759" s="316"/>
      <c r="C759" s="369"/>
      <c r="D759" s="450"/>
      <c r="E759" s="450"/>
      <c r="F759" s="450"/>
      <c r="G759" s="450"/>
      <c r="H759" s="450"/>
      <c r="I759" s="450"/>
      <c r="J759" s="450"/>
      <c r="K759" s="434"/>
      <c r="M759" s="347"/>
      <c r="O759" s="347"/>
    </row>
    <row r="760" spans="2:18" ht="36" customHeight="1" x14ac:dyDescent="0.5">
      <c r="D760" s="450"/>
      <c r="E760" s="450"/>
      <c r="F760" s="450"/>
      <c r="G760" s="450"/>
      <c r="H760" s="450"/>
      <c r="I760" s="450"/>
      <c r="J760" s="450"/>
      <c r="K760" s="449"/>
      <c r="L760" s="292"/>
      <c r="M760" s="330"/>
      <c r="N760" s="330"/>
      <c r="O760" s="330"/>
      <c r="P760" s="330"/>
    </row>
    <row r="761" spans="2:18" ht="36" customHeight="1" x14ac:dyDescent="0.5">
      <c r="C761" s="354"/>
      <c r="D761" s="450"/>
      <c r="E761" s="450"/>
      <c r="F761" s="450"/>
      <c r="G761" s="450"/>
      <c r="H761" s="450"/>
      <c r="I761" s="450"/>
      <c r="J761" s="450"/>
      <c r="K761" s="434"/>
      <c r="M761" s="347"/>
      <c r="O761" s="347"/>
    </row>
    <row r="762" spans="2:18" ht="36" customHeight="1" x14ac:dyDescent="0.5">
      <c r="C762" s="354"/>
      <c r="D762" s="450"/>
      <c r="E762" s="450"/>
      <c r="F762" s="450"/>
      <c r="G762" s="450"/>
      <c r="H762" s="450"/>
      <c r="I762" s="450"/>
      <c r="J762" s="450"/>
      <c r="K762" s="434"/>
      <c r="M762" s="347"/>
      <c r="O762" s="295" t="s">
        <v>89</v>
      </c>
      <c r="Q762" s="292">
        <f>MAX($Q$105:Q761)+1</f>
        <v>19</v>
      </c>
    </row>
    <row r="763" spans="2:18" ht="36" customHeight="1" x14ac:dyDescent="0.5">
      <c r="C763" s="354"/>
      <c r="D763" s="456" t="str">
        <f>Criteria!E9</f>
        <v>HOLDING COMPANY 268 (PROPRIETARY) LIMITED</v>
      </c>
      <c r="E763" s="450"/>
      <c r="F763" s="450"/>
      <c r="G763" s="450"/>
      <c r="H763" s="450"/>
      <c r="I763" s="450"/>
      <c r="J763" s="450"/>
      <c r="K763" s="434"/>
      <c r="M763" s="347"/>
      <c r="O763" s="347"/>
    </row>
    <row r="764" spans="2:18" ht="36" customHeight="1" x14ac:dyDescent="0.5">
      <c r="C764" s="354"/>
      <c r="D764" s="456" t="str">
        <f>Criteria!E10</f>
        <v>CONSOLIDATED FINANCIAL STATEMENTS</v>
      </c>
      <c r="E764" s="450"/>
      <c r="F764" s="450"/>
      <c r="G764" s="450"/>
      <c r="H764" s="450"/>
      <c r="I764" s="450"/>
      <c r="J764" s="450"/>
      <c r="K764" s="434"/>
      <c r="M764" s="347"/>
      <c r="O764" s="347"/>
      <c r="R764" s="348" t="str">
        <f>IF(D764=0,"DELETE"," ")</f>
        <v xml:space="preserve"> </v>
      </c>
    </row>
    <row r="765" spans="2:18" ht="36" customHeight="1" x14ac:dyDescent="0.5">
      <c r="C765" s="354"/>
      <c r="D765" s="450"/>
      <c r="E765" s="450"/>
      <c r="F765" s="450"/>
      <c r="G765" s="450"/>
      <c r="H765" s="450"/>
      <c r="I765" s="450"/>
      <c r="J765" s="450"/>
      <c r="K765" s="434"/>
      <c r="M765" s="347"/>
      <c r="O765" s="347"/>
    </row>
    <row r="766" spans="2:18" ht="36" customHeight="1" x14ac:dyDescent="0.5">
      <c r="C766" s="354"/>
      <c r="D766" s="456" t="s">
        <v>351</v>
      </c>
      <c r="E766" s="450"/>
      <c r="F766" s="450"/>
      <c r="G766" s="450"/>
      <c r="H766" s="450"/>
      <c r="I766" s="450"/>
      <c r="J766" s="450"/>
      <c r="K766" s="434"/>
      <c r="M766" s="347"/>
      <c r="O766" s="347"/>
    </row>
    <row r="767" spans="2:18" ht="36" customHeight="1" x14ac:dyDescent="0.5">
      <c r="C767" s="354"/>
      <c r="D767" s="456" t="str">
        <f>Criteria!E20</f>
        <v>28 FEBRUARY 2025</v>
      </c>
      <c r="E767" s="450"/>
      <c r="F767" s="450"/>
      <c r="G767" s="450"/>
      <c r="H767" s="450"/>
      <c r="I767" s="450"/>
      <c r="J767" s="450" t="s">
        <v>231</v>
      </c>
      <c r="K767" s="434"/>
      <c r="M767" s="347"/>
      <c r="O767" s="347"/>
    </row>
    <row r="768" spans="2:18" ht="36" customHeight="1" x14ac:dyDescent="0.5">
      <c r="C768" s="354"/>
      <c r="D768" s="450"/>
      <c r="E768" s="450"/>
      <c r="F768" s="450"/>
      <c r="G768" s="450"/>
      <c r="H768" s="450"/>
      <c r="I768" s="450"/>
      <c r="J768" s="450"/>
      <c r="K768" s="434"/>
      <c r="M768" s="347"/>
      <c r="O768" s="347"/>
    </row>
    <row r="769" spans="2:18" ht="36" customHeight="1" x14ac:dyDescent="0.5">
      <c r="B769" s="364"/>
      <c r="C769" s="368"/>
      <c r="D769" s="460"/>
      <c r="E769" s="460"/>
      <c r="F769" s="460"/>
      <c r="G769" s="460"/>
      <c r="H769" s="460"/>
      <c r="I769" s="460"/>
      <c r="J769" s="460"/>
      <c r="K769" s="444"/>
      <c r="L769" s="364"/>
      <c r="M769" s="367"/>
      <c r="N769" s="367"/>
      <c r="O769" s="367"/>
      <c r="P769" s="367"/>
      <c r="Q769" s="364"/>
    </row>
    <row r="770" spans="2:18" ht="36" customHeight="1" x14ac:dyDescent="0.5">
      <c r="B770" s="316"/>
      <c r="C770" s="369"/>
      <c r="D770" s="462" t="s">
        <v>861</v>
      </c>
      <c r="E770" s="450"/>
      <c r="F770" s="450"/>
      <c r="G770" s="450"/>
      <c r="H770" s="450"/>
      <c r="I770" s="450"/>
      <c r="J770" s="450"/>
      <c r="K770" s="434"/>
      <c r="M770" s="347"/>
      <c r="O770" s="347"/>
    </row>
    <row r="771" spans="2:18" ht="36" customHeight="1" x14ac:dyDescent="0.5">
      <c r="B771" s="316"/>
      <c r="C771" s="369"/>
      <c r="D771" s="450" t="s">
        <v>1094</v>
      </c>
      <c r="E771" s="450"/>
      <c r="F771" s="450"/>
      <c r="G771" s="450"/>
      <c r="H771" s="450"/>
      <c r="I771" s="450"/>
      <c r="J771" s="450"/>
      <c r="K771" s="434"/>
      <c r="M771" s="347"/>
      <c r="O771" s="347"/>
    </row>
    <row r="772" spans="2:18" ht="36" customHeight="1" x14ac:dyDescent="0.5">
      <c r="B772" s="316"/>
      <c r="C772" s="369"/>
      <c r="D772" s="450" t="s">
        <v>1095</v>
      </c>
      <c r="E772" s="450"/>
      <c r="F772" s="450"/>
      <c r="G772" s="450"/>
      <c r="H772" s="450"/>
      <c r="I772" s="450"/>
      <c r="J772" s="450"/>
      <c r="K772" s="434"/>
      <c r="M772" s="347"/>
      <c r="O772" s="347"/>
    </row>
    <row r="773" spans="2:18" ht="36" customHeight="1" x14ac:dyDescent="0.5">
      <c r="B773" s="316"/>
      <c r="C773" s="369"/>
      <c r="D773" s="450" t="s">
        <v>1096</v>
      </c>
      <c r="E773" s="450"/>
      <c r="F773" s="450"/>
      <c r="G773" s="450"/>
      <c r="H773" s="450"/>
      <c r="I773" s="450"/>
      <c r="J773" s="450"/>
      <c r="K773" s="434"/>
      <c r="M773" s="347"/>
      <c r="O773" s="347"/>
    </row>
    <row r="774" spans="2:18" ht="36" customHeight="1" x14ac:dyDescent="0.5">
      <c r="B774" s="316"/>
      <c r="C774" s="369"/>
      <c r="D774" s="450" t="s">
        <v>1179</v>
      </c>
      <c r="E774" s="450"/>
      <c r="F774" s="450"/>
      <c r="G774" s="450"/>
      <c r="H774" s="450"/>
      <c r="I774" s="450"/>
      <c r="J774" s="450"/>
      <c r="K774" s="434"/>
      <c r="M774" s="347"/>
      <c r="O774" s="347"/>
    </row>
    <row r="775" spans="2:18" ht="36" customHeight="1" x14ac:dyDescent="0.5">
      <c r="B775" s="316"/>
      <c r="C775" s="369"/>
      <c r="D775" s="450" t="s">
        <v>1178</v>
      </c>
      <c r="E775" s="450"/>
      <c r="F775" s="450"/>
      <c r="G775" s="450"/>
      <c r="H775" s="450"/>
      <c r="I775" s="450"/>
      <c r="J775" s="450"/>
      <c r="K775" s="434"/>
      <c r="M775" s="347"/>
      <c r="O775" s="347"/>
    </row>
    <row r="776" spans="2:18" ht="36" customHeight="1" x14ac:dyDescent="0.5">
      <c r="B776" s="316"/>
      <c r="C776" s="369"/>
      <c r="D776" s="450" t="str">
        <f>CONCATENATE("- ",Criteria!F231," years")</f>
        <v>- 10 years</v>
      </c>
      <c r="E776" s="450"/>
      <c r="F776" s="450"/>
      <c r="G776" s="450"/>
      <c r="H776" s="450"/>
      <c r="I776" s="450"/>
      <c r="J776" s="450"/>
      <c r="K776" s="434"/>
      <c r="M776" s="347"/>
      <c r="O776" s="347"/>
    </row>
    <row r="777" spans="2:18" ht="36" customHeight="1" x14ac:dyDescent="0.5">
      <c r="B777" s="316"/>
      <c r="C777" s="369"/>
      <c r="D777" s="450"/>
      <c r="E777" s="450"/>
      <c r="F777" s="450"/>
      <c r="G777" s="450"/>
      <c r="H777" s="450"/>
      <c r="I777" s="450"/>
      <c r="J777" s="450"/>
      <c r="K777" s="434"/>
      <c r="M777" s="347"/>
      <c r="O777" s="347"/>
    </row>
    <row r="778" spans="2:18" ht="36" customHeight="1" x14ac:dyDescent="0.5">
      <c r="B778" s="316"/>
      <c r="C778" s="369"/>
      <c r="D778" s="450"/>
      <c r="E778" s="450"/>
      <c r="F778" s="450"/>
      <c r="G778" s="450"/>
      <c r="H778" s="450"/>
      <c r="I778" s="450"/>
      <c r="J778" s="450"/>
      <c r="K778" s="434"/>
      <c r="M778" s="347"/>
      <c r="O778" s="347"/>
    </row>
    <row r="779" spans="2:18" ht="36" customHeight="1" x14ac:dyDescent="0.5">
      <c r="D779" s="450"/>
      <c r="E779" s="450"/>
      <c r="F779" s="450"/>
      <c r="G779" s="450"/>
      <c r="H779" s="450"/>
      <c r="I779" s="450"/>
      <c r="J779" s="450"/>
      <c r="K779" s="449"/>
      <c r="L779" s="292"/>
      <c r="M779" s="330"/>
      <c r="N779" s="330"/>
      <c r="O779" s="330"/>
      <c r="P779" s="330"/>
    </row>
    <row r="780" spans="2:18" ht="36" customHeight="1" x14ac:dyDescent="0.5">
      <c r="C780" s="354"/>
      <c r="D780" s="450"/>
      <c r="E780" s="450"/>
      <c r="F780" s="450"/>
      <c r="G780" s="450"/>
      <c r="H780" s="450"/>
      <c r="I780" s="450"/>
      <c r="J780" s="450"/>
      <c r="K780" s="434"/>
      <c r="M780" s="347"/>
      <c r="O780" s="347"/>
    </row>
    <row r="781" spans="2:18" ht="36" customHeight="1" x14ac:dyDescent="0.5">
      <c r="C781" s="354"/>
      <c r="D781" s="450"/>
      <c r="E781" s="450"/>
      <c r="F781" s="450"/>
      <c r="G781" s="450"/>
      <c r="H781" s="450"/>
      <c r="I781" s="450"/>
      <c r="J781" s="450"/>
      <c r="K781" s="434"/>
      <c r="M781" s="347"/>
      <c r="O781" s="295" t="s">
        <v>89</v>
      </c>
      <c r="Q781" s="292">
        <f>MAX($Q$105:Q780)+1</f>
        <v>20</v>
      </c>
    </row>
    <row r="782" spans="2:18" ht="36" customHeight="1" x14ac:dyDescent="0.5">
      <c r="C782" s="354"/>
      <c r="D782" s="456" t="str">
        <f>Criteria!E9</f>
        <v>HOLDING COMPANY 268 (PROPRIETARY) LIMITED</v>
      </c>
      <c r="E782" s="450"/>
      <c r="F782" s="450"/>
      <c r="G782" s="450"/>
      <c r="H782" s="450"/>
      <c r="I782" s="450"/>
      <c r="J782" s="450"/>
      <c r="K782" s="434"/>
      <c r="M782" s="347"/>
      <c r="O782" s="347"/>
    </row>
    <row r="783" spans="2:18" ht="36" customHeight="1" x14ac:dyDescent="0.5">
      <c r="C783" s="354"/>
      <c r="D783" s="456" t="str">
        <f>Criteria!E10</f>
        <v>CONSOLIDATED FINANCIAL STATEMENTS</v>
      </c>
      <c r="E783" s="450"/>
      <c r="F783" s="450"/>
      <c r="G783" s="450"/>
      <c r="H783" s="450"/>
      <c r="I783" s="450"/>
      <c r="J783" s="450"/>
      <c r="K783" s="434"/>
      <c r="M783" s="347"/>
      <c r="O783" s="347"/>
      <c r="R783" s="348" t="str">
        <f>IF(D783=0,"DELETE"," ")</f>
        <v xml:space="preserve"> </v>
      </c>
    </row>
    <row r="784" spans="2:18" ht="36" customHeight="1" x14ac:dyDescent="0.5">
      <c r="C784" s="354"/>
      <c r="D784" s="450"/>
      <c r="E784" s="450"/>
      <c r="F784" s="450"/>
      <c r="G784" s="450"/>
      <c r="H784" s="450"/>
      <c r="I784" s="450"/>
      <c r="J784" s="450"/>
      <c r="K784" s="434"/>
      <c r="M784" s="347"/>
      <c r="O784" s="347"/>
    </row>
    <row r="785" spans="2:17" ht="36" customHeight="1" x14ac:dyDescent="0.5">
      <c r="C785" s="354"/>
      <c r="D785" s="456" t="s">
        <v>351</v>
      </c>
      <c r="E785" s="450"/>
      <c r="F785" s="450"/>
      <c r="G785" s="450"/>
      <c r="H785" s="450"/>
      <c r="I785" s="450"/>
      <c r="J785" s="450"/>
      <c r="K785" s="434"/>
      <c r="M785" s="347"/>
      <c r="O785" s="347"/>
    </row>
    <row r="786" spans="2:17" ht="36" customHeight="1" x14ac:dyDescent="0.5">
      <c r="C786" s="354"/>
      <c r="D786" s="456" t="str">
        <f>Criteria!E20</f>
        <v>28 FEBRUARY 2025</v>
      </c>
      <c r="E786" s="450"/>
      <c r="F786" s="450"/>
      <c r="G786" s="450"/>
      <c r="H786" s="450"/>
      <c r="I786" s="450"/>
      <c r="J786" s="450" t="s">
        <v>231</v>
      </c>
      <c r="K786" s="434"/>
      <c r="M786" s="347"/>
      <c r="O786" s="347"/>
    </row>
    <row r="787" spans="2:17" ht="36" customHeight="1" x14ac:dyDescent="0.5">
      <c r="C787" s="354"/>
      <c r="D787" s="450"/>
      <c r="E787" s="450"/>
      <c r="F787" s="450"/>
      <c r="G787" s="450"/>
      <c r="H787" s="450"/>
      <c r="I787" s="450"/>
      <c r="J787" s="450"/>
      <c r="K787" s="434"/>
      <c r="M787" s="347"/>
      <c r="O787" s="347"/>
    </row>
    <row r="788" spans="2:17" ht="36" customHeight="1" x14ac:dyDescent="0.5">
      <c r="B788" s="364"/>
      <c r="C788" s="368"/>
      <c r="D788" s="460"/>
      <c r="E788" s="460"/>
      <c r="F788" s="460"/>
      <c r="G788" s="460"/>
      <c r="H788" s="460"/>
      <c r="I788" s="460"/>
      <c r="J788" s="460"/>
      <c r="K788" s="444"/>
      <c r="L788" s="364"/>
      <c r="M788" s="367"/>
      <c r="N788" s="367"/>
      <c r="O788" s="367"/>
      <c r="P788" s="367"/>
      <c r="Q788" s="364"/>
    </row>
    <row r="789" spans="2:17" ht="36" customHeight="1" x14ac:dyDescent="0.5">
      <c r="B789" s="316"/>
      <c r="C789" s="354">
        <f>MAX(C$602:C788)+0.1</f>
        <v>1.7000000000000006</v>
      </c>
      <c r="D789" s="456" t="s">
        <v>1060</v>
      </c>
      <c r="E789" s="450"/>
      <c r="F789" s="450"/>
      <c r="G789" s="450"/>
      <c r="H789" s="450"/>
      <c r="I789" s="450"/>
      <c r="J789" s="450"/>
      <c r="K789" s="434"/>
      <c r="M789" s="347"/>
      <c r="O789" s="347"/>
    </row>
    <row r="790" spans="2:17" ht="36" customHeight="1" x14ac:dyDescent="0.5">
      <c r="B790" s="316"/>
      <c r="C790" s="354"/>
      <c r="D790" s="456"/>
      <c r="E790" s="450"/>
      <c r="F790" s="450"/>
      <c r="G790" s="450"/>
      <c r="H790" s="450"/>
      <c r="I790" s="450"/>
      <c r="J790" s="450"/>
      <c r="K790" s="434"/>
      <c r="M790" s="347"/>
      <c r="O790" s="347"/>
    </row>
    <row r="791" spans="2:17" ht="36" customHeight="1" x14ac:dyDescent="0.5">
      <c r="B791" s="316"/>
      <c r="C791" s="369"/>
      <c r="D791" s="450" t="s">
        <v>1180</v>
      </c>
      <c r="E791" s="450"/>
      <c r="F791" s="450"/>
      <c r="G791" s="450"/>
      <c r="H791" s="450"/>
      <c r="I791" s="450"/>
      <c r="J791" s="450"/>
      <c r="K791" s="434"/>
      <c r="M791" s="347"/>
      <c r="O791" s="347"/>
    </row>
    <row r="792" spans="2:17" ht="36" customHeight="1" x14ac:dyDescent="0.5">
      <c r="B792" s="316"/>
      <c r="C792" s="369"/>
      <c r="D792" s="450" t="s">
        <v>1182</v>
      </c>
      <c r="E792" s="450"/>
      <c r="F792" s="450"/>
      <c r="G792" s="450"/>
      <c r="H792" s="450"/>
      <c r="I792" s="450"/>
      <c r="J792" s="450"/>
      <c r="K792" s="434"/>
      <c r="M792" s="347"/>
      <c r="O792" s="347"/>
    </row>
    <row r="793" spans="2:17" ht="36" customHeight="1" x14ac:dyDescent="0.5">
      <c r="B793" s="316"/>
      <c r="C793" s="369"/>
      <c r="D793" s="450" t="s">
        <v>1181</v>
      </c>
      <c r="E793" s="450"/>
      <c r="F793" s="450"/>
      <c r="G793" s="450"/>
      <c r="H793" s="450"/>
      <c r="I793" s="450"/>
      <c r="J793" s="450"/>
      <c r="K793" s="434"/>
      <c r="M793" s="347"/>
      <c r="O793" s="347"/>
    </row>
    <row r="794" spans="2:17" ht="36" customHeight="1" x14ac:dyDescent="0.5">
      <c r="B794" s="316"/>
      <c r="C794" s="369"/>
      <c r="D794" s="462" t="s">
        <v>864</v>
      </c>
      <c r="E794" s="450"/>
      <c r="F794" s="450"/>
      <c r="G794" s="450"/>
      <c r="H794" s="450"/>
      <c r="I794" s="450"/>
      <c r="J794" s="450"/>
      <c r="K794" s="434"/>
      <c r="M794" s="347"/>
      <c r="O794" s="347"/>
    </row>
    <row r="795" spans="2:17" ht="36" customHeight="1" x14ac:dyDescent="0.5">
      <c r="B795" s="316"/>
      <c r="C795" s="369"/>
      <c r="D795" s="450" t="s">
        <v>1184</v>
      </c>
      <c r="E795" s="450"/>
      <c r="F795" s="450"/>
      <c r="G795" s="450"/>
      <c r="H795" s="450"/>
      <c r="I795" s="450"/>
      <c r="J795" s="450"/>
      <c r="K795" s="434"/>
      <c r="M795" s="347"/>
      <c r="O795" s="347"/>
    </row>
    <row r="796" spans="2:17" ht="36" customHeight="1" x14ac:dyDescent="0.5">
      <c r="B796" s="316"/>
      <c r="C796" s="369"/>
      <c r="D796" s="450" t="s">
        <v>1183</v>
      </c>
      <c r="E796" s="450"/>
      <c r="F796" s="450"/>
      <c r="G796" s="450"/>
      <c r="H796" s="450"/>
      <c r="I796" s="450"/>
      <c r="J796" s="450"/>
      <c r="K796" s="434"/>
      <c r="M796" s="347"/>
      <c r="O796" s="347"/>
    </row>
    <row r="797" spans="2:17" ht="36" customHeight="1" x14ac:dyDescent="0.5">
      <c r="B797" s="316"/>
      <c r="C797" s="369"/>
      <c r="D797" s="462" t="s">
        <v>865</v>
      </c>
      <c r="E797" s="450"/>
      <c r="F797" s="450"/>
      <c r="G797" s="450"/>
      <c r="H797" s="450"/>
      <c r="I797" s="450"/>
      <c r="J797" s="450"/>
      <c r="K797" s="434"/>
      <c r="M797" s="347"/>
      <c r="O797" s="347"/>
    </row>
    <row r="798" spans="2:17" ht="36" customHeight="1" x14ac:dyDescent="0.5">
      <c r="B798" s="316"/>
      <c r="C798" s="369"/>
      <c r="D798" s="450" t="s">
        <v>1186</v>
      </c>
      <c r="E798" s="450"/>
      <c r="F798" s="450"/>
      <c r="G798" s="450"/>
      <c r="H798" s="450"/>
      <c r="I798" s="450"/>
      <c r="J798" s="450"/>
      <c r="K798" s="434"/>
      <c r="M798" s="347"/>
      <c r="O798" s="347"/>
    </row>
    <row r="799" spans="2:17" ht="36" customHeight="1" x14ac:dyDescent="0.5">
      <c r="B799" s="316"/>
      <c r="C799" s="369"/>
      <c r="D799" s="450" t="s">
        <v>1185</v>
      </c>
      <c r="E799" s="450"/>
      <c r="F799" s="450"/>
      <c r="G799" s="450"/>
      <c r="H799" s="450"/>
      <c r="I799" s="450"/>
      <c r="J799" s="450"/>
      <c r="K799" s="434"/>
      <c r="M799" s="347"/>
      <c r="O799" s="347"/>
    </row>
    <row r="800" spans="2:17" ht="36" customHeight="1" x14ac:dyDescent="0.5">
      <c r="B800" s="316"/>
      <c r="C800" s="369"/>
      <c r="D800" s="450"/>
      <c r="E800" s="450"/>
      <c r="F800" s="450"/>
      <c r="G800" s="450"/>
      <c r="H800" s="450"/>
      <c r="I800" s="450"/>
      <c r="J800" s="450"/>
      <c r="K800" s="434"/>
      <c r="M800" s="347"/>
      <c r="O800" s="347"/>
    </row>
    <row r="801" spans="2:18" ht="36" customHeight="1" x14ac:dyDescent="0.5">
      <c r="B801" s="316"/>
      <c r="C801" s="369"/>
      <c r="D801" s="450"/>
      <c r="E801" s="450"/>
      <c r="F801" s="450"/>
      <c r="G801" s="450"/>
      <c r="H801" s="450"/>
      <c r="I801" s="450"/>
      <c r="J801" s="450"/>
      <c r="K801" s="434"/>
      <c r="M801" s="347"/>
      <c r="O801" s="347"/>
    </row>
    <row r="802" spans="2:18" ht="36" customHeight="1" x14ac:dyDescent="0.5">
      <c r="D802" s="450"/>
      <c r="E802" s="450"/>
      <c r="F802" s="450"/>
      <c r="G802" s="450"/>
      <c r="H802" s="450"/>
      <c r="I802" s="450"/>
      <c r="J802" s="450"/>
      <c r="K802" s="449"/>
      <c r="L802" s="292"/>
      <c r="M802" s="330"/>
      <c r="N802" s="330"/>
      <c r="O802" s="330"/>
      <c r="P802" s="330"/>
    </row>
    <row r="803" spans="2:18" ht="36" customHeight="1" x14ac:dyDescent="0.5">
      <c r="C803" s="354"/>
      <c r="D803" s="450"/>
      <c r="E803" s="450"/>
      <c r="F803" s="450"/>
      <c r="G803" s="450"/>
      <c r="H803" s="450"/>
      <c r="I803" s="450"/>
      <c r="J803" s="450"/>
      <c r="K803" s="434"/>
      <c r="M803" s="347"/>
      <c r="O803" s="347"/>
    </row>
    <row r="804" spans="2:18" ht="36" customHeight="1" x14ac:dyDescent="0.5">
      <c r="C804" s="354"/>
      <c r="D804" s="450"/>
      <c r="E804" s="450"/>
      <c r="F804" s="450"/>
      <c r="G804" s="450"/>
      <c r="H804" s="450"/>
      <c r="I804" s="450"/>
      <c r="J804" s="450"/>
      <c r="K804" s="434"/>
      <c r="M804" s="347"/>
      <c r="O804" s="295" t="s">
        <v>89</v>
      </c>
      <c r="Q804" s="292">
        <f>MAX($Q$105:Q803)+1</f>
        <v>21</v>
      </c>
    </row>
    <row r="805" spans="2:18" ht="36" customHeight="1" x14ac:dyDescent="0.5">
      <c r="C805" s="354"/>
      <c r="D805" s="456" t="str">
        <f>Criteria!E9</f>
        <v>HOLDING COMPANY 268 (PROPRIETARY) LIMITED</v>
      </c>
      <c r="E805" s="450"/>
      <c r="F805" s="450"/>
      <c r="G805" s="450"/>
      <c r="H805" s="450"/>
      <c r="I805" s="450"/>
      <c r="J805" s="450"/>
      <c r="K805" s="434"/>
      <c r="M805" s="347"/>
      <c r="O805" s="347"/>
    </row>
    <row r="806" spans="2:18" ht="36" customHeight="1" x14ac:dyDescent="0.5">
      <c r="C806" s="354"/>
      <c r="D806" s="456" t="str">
        <f>Criteria!E10</f>
        <v>CONSOLIDATED FINANCIAL STATEMENTS</v>
      </c>
      <c r="E806" s="450"/>
      <c r="F806" s="450"/>
      <c r="G806" s="450"/>
      <c r="H806" s="450"/>
      <c r="I806" s="450"/>
      <c r="J806" s="450"/>
      <c r="K806" s="434"/>
      <c r="M806" s="347"/>
      <c r="O806" s="347"/>
      <c r="R806" s="348" t="str">
        <f>IF(D806=0,"DELETE"," ")</f>
        <v xml:space="preserve"> </v>
      </c>
    </row>
    <row r="807" spans="2:18" ht="36" customHeight="1" x14ac:dyDescent="0.5">
      <c r="C807" s="354"/>
      <c r="D807" s="450"/>
      <c r="E807" s="450"/>
      <c r="F807" s="450"/>
      <c r="G807" s="450"/>
      <c r="H807" s="450"/>
      <c r="I807" s="450"/>
      <c r="J807" s="450"/>
      <c r="K807" s="434"/>
      <c r="M807" s="347"/>
      <c r="O807" s="347"/>
    </row>
    <row r="808" spans="2:18" ht="36" customHeight="1" x14ac:dyDescent="0.5">
      <c r="C808" s="354"/>
      <c r="D808" s="456" t="s">
        <v>351</v>
      </c>
      <c r="E808" s="450"/>
      <c r="F808" s="450"/>
      <c r="G808" s="450"/>
      <c r="H808" s="450"/>
      <c r="I808" s="450"/>
      <c r="J808" s="450"/>
      <c r="K808" s="434"/>
      <c r="M808" s="347"/>
      <c r="O808" s="347"/>
    </row>
    <row r="809" spans="2:18" ht="36" customHeight="1" x14ac:dyDescent="0.5">
      <c r="C809" s="354"/>
      <c r="D809" s="456" t="str">
        <f>Criteria!E20</f>
        <v>28 FEBRUARY 2025</v>
      </c>
      <c r="E809" s="450"/>
      <c r="F809" s="450"/>
      <c r="G809" s="450"/>
      <c r="H809" s="450"/>
      <c r="I809" s="450"/>
      <c r="J809" s="450" t="s">
        <v>231</v>
      </c>
      <c r="K809" s="434"/>
      <c r="M809" s="347"/>
      <c r="O809" s="347"/>
    </row>
    <row r="810" spans="2:18" ht="36" customHeight="1" x14ac:dyDescent="0.5">
      <c r="C810" s="354"/>
      <c r="D810" s="450"/>
      <c r="E810" s="450"/>
      <c r="F810" s="450"/>
      <c r="G810" s="450"/>
      <c r="H810" s="450"/>
      <c r="I810" s="450"/>
      <c r="J810" s="450"/>
      <c r="K810" s="434"/>
      <c r="M810" s="347"/>
      <c r="O810" s="347"/>
    </row>
    <row r="811" spans="2:18" ht="36" customHeight="1" x14ac:dyDescent="0.5">
      <c r="B811" s="364"/>
      <c r="C811" s="368"/>
      <c r="D811" s="460"/>
      <c r="E811" s="460"/>
      <c r="F811" s="460"/>
      <c r="G811" s="460"/>
      <c r="H811" s="460"/>
      <c r="I811" s="460"/>
      <c r="J811" s="460"/>
      <c r="K811" s="444"/>
      <c r="L811" s="364"/>
      <c r="M811" s="367"/>
      <c r="N811" s="367"/>
      <c r="O811" s="367"/>
      <c r="P811" s="367"/>
      <c r="Q811" s="364"/>
    </row>
    <row r="812" spans="2:18" ht="36" customHeight="1" x14ac:dyDescent="0.5">
      <c r="B812" s="316"/>
      <c r="C812" s="354">
        <f>MAX(C$602:C811)+0.1</f>
        <v>1.8000000000000007</v>
      </c>
      <c r="D812" s="456" t="s">
        <v>1061</v>
      </c>
      <c r="E812" s="450"/>
      <c r="F812" s="450"/>
      <c r="G812" s="450"/>
      <c r="H812" s="450"/>
      <c r="I812" s="450"/>
      <c r="J812" s="450"/>
      <c r="K812" s="434"/>
      <c r="M812" s="347"/>
      <c r="O812" s="347"/>
    </row>
    <row r="813" spans="2:18" ht="36" customHeight="1" x14ac:dyDescent="0.5">
      <c r="B813" s="316"/>
      <c r="C813" s="354"/>
      <c r="D813" s="456"/>
      <c r="E813" s="450"/>
      <c r="F813" s="450"/>
      <c r="G813" s="450"/>
      <c r="H813" s="450"/>
      <c r="I813" s="450"/>
      <c r="J813" s="450"/>
      <c r="K813" s="434"/>
      <c r="M813" s="347"/>
      <c r="O813" s="347"/>
    </row>
    <row r="814" spans="2:18" ht="36" customHeight="1" x14ac:dyDescent="0.5">
      <c r="B814" s="316"/>
      <c r="C814" s="369"/>
      <c r="D814" s="450" t="s">
        <v>1188</v>
      </c>
      <c r="E814" s="450"/>
      <c r="F814" s="450"/>
      <c r="G814" s="450"/>
      <c r="H814" s="450"/>
      <c r="I814" s="450"/>
      <c r="J814" s="450"/>
      <c r="K814" s="434"/>
      <c r="M814" s="347"/>
      <c r="O814" s="347"/>
    </row>
    <row r="815" spans="2:18" ht="36" customHeight="1" x14ac:dyDescent="0.5">
      <c r="B815" s="316"/>
      <c r="C815" s="369"/>
      <c r="D815" s="450" t="s">
        <v>1187</v>
      </c>
      <c r="E815" s="450"/>
      <c r="F815" s="450"/>
      <c r="G815" s="450"/>
      <c r="H815" s="450"/>
      <c r="I815" s="450"/>
      <c r="J815" s="450"/>
      <c r="K815" s="434"/>
      <c r="M815" s="347"/>
      <c r="O815" s="347"/>
    </row>
    <row r="816" spans="2:18" ht="36" customHeight="1" x14ac:dyDescent="0.5">
      <c r="B816" s="316"/>
      <c r="C816" s="369"/>
      <c r="D816" s="450"/>
      <c r="E816" s="450"/>
      <c r="F816" s="450"/>
      <c r="G816" s="450"/>
      <c r="H816" s="450"/>
      <c r="I816" s="450"/>
      <c r="J816" s="450"/>
      <c r="K816" s="434"/>
      <c r="M816" s="347"/>
      <c r="O816" s="347"/>
    </row>
    <row r="817" spans="2:18" ht="36" customHeight="1" x14ac:dyDescent="0.5">
      <c r="B817" s="316"/>
      <c r="C817" s="369"/>
      <c r="D817" s="450"/>
      <c r="E817" s="450"/>
      <c r="F817" s="450"/>
      <c r="G817" s="450"/>
      <c r="H817" s="450"/>
      <c r="I817" s="450"/>
      <c r="J817" s="450"/>
      <c r="K817" s="434"/>
      <c r="M817" s="347"/>
      <c r="O817" s="347"/>
    </row>
    <row r="818" spans="2:18" ht="36" customHeight="1" x14ac:dyDescent="0.5">
      <c r="D818" s="450"/>
      <c r="E818" s="450"/>
      <c r="F818" s="450"/>
      <c r="G818" s="450"/>
      <c r="H818" s="450"/>
      <c r="I818" s="450"/>
      <c r="J818" s="450"/>
      <c r="K818" s="449"/>
      <c r="L818" s="292"/>
      <c r="M818" s="330"/>
      <c r="N818" s="330"/>
      <c r="O818" s="330"/>
      <c r="P818" s="330"/>
    </row>
    <row r="819" spans="2:18" ht="36" customHeight="1" x14ac:dyDescent="0.5">
      <c r="C819" s="354"/>
      <c r="D819" s="450"/>
      <c r="E819" s="450"/>
      <c r="F819" s="450"/>
      <c r="G819" s="450"/>
      <c r="H819" s="450"/>
      <c r="I819" s="450"/>
      <c r="J819" s="450"/>
      <c r="K819" s="434"/>
      <c r="M819" s="347"/>
      <c r="O819" s="347"/>
    </row>
    <row r="820" spans="2:18" ht="36" customHeight="1" x14ac:dyDescent="0.5">
      <c r="C820" s="354"/>
      <c r="D820" s="450"/>
      <c r="E820" s="450"/>
      <c r="F820" s="450"/>
      <c r="G820" s="450"/>
      <c r="H820" s="450"/>
      <c r="I820" s="450"/>
      <c r="J820" s="450"/>
      <c r="K820" s="434"/>
      <c r="M820" s="347"/>
      <c r="O820" s="295" t="s">
        <v>89</v>
      </c>
      <c r="Q820" s="292">
        <f>MAX($Q$105:Q819)+1</f>
        <v>22</v>
      </c>
    </row>
    <row r="821" spans="2:18" ht="36" customHeight="1" x14ac:dyDescent="0.5">
      <c r="C821" s="354"/>
      <c r="D821" s="456" t="str">
        <f>Criteria!E9</f>
        <v>HOLDING COMPANY 268 (PROPRIETARY) LIMITED</v>
      </c>
      <c r="E821" s="450"/>
      <c r="F821" s="450"/>
      <c r="G821" s="450"/>
      <c r="H821" s="450"/>
      <c r="I821" s="450"/>
      <c r="J821" s="450"/>
      <c r="K821" s="434"/>
      <c r="M821" s="347"/>
      <c r="O821" s="347"/>
    </row>
    <row r="822" spans="2:18" ht="36" customHeight="1" x14ac:dyDescent="0.5">
      <c r="C822" s="354"/>
      <c r="D822" s="456" t="str">
        <f>Criteria!E10</f>
        <v>CONSOLIDATED FINANCIAL STATEMENTS</v>
      </c>
      <c r="E822" s="450"/>
      <c r="F822" s="450"/>
      <c r="G822" s="450"/>
      <c r="H822" s="450"/>
      <c r="I822" s="450"/>
      <c r="J822" s="450"/>
      <c r="K822" s="434"/>
      <c r="M822" s="347"/>
      <c r="O822" s="347"/>
      <c r="R822" s="348" t="str">
        <f>IF(D822=0,"DELETE"," ")</f>
        <v xml:space="preserve"> </v>
      </c>
    </row>
    <row r="823" spans="2:18" ht="36" customHeight="1" x14ac:dyDescent="0.5">
      <c r="C823" s="354"/>
      <c r="D823" s="450"/>
      <c r="E823" s="450"/>
      <c r="F823" s="450"/>
      <c r="G823" s="450"/>
      <c r="H823" s="450"/>
      <c r="I823" s="450"/>
      <c r="J823" s="450"/>
      <c r="K823" s="434"/>
      <c r="M823" s="347"/>
      <c r="O823" s="347"/>
    </row>
    <row r="824" spans="2:18" ht="36" customHeight="1" x14ac:dyDescent="0.5">
      <c r="C824" s="354"/>
      <c r="D824" s="456" t="s">
        <v>351</v>
      </c>
      <c r="E824" s="450"/>
      <c r="F824" s="450"/>
      <c r="G824" s="450"/>
      <c r="H824" s="450"/>
      <c r="I824" s="450"/>
      <c r="J824" s="450"/>
      <c r="K824" s="434"/>
      <c r="M824" s="347"/>
      <c r="O824" s="347"/>
    </row>
    <row r="825" spans="2:18" ht="36" customHeight="1" x14ac:dyDescent="0.5">
      <c r="C825" s="354"/>
      <c r="D825" s="456" t="str">
        <f>Criteria!E20</f>
        <v>28 FEBRUARY 2025</v>
      </c>
      <c r="E825" s="450"/>
      <c r="F825" s="450"/>
      <c r="G825" s="450"/>
      <c r="H825" s="450"/>
      <c r="I825" s="450"/>
      <c r="J825" s="450" t="s">
        <v>231</v>
      </c>
      <c r="K825" s="434"/>
      <c r="M825" s="347"/>
      <c r="O825" s="347"/>
    </row>
    <row r="826" spans="2:18" ht="36" customHeight="1" x14ac:dyDescent="0.5">
      <c r="C826" s="354"/>
      <c r="D826" s="450"/>
      <c r="E826" s="450"/>
      <c r="F826" s="450"/>
      <c r="G826" s="450"/>
      <c r="H826" s="450"/>
      <c r="I826" s="450"/>
      <c r="J826" s="450"/>
      <c r="K826" s="434"/>
      <c r="M826" s="347"/>
      <c r="O826" s="347"/>
    </row>
    <row r="827" spans="2:18" ht="36" customHeight="1" x14ac:dyDescent="0.5">
      <c r="B827" s="364"/>
      <c r="C827" s="368"/>
      <c r="D827" s="460"/>
      <c r="E827" s="460"/>
      <c r="F827" s="460"/>
      <c r="G827" s="460"/>
      <c r="H827" s="460"/>
      <c r="I827" s="460"/>
      <c r="J827" s="460"/>
      <c r="K827" s="444"/>
      <c r="L827" s="364"/>
      <c r="M827" s="367"/>
      <c r="N827" s="367"/>
      <c r="O827" s="367"/>
      <c r="P827" s="367"/>
      <c r="Q827" s="364"/>
    </row>
    <row r="828" spans="2:18" ht="36" customHeight="1" x14ac:dyDescent="0.5">
      <c r="B828" s="316"/>
      <c r="C828" s="354">
        <f>MAX(C$602:C827)+0.1</f>
        <v>1.9000000000000008</v>
      </c>
      <c r="D828" s="456" t="s">
        <v>1062</v>
      </c>
      <c r="E828" s="450"/>
      <c r="F828" s="450"/>
      <c r="G828" s="450"/>
      <c r="H828" s="450"/>
      <c r="I828" s="450"/>
      <c r="J828" s="450"/>
      <c r="K828" s="434"/>
      <c r="M828" s="347"/>
      <c r="O828" s="347"/>
    </row>
    <row r="829" spans="2:18" ht="36" customHeight="1" x14ac:dyDescent="0.5">
      <c r="B829" s="316"/>
      <c r="C829" s="354"/>
      <c r="D829" s="456"/>
      <c r="E829" s="450"/>
      <c r="F829" s="450"/>
      <c r="G829" s="450"/>
      <c r="H829" s="450"/>
      <c r="I829" s="450"/>
      <c r="J829" s="450"/>
      <c r="K829" s="434"/>
      <c r="M829" s="347"/>
      <c r="O829" s="347"/>
    </row>
    <row r="830" spans="2:18" ht="36" customHeight="1" x14ac:dyDescent="0.5">
      <c r="B830" s="316"/>
      <c r="C830" s="369"/>
      <c r="D830" s="462" t="s">
        <v>764</v>
      </c>
      <c r="E830" s="450"/>
      <c r="F830" s="450"/>
      <c r="G830" s="450"/>
      <c r="H830" s="450"/>
      <c r="I830" s="450"/>
      <c r="J830" s="450"/>
      <c r="K830" s="434"/>
      <c r="M830" s="347"/>
      <c r="O830" s="347"/>
    </row>
    <row r="831" spans="2:18" ht="36" customHeight="1" x14ac:dyDescent="0.5">
      <c r="B831" s="316"/>
      <c r="C831" s="369"/>
      <c r="D831" s="450" t="s">
        <v>1189</v>
      </c>
      <c r="E831" s="450"/>
      <c r="F831" s="450"/>
      <c r="G831" s="450"/>
      <c r="H831" s="450"/>
      <c r="I831" s="450"/>
      <c r="J831" s="450"/>
      <c r="K831" s="434"/>
      <c r="M831" s="347"/>
      <c r="O831" s="347"/>
    </row>
    <row r="832" spans="2:18" ht="36" customHeight="1" x14ac:dyDescent="0.5">
      <c r="B832" s="316"/>
      <c r="C832" s="369"/>
      <c r="D832" s="450" t="s">
        <v>1190</v>
      </c>
      <c r="E832" s="450"/>
      <c r="F832" s="450"/>
      <c r="G832" s="450"/>
      <c r="H832" s="450"/>
      <c r="I832" s="450"/>
      <c r="J832" s="450"/>
      <c r="K832" s="434"/>
      <c r="M832" s="347"/>
      <c r="O832" s="347"/>
    </row>
    <row r="833" spans="2:18" ht="36" customHeight="1" x14ac:dyDescent="0.5">
      <c r="B833" s="316"/>
      <c r="C833" s="369"/>
      <c r="D833" s="450" t="s">
        <v>1191</v>
      </c>
      <c r="E833" s="450"/>
      <c r="F833" s="450"/>
      <c r="G833" s="450"/>
      <c r="H833" s="450"/>
      <c r="I833" s="450"/>
      <c r="J833" s="450"/>
      <c r="K833" s="434"/>
      <c r="M833" s="347"/>
      <c r="O833" s="347"/>
    </row>
    <row r="834" spans="2:18" ht="36" customHeight="1" x14ac:dyDescent="0.5">
      <c r="B834" s="316"/>
      <c r="C834" s="369"/>
      <c r="D834" s="450" t="s">
        <v>1192</v>
      </c>
      <c r="E834" s="450"/>
      <c r="F834" s="450"/>
      <c r="G834" s="450"/>
      <c r="H834" s="450"/>
      <c r="I834" s="450"/>
      <c r="J834" s="450"/>
      <c r="K834" s="434"/>
      <c r="M834" s="347"/>
      <c r="O834" s="347"/>
    </row>
    <row r="835" spans="2:18" ht="36" customHeight="1" x14ac:dyDescent="0.5">
      <c r="B835" s="316"/>
      <c r="C835" s="369"/>
      <c r="D835" s="450" t="s">
        <v>1194</v>
      </c>
      <c r="E835" s="450"/>
      <c r="F835" s="450"/>
      <c r="G835" s="450"/>
      <c r="H835" s="450"/>
      <c r="I835" s="450"/>
      <c r="J835" s="450"/>
      <c r="K835" s="434"/>
      <c r="M835" s="347"/>
      <c r="O835" s="347"/>
    </row>
    <row r="836" spans="2:18" ht="36" customHeight="1" x14ac:dyDescent="0.5">
      <c r="B836" s="316"/>
      <c r="C836" s="369"/>
      <c r="D836" s="450" t="s">
        <v>1193</v>
      </c>
      <c r="E836" s="450"/>
      <c r="F836" s="450"/>
      <c r="G836" s="450"/>
      <c r="H836" s="450"/>
      <c r="I836" s="450"/>
      <c r="J836" s="450"/>
      <c r="K836" s="434"/>
      <c r="M836" s="347"/>
      <c r="O836" s="347"/>
    </row>
    <row r="837" spans="2:18" ht="36" customHeight="1" x14ac:dyDescent="0.5">
      <c r="B837" s="316"/>
      <c r="C837" s="369"/>
      <c r="D837" s="450"/>
      <c r="E837" s="450"/>
      <c r="F837" s="450"/>
      <c r="G837" s="450"/>
      <c r="H837" s="450"/>
      <c r="I837" s="450"/>
      <c r="J837" s="450"/>
      <c r="K837" s="434"/>
      <c r="M837" s="347"/>
      <c r="O837" s="347"/>
    </row>
    <row r="838" spans="2:18" ht="36" customHeight="1" x14ac:dyDescent="0.5">
      <c r="D838" s="450"/>
      <c r="E838" s="450"/>
      <c r="F838" s="450"/>
      <c r="G838" s="450"/>
      <c r="H838" s="450"/>
      <c r="I838" s="450"/>
      <c r="J838" s="450"/>
      <c r="K838" s="449"/>
      <c r="L838" s="292"/>
      <c r="M838" s="330"/>
      <c r="N838" s="330"/>
      <c r="O838" s="330"/>
      <c r="P838" s="330"/>
    </row>
    <row r="839" spans="2:18" ht="36" customHeight="1" x14ac:dyDescent="0.5">
      <c r="C839" s="354"/>
      <c r="D839" s="450"/>
      <c r="E839" s="450"/>
      <c r="F839" s="450"/>
      <c r="G839" s="450"/>
      <c r="H839" s="450"/>
      <c r="I839" s="450"/>
      <c r="J839" s="450"/>
      <c r="K839" s="434"/>
      <c r="M839" s="347"/>
      <c r="O839" s="347"/>
    </row>
    <row r="840" spans="2:18" ht="36" customHeight="1" x14ac:dyDescent="0.5">
      <c r="C840" s="354"/>
      <c r="D840" s="450"/>
      <c r="E840" s="450"/>
      <c r="F840" s="450"/>
      <c r="G840" s="450"/>
      <c r="H840" s="450"/>
      <c r="I840" s="450"/>
      <c r="J840" s="450"/>
      <c r="K840" s="434"/>
      <c r="M840" s="347"/>
      <c r="O840" s="295" t="s">
        <v>89</v>
      </c>
      <c r="Q840" s="292">
        <f>MAX($Q$105:Q839)+1</f>
        <v>23</v>
      </c>
    </row>
    <row r="841" spans="2:18" ht="36" customHeight="1" x14ac:dyDescent="0.5">
      <c r="C841" s="354"/>
      <c r="D841" s="456" t="str">
        <f>Criteria!E9</f>
        <v>HOLDING COMPANY 268 (PROPRIETARY) LIMITED</v>
      </c>
      <c r="E841" s="450"/>
      <c r="F841" s="450"/>
      <c r="G841" s="450"/>
      <c r="H841" s="450"/>
      <c r="I841" s="450"/>
      <c r="J841" s="450"/>
      <c r="K841" s="434"/>
      <c r="M841" s="347"/>
      <c r="O841" s="347"/>
    </row>
    <row r="842" spans="2:18" ht="36" customHeight="1" x14ac:dyDescent="0.5">
      <c r="C842" s="354"/>
      <c r="D842" s="456" t="str">
        <f>Criteria!E10</f>
        <v>CONSOLIDATED FINANCIAL STATEMENTS</v>
      </c>
      <c r="E842" s="450"/>
      <c r="F842" s="450"/>
      <c r="G842" s="450"/>
      <c r="H842" s="450"/>
      <c r="I842" s="450"/>
      <c r="J842" s="450"/>
      <c r="K842" s="434"/>
      <c r="M842" s="347"/>
      <c r="O842" s="347"/>
      <c r="R842" s="348" t="str">
        <f>IF(D842=0,"DELETE"," ")</f>
        <v xml:space="preserve"> </v>
      </c>
    </row>
    <row r="843" spans="2:18" ht="36" customHeight="1" x14ac:dyDescent="0.5">
      <c r="C843" s="354"/>
      <c r="D843" s="450"/>
      <c r="E843" s="450"/>
      <c r="F843" s="450"/>
      <c r="G843" s="450"/>
      <c r="H843" s="450"/>
      <c r="I843" s="450"/>
      <c r="J843" s="450"/>
      <c r="K843" s="434"/>
      <c r="M843" s="347"/>
      <c r="O843" s="347"/>
    </row>
    <row r="844" spans="2:18" ht="36" customHeight="1" x14ac:dyDescent="0.5">
      <c r="C844" s="354"/>
      <c r="D844" s="456" t="s">
        <v>351</v>
      </c>
      <c r="E844" s="450"/>
      <c r="F844" s="450"/>
      <c r="G844" s="450"/>
      <c r="H844" s="450"/>
      <c r="I844" s="450"/>
      <c r="J844" s="450"/>
      <c r="K844" s="434"/>
      <c r="M844" s="347"/>
      <c r="O844" s="347"/>
    </row>
    <row r="845" spans="2:18" ht="36" customHeight="1" x14ac:dyDescent="0.5">
      <c r="C845" s="354"/>
      <c r="D845" s="456" t="str">
        <f>Criteria!E20</f>
        <v>28 FEBRUARY 2025</v>
      </c>
      <c r="E845" s="450"/>
      <c r="F845" s="450"/>
      <c r="G845" s="450"/>
      <c r="H845" s="450"/>
      <c r="I845" s="450"/>
      <c r="J845" s="450" t="s">
        <v>231</v>
      </c>
      <c r="K845" s="434"/>
      <c r="M845" s="347"/>
      <c r="O845" s="347"/>
    </row>
    <row r="846" spans="2:18" ht="36" customHeight="1" x14ac:dyDescent="0.5">
      <c r="C846" s="354"/>
      <c r="D846" s="450"/>
      <c r="E846" s="450"/>
      <c r="F846" s="450"/>
      <c r="G846" s="450"/>
      <c r="H846" s="450"/>
      <c r="I846" s="450"/>
      <c r="J846" s="450"/>
      <c r="K846" s="434"/>
      <c r="M846" s="347"/>
      <c r="O846" s="347"/>
    </row>
    <row r="847" spans="2:18" ht="36" customHeight="1" x14ac:dyDescent="0.5">
      <c r="B847" s="364"/>
      <c r="C847" s="368"/>
      <c r="D847" s="460"/>
      <c r="E847" s="460"/>
      <c r="F847" s="460"/>
      <c r="G847" s="460"/>
      <c r="H847" s="460"/>
      <c r="I847" s="460"/>
      <c r="J847" s="460"/>
      <c r="K847" s="444"/>
      <c r="L847" s="364"/>
      <c r="M847" s="367"/>
      <c r="N847" s="367"/>
      <c r="O847" s="367"/>
      <c r="P847" s="367"/>
      <c r="Q847" s="364"/>
    </row>
    <row r="848" spans="2:18" ht="36" customHeight="1" x14ac:dyDescent="0.5">
      <c r="B848" s="316"/>
      <c r="C848" s="369"/>
      <c r="D848" s="462" t="s">
        <v>873</v>
      </c>
      <c r="E848" s="450"/>
      <c r="F848" s="450"/>
      <c r="G848" s="450"/>
      <c r="H848" s="450"/>
      <c r="I848" s="450"/>
      <c r="J848" s="450"/>
      <c r="K848" s="434"/>
      <c r="M848" s="347"/>
      <c r="O848" s="347"/>
    </row>
    <row r="849" spans="2:18" ht="36" customHeight="1" x14ac:dyDescent="0.5">
      <c r="B849" s="316"/>
      <c r="C849" s="369"/>
      <c r="D849" s="450" t="s">
        <v>1097</v>
      </c>
      <c r="E849" s="450"/>
      <c r="F849" s="450"/>
      <c r="G849" s="450"/>
      <c r="H849" s="450"/>
      <c r="I849" s="450"/>
      <c r="J849" s="450"/>
      <c r="K849" s="434"/>
      <c r="M849" s="347"/>
      <c r="O849" s="347"/>
    </row>
    <row r="850" spans="2:18" ht="36" customHeight="1" x14ac:dyDescent="0.5">
      <c r="B850" s="316"/>
      <c r="C850" s="369"/>
      <c r="D850" s="450" t="s">
        <v>1195</v>
      </c>
      <c r="E850" s="450"/>
      <c r="F850" s="450"/>
      <c r="G850" s="450"/>
      <c r="H850" s="450"/>
      <c r="I850" s="450"/>
      <c r="J850" s="450"/>
      <c r="K850" s="434"/>
      <c r="M850" s="347"/>
      <c r="O850" s="347"/>
    </row>
    <row r="851" spans="2:18" ht="36" customHeight="1" x14ac:dyDescent="0.5">
      <c r="B851" s="316"/>
      <c r="C851" s="369"/>
      <c r="D851" s="450" t="s">
        <v>1196</v>
      </c>
      <c r="E851" s="450"/>
      <c r="F851" s="450"/>
      <c r="G851" s="450"/>
      <c r="H851" s="450"/>
      <c r="I851" s="450"/>
      <c r="J851" s="450"/>
      <c r="K851" s="434"/>
      <c r="M851" s="347"/>
      <c r="O851" s="347"/>
    </row>
    <row r="852" spans="2:18" ht="36" customHeight="1" x14ac:dyDescent="0.5">
      <c r="B852" s="316"/>
      <c r="C852" s="369"/>
      <c r="D852" s="450" t="s">
        <v>1197</v>
      </c>
      <c r="E852" s="450"/>
      <c r="F852" s="450"/>
      <c r="G852" s="450"/>
      <c r="H852" s="450"/>
      <c r="I852" s="450"/>
      <c r="J852" s="450"/>
      <c r="K852" s="434"/>
      <c r="M852" s="347"/>
      <c r="O852" s="347"/>
    </row>
    <row r="853" spans="2:18" ht="36" customHeight="1" x14ac:dyDescent="0.5">
      <c r="B853" s="316"/>
      <c r="C853" s="369"/>
      <c r="D853" s="450" t="s">
        <v>1198</v>
      </c>
      <c r="E853" s="450"/>
      <c r="F853" s="450"/>
      <c r="G853" s="450"/>
      <c r="H853" s="450"/>
      <c r="I853" s="450"/>
      <c r="J853" s="450"/>
      <c r="K853" s="434"/>
      <c r="M853" s="347"/>
      <c r="O853" s="347"/>
    </row>
    <row r="854" spans="2:18" ht="36" customHeight="1" x14ac:dyDescent="0.5">
      <c r="B854" s="316"/>
      <c r="C854" s="369"/>
      <c r="D854" s="450" t="s">
        <v>1199</v>
      </c>
      <c r="E854" s="450"/>
      <c r="F854" s="450"/>
      <c r="G854" s="450"/>
      <c r="H854" s="450"/>
      <c r="I854" s="450"/>
      <c r="J854" s="450"/>
      <c r="K854" s="434"/>
      <c r="M854" s="347"/>
      <c r="O854" s="347"/>
    </row>
    <row r="855" spans="2:18" ht="36" customHeight="1" x14ac:dyDescent="0.5">
      <c r="B855" s="316"/>
      <c r="C855" s="369"/>
      <c r="D855" s="450" t="s">
        <v>1200</v>
      </c>
      <c r="E855" s="450"/>
      <c r="F855" s="450"/>
      <c r="G855" s="450"/>
      <c r="H855" s="450"/>
      <c r="I855" s="450"/>
      <c r="J855" s="450"/>
      <c r="K855" s="434"/>
      <c r="M855" s="347"/>
      <c r="O855" s="347"/>
    </row>
    <row r="856" spans="2:18" ht="36" customHeight="1" x14ac:dyDescent="0.5">
      <c r="B856" s="316"/>
      <c r="C856" s="369"/>
      <c r="D856" s="450" t="s">
        <v>1202</v>
      </c>
      <c r="E856" s="450"/>
      <c r="F856" s="450"/>
      <c r="G856" s="450"/>
      <c r="H856" s="450"/>
      <c r="I856" s="450"/>
      <c r="J856" s="450"/>
      <c r="K856" s="434"/>
      <c r="M856" s="347"/>
      <c r="O856" s="347"/>
    </row>
    <row r="857" spans="2:18" ht="36" customHeight="1" x14ac:dyDescent="0.5">
      <c r="B857" s="316"/>
      <c r="C857" s="369"/>
      <c r="D857" s="450" t="s">
        <v>1201</v>
      </c>
      <c r="E857" s="450"/>
      <c r="F857" s="450"/>
      <c r="G857" s="450"/>
      <c r="H857" s="450"/>
      <c r="I857" s="450"/>
      <c r="J857" s="450"/>
      <c r="K857" s="434"/>
      <c r="M857" s="347"/>
      <c r="O857" s="347"/>
    </row>
    <row r="858" spans="2:18" ht="36" customHeight="1" x14ac:dyDescent="0.5">
      <c r="B858" s="316"/>
      <c r="C858" s="369"/>
      <c r="D858" s="450"/>
      <c r="E858" s="450"/>
      <c r="F858" s="450"/>
      <c r="G858" s="450"/>
      <c r="H858" s="450"/>
      <c r="I858" s="450"/>
      <c r="J858" s="450"/>
      <c r="K858" s="434"/>
      <c r="M858" s="347"/>
      <c r="O858" s="347"/>
    </row>
    <row r="859" spans="2:18" ht="36" customHeight="1" x14ac:dyDescent="0.5">
      <c r="D859" s="450"/>
      <c r="E859" s="450"/>
      <c r="F859" s="450"/>
      <c r="G859" s="450"/>
      <c r="H859" s="450"/>
      <c r="I859" s="450"/>
      <c r="J859" s="450"/>
      <c r="K859" s="449"/>
      <c r="L859" s="292"/>
      <c r="M859" s="330"/>
      <c r="N859" s="330"/>
      <c r="O859" s="330"/>
      <c r="P859" s="330"/>
    </row>
    <row r="860" spans="2:18" ht="36" customHeight="1" x14ac:dyDescent="0.5">
      <c r="C860" s="354"/>
      <c r="D860" s="450"/>
      <c r="E860" s="450"/>
      <c r="F860" s="450"/>
      <c r="G860" s="450"/>
      <c r="H860" s="450"/>
      <c r="I860" s="450"/>
      <c r="J860" s="450"/>
      <c r="K860" s="434"/>
      <c r="M860" s="347"/>
      <c r="O860" s="347"/>
    </row>
    <row r="861" spans="2:18" ht="36" customHeight="1" x14ac:dyDescent="0.5">
      <c r="C861" s="354"/>
      <c r="D861" s="450"/>
      <c r="E861" s="450"/>
      <c r="F861" s="450"/>
      <c r="G861" s="450"/>
      <c r="H861" s="450"/>
      <c r="I861" s="450"/>
      <c r="J861" s="450"/>
      <c r="K861" s="434"/>
      <c r="M861" s="347"/>
      <c r="O861" s="295" t="s">
        <v>89</v>
      </c>
      <c r="Q861" s="292">
        <f>MAX($Q$105:Q860)+1</f>
        <v>24</v>
      </c>
    </row>
    <row r="862" spans="2:18" ht="36" customHeight="1" x14ac:dyDescent="0.5">
      <c r="C862" s="354"/>
      <c r="D862" s="456" t="str">
        <f>Criteria!E9</f>
        <v>HOLDING COMPANY 268 (PROPRIETARY) LIMITED</v>
      </c>
      <c r="E862" s="450"/>
      <c r="F862" s="450"/>
      <c r="G862" s="450"/>
      <c r="H862" s="450"/>
      <c r="I862" s="450"/>
      <c r="J862" s="450"/>
      <c r="K862" s="434"/>
      <c r="M862" s="347"/>
      <c r="O862" s="347"/>
    </row>
    <row r="863" spans="2:18" ht="36" customHeight="1" x14ac:dyDescent="0.5">
      <c r="C863" s="354"/>
      <c r="D863" s="456" t="str">
        <f>Criteria!E10</f>
        <v>CONSOLIDATED FINANCIAL STATEMENTS</v>
      </c>
      <c r="E863" s="450"/>
      <c r="F863" s="450"/>
      <c r="G863" s="450"/>
      <c r="H863" s="450"/>
      <c r="I863" s="450"/>
      <c r="J863" s="450"/>
      <c r="K863" s="434"/>
      <c r="M863" s="347"/>
      <c r="O863" s="347"/>
      <c r="R863" s="348" t="str">
        <f>IF(D863=0,"DELETE"," ")</f>
        <v xml:space="preserve"> </v>
      </c>
    </row>
    <row r="864" spans="2:18" ht="36" customHeight="1" x14ac:dyDescent="0.5">
      <c r="C864" s="354"/>
      <c r="D864" s="450"/>
      <c r="E864" s="450"/>
      <c r="F864" s="450"/>
      <c r="G864" s="450"/>
      <c r="H864" s="450"/>
      <c r="I864" s="450"/>
      <c r="J864" s="450"/>
      <c r="K864" s="434"/>
      <c r="M864" s="347"/>
      <c r="O864" s="347"/>
    </row>
    <row r="865" spans="2:18" ht="36" customHeight="1" x14ac:dyDescent="0.5">
      <c r="C865" s="354"/>
      <c r="D865" s="456" t="s">
        <v>351</v>
      </c>
      <c r="E865" s="450"/>
      <c r="F865" s="450"/>
      <c r="G865" s="450"/>
      <c r="H865" s="450"/>
      <c r="I865" s="450"/>
      <c r="J865" s="450"/>
      <c r="K865" s="434"/>
      <c r="M865" s="347"/>
      <c r="O865" s="347"/>
    </row>
    <row r="866" spans="2:18" ht="36" customHeight="1" x14ac:dyDescent="0.5">
      <c r="C866" s="354"/>
      <c r="D866" s="456" t="str">
        <f>Criteria!E20</f>
        <v>28 FEBRUARY 2025</v>
      </c>
      <c r="E866" s="450"/>
      <c r="F866" s="450"/>
      <c r="G866" s="450"/>
      <c r="H866" s="450"/>
      <c r="I866" s="450"/>
      <c r="J866" s="450" t="s">
        <v>231</v>
      </c>
      <c r="K866" s="434"/>
      <c r="M866" s="347"/>
      <c r="O866" s="347"/>
    </row>
    <row r="867" spans="2:18" ht="36" customHeight="1" x14ac:dyDescent="0.5">
      <c r="C867" s="354"/>
      <c r="D867" s="450"/>
      <c r="E867" s="450"/>
      <c r="F867" s="450"/>
      <c r="G867" s="450"/>
      <c r="H867" s="450"/>
      <c r="I867" s="450"/>
      <c r="J867" s="450"/>
      <c r="K867" s="434"/>
      <c r="M867" s="347"/>
      <c r="O867" s="347"/>
    </row>
    <row r="868" spans="2:18" ht="36" customHeight="1" x14ac:dyDescent="0.5">
      <c r="B868" s="364"/>
      <c r="C868" s="368"/>
      <c r="D868" s="460"/>
      <c r="E868" s="460"/>
      <c r="F868" s="460"/>
      <c r="G868" s="460"/>
      <c r="H868" s="460"/>
      <c r="I868" s="460"/>
      <c r="J868" s="460"/>
      <c r="K868" s="444"/>
      <c r="L868" s="364"/>
      <c r="M868" s="367"/>
      <c r="N868" s="367"/>
      <c r="O868" s="367"/>
      <c r="P868" s="367"/>
      <c r="Q868" s="364"/>
    </row>
    <row r="869" spans="2:18" ht="36" customHeight="1" x14ac:dyDescent="0.5">
      <c r="B869" s="316">
        <f>MAX(B$602:B868)+1</f>
        <v>2</v>
      </c>
      <c r="C869" s="456" t="s">
        <v>1063</v>
      </c>
      <c r="D869" s="459"/>
      <c r="E869" s="450"/>
      <c r="F869" s="450"/>
      <c r="G869" s="450"/>
      <c r="H869" s="450"/>
      <c r="I869" s="450"/>
      <c r="J869" s="450"/>
      <c r="M869" s="347"/>
      <c r="O869" s="347"/>
    </row>
    <row r="870" spans="2:18" ht="36" customHeight="1" x14ac:dyDescent="0.5">
      <c r="B870" s="316"/>
      <c r="C870" s="456"/>
      <c r="D870" s="459"/>
      <c r="E870" s="450"/>
      <c r="F870" s="450"/>
      <c r="G870" s="450"/>
      <c r="H870" s="450"/>
      <c r="I870" s="450"/>
      <c r="J870" s="450"/>
      <c r="M870" s="347"/>
      <c r="O870" s="347"/>
    </row>
    <row r="871" spans="2:18" ht="36" customHeight="1" x14ac:dyDescent="0.5">
      <c r="B871" s="316"/>
      <c r="C871" s="450" t="s">
        <v>874</v>
      </c>
      <c r="D871" s="450"/>
      <c r="E871" s="450"/>
      <c r="F871" s="450"/>
      <c r="G871" s="450"/>
      <c r="H871" s="450"/>
      <c r="I871" s="450"/>
      <c r="J871" s="450"/>
      <c r="M871" s="347"/>
      <c r="O871" s="347"/>
    </row>
    <row r="872" spans="2:18" ht="36" customHeight="1" x14ac:dyDescent="0.5">
      <c r="B872" s="316"/>
      <c r="C872" s="456"/>
      <c r="D872" s="450"/>
      <c r="E872" s="450"/>
      <c r="F872" s="450"/>
      <c r="G872" s="450"/>
      <c r="H872" s="450"/>
      <c r="I872" s="450"/>
      <c r="J872" s="450"/>
      <c r="M872" s="347"/>
      <c r="O872" s="347"/>
    </row>
    <row r="873" spans="2:18" ht="36" customHeight="1" x14ac:dyDescent="0.5">
      <c r="B873" s="316"/>
      <c r="C873" s="456"/>
      <c r="D873" s="450"/>
      <c r="E873" s="450"/>
      <c r="F873" s="450"/>
      <c r="G873" s="450"/>
      <c r="H873" s="450"/>
      <c r="I873" s="450"/>
      <c r="J873" s="450"/>
      <c r="M873" s="347"/>
      <c r="O873" s="347"/>
    </row>
    <row r="874" spans="2:18" ht="36" customHeight="1" x14ac:dyDescent="0.5">
      <c r="B874" s="354"/>
      <c r="C874" s="456"/>
      <c r="D874" s="450"/>
      <c r="E874" s="450"/>
      <c r="F874" s="450"/>
      <c r="G874" s="450"/>
      <c r="H874" s="450"/>
      <c r="I874" s="450"/>
      <c r="J874" s="450"/>
      <c r="M874" s="356"/>
      <c r="N874" s="356"/>
      <c r="O874" s="356"/>
      <c r="P874" s="356"/>
    </row>
    <row r="875" spans="2:18" ht="36" customHeight="1" x14ac:dyDescent="0.5">
      <c r="B875" s="354"/>
      <c r="C875" s="456"/>
      <c r="D875" s="450"/>
      <c r="E875" s="450"/>
      <c r="F875" s="450"/>
      <c r="G875" s="450"/>
      <c r="H875" s="450"/>
      <c r="I875" s="450"/>
      <c r="J875" s="450"/>
      <c r="M875" s="347"/>
      <c r="O875" s="347"/>
    </row>
    <row r="876" spans="2:18" ht="36" customHeight="1" x14ac:dyDescent="0.5">
      <c r="B876" s="354"/>
      <c r="C876" s="450"/>
      <c r="D876" s="450"/>
      <c r="E876" s="450"/>
      <c r="F876" s="450"/>
      <c r="G876" s="450"/>
      <c r="H876" s="450"/>
      <c r="I876" s="450"/>
      <c r="J876" s="450"/>
      <c r="M876" s="347"/>
      <c r="O876" s="295" t="s">
        <v>89</v>
      </c>
      <c r="Q876" s="292">
        <f>MAX($Q$105:Q875)+1</f>
        <v>25</v>
      </c>
    </row>
    <row r="877" spans="2:18" ht="36" customHeight="1" x14ac:dyDescent="0.5">
      <c r="B877" s="354"/>
      <c r="C877" s="450"/>
      <c r="D877" s="456" t="str">
        <f>Criteria!E9</f>
        <v>HOLDING COMPANY 268 (PROPRIETARY) LIMITED</v>
      </c>
      <c r="E877" s="450"/>
      <c r="F877" s="450"/>
      <c r="G877" s="450"/>
      <c r="H877" s="450"/>
      <c r="I877" s="450"/>
      <c r="J877" s="450"/>
      <c r="M877" s="347"/>
      <c r="O877" s="347"/>
    </row>
    <row r="878" spans="2:18" ht="36" customHeight="1" x14ac:dyDescent="0.5">
      <c r="B878" s="354"/>
      <c r="C878" s="450"/>
      <c r="D878" s="456" t="str">
        <f>Criteria!E10</f>
        <v>CONSOLIDATED FINANCIAL STATEMENTS</v>
      </c>
      <c r="E878" s="450"/>
      <c r="F878" s="450"/>
      <c r="G878" s="450"/>
      <c r="H878" s="450"/>
      <c r="I878" s="450"/>
      <c r="J878" s="450"/>
      <c r="M878" s="347"/>
      <c r="O878" s="347"/>
      <c r="R878" s="348" t="str">
        <f>IF(D878=0,"DELETE"," ")</f>
        <v xml:space="preserve"> </v>
      </c>
    </row>
    <row r="879" spans="2:18" ht="36" customHeight="1" x14ac:dyDescent="0.5">
      <c r="B879" s="354"/>
      <c r="C879" s="450"/>
      <c r="D879" s="450"/>
      <c r="E879" s="450"/>
      <c r="F879" s="450"/>
      <c r="G879" s="450"/>
      <c r="H879" s="450"/>
      <c r="I879" s="450"/>
      <c r="J879" s="450"/>
      <c r="M879" s="347"/>
      <c r="O879" s="347"/>
    </row>
    <row r="880" spans="2:18" ht="36" customHeight="1" x14ac:dyDescent="0.5">
      <c r="B880" s="354"/>
      <c r="C880" s="450"/>
      <c r="D880" s="456" t="s">
        <v>351</v>
      </c>
      <c r="E880" s="450"/>
      <c r="F880" s="450"/>
      <c r="G880" s="450"/>
      <c r="H880" s="450"/>
      <c r="I880" s="450"/>
      <c r="J880" s="450"/>
      <c r="M880" s="347"/>
      <c r="O880" s="347"/>
    </row>
    <row r="881" spans="2:18" ht="36" customHeight="1" x14ac:dyDescent="0.5">
      <c r="B881" s="354"/>
      <c r="C881" s="450"/>
      <c r="D881" s="456" t="str">
        <f>Criteria!E20</f>
        <v>28 FEBRUARY 2025</v>
      </c>
      <c r="E881" s="450"/>
      <c r="F881" s="450"/>
      <c r="G881" s="450"/>
      <c r="H881" s="450"/>
      <c r="I881" s="450"/>
      <c r="J881" s="450" t="s">
        <v>231</v>
      </c>
      <c r="M881" s="347"/>
      <c r="O881" s="347"/>
    </row>
    <row r="882" spans="2:18" ht="36" customHeight="1" x14ac:dyDescent="0.5">
      <c r="B882" s="354"/>
      <c r="C882" s="450"/>
      <c r="D882" s="456"/>
      <c r="E882" s="450"/>
      <c r="F882" s="450"/>
      <c r="G882" s="450"/>
      <c r="H882" s="450"/>
      <c r="I882" s="450"/>
      <c r="J882" s="450"/>
      <c r="M882" s="347"/>
      <c r="O882" s="347"/>
    </row>
    <row r="883" spans="2:18" ht="36" customHeight="1" x14ac:dyDescent="0.5">
      <c r="B883" s="368"/>
      <c r="C883" s="460"/>
      <c r="D883" s="465"/>
      <c r="E883" s="460"/>
      <c r="F883" s="460"/>
      <c r="G883" s="460"/>
      <c r="H883" s="460"/>
      <c r="I883" s="460"/>
      <c r="J883" s="460"/>
      <c r="K883" s="364"/>
      <c r="L883" s="364"/>
      <c r="M883" s="367"/>
      <c r="N883" s="367"/>
      <c r="O883" s="367"/>
      <c r="P883" s="367"/>
      <c r="Q883" s="364"/>
    </row>
    <row r="884" spans="2:18" ht="36" customHeight="1" x14ac:dyDescent="0.5">
      <c r="B884" s="354"/>
      <c r="C884" s="450"/>
      <c r="D884" s="456"/>
      <c r="E884" s="450"/>
      <c r="F884" s="450"/>
      <c r="G884" s="450"/>
      <c r="H884" s="450"/>
      <c r="I884" s="450"/>
      <c r="J884" s="450"/>
      <c r="M884" s="294">
        <f>Criteria!E22</f>
        <v>2025</v>
      </c>
      <c r="N884" s="294"/>
      <c r="O884" s="294">
        <f>Criteria!E27</f>
        <v>2024</v>
      </c>
      <c r="P884" s="356"/>
    </row>
    <row r="885" spans="2:18" ht="36" customHeight="1" x14ac:dyDescent="0.5">
      <c r="B885" s="354"/>
      <c r="C885" s="450"/>
      <c r="D885" s="456"/>
      <c r="E885" s="450"/>
      <c r="F885" s="450"/>
      <c r="G885" s="450"/>
      <c r="H885" s="450"/>
      <c r="I885" s="450"/>
      <c r="J885" s="450"/>
      <c r="M885" s="356"/>
      <c r="N885" s="356"/>
      <c r="O885" s="356"/>
      <c r="P885" s="356"/>
    </row>
    <row r="886" spans="2:18" ht="36" customHeight="1" x14ac:dyDescent="0.5">
      <c r="B886" s="316">
        <f>MAX(B$602:B885)+1</f>
        <v>3</v>
      </c>
      <c r="C886" s="456" t="s">
        <v>836</v>
      </c>
      <c r="D886" s="456"/>
      <c r="E886" s="450"/>
      <c r="F886" s="450"/>
      <c r="G886" s="450"/>
      <c r="H886" s="450"/>
      <c r="I886" s="450"/>
      <c r="J886" s="450"/>
      <c r="M886" s="356"/>
      <c r="N886" s="356"/>
      <c r="O886" s="356"/>
      <c r="P886" s="356"/>
    </row>
    <row r="887" spans="2:18" ht="36" customHeight="1" x14ac:dyDescent="0.5">
      <c r="B887" s="316"/>
      <c r="C887" s="456"/>
      <c r="D887" s="456"/>
      <c r="E887" s="450"/>
      <c r="F887" s="450"/>
      <c r="G887" s="450"/>
      <c r="H887" s="450"/>
      <c r="I887" s="450"/>
      <c r="J887" s="450"/>
      <c r="M887" s="356"/>
      <c r="N887" s="356"/>
      <c r="O887" s="356"/>
      <c r="P887" s="356"/>
    </row>
    <row r="888" spans="2:18" ht="36" customHeight="1" x14ac:dyDescent="0.5">
      <c r="B888" s="354"/>
      <c r="C888" s="450" t="str">
        <f>TrialBalance!C5</f>
        <v>Sale of goods</v>
      </c>
      <c r="D888" s="459"/>
      <c r="E888" s="450"/>
      <c r="F888" s="450"/>
      <c r="G888" s="450"/>
      <c r="H888" s="450"/>
      <c r="I888" s="450"/>
      <c r="J888" s="450"/>
      <c r="M888" s="371">
        <f>-TrialBalance!L5-TrialBalanceA!I5-TrialBalanceB!I5-TrialBalanceC!I5</f>
        <v>0</v>
      </c>
      <c r="N888" s="371"/>
      <c r="O888" s="371">
        <f>-TrialBalance!N5-TrialBalanceA!K5-TrialBalanceB!K5-TrialBalanceC!K5</f>
        <v>0</v>
      </c>
      <c r="P888" s="356"/>
      <c r="R888" s="348" t="str">
        <f>IF(M888+O888=0,IF(SUM(M889:M894)+SUM(O889:O894)&gt;0,"DELETE"," ")," ")</f>
        <v xml:space="preserve"> </v>
      </c>
    </row>
    <row r="889" spans="2:18" ht="36" customHeight="1" x14ac:dyDescent="0.5">
      <c r="B889" s="354"/>
      <c r="C889" s="450" t="str">
        <f>TrialBalance!C6</f>
        <v>Rendering of services</v>
      </c>
      <c r="D889" s="459"/>
      <c r="E889" s="450"/>
      <c r="F889" s="450"/>
      <c r="G889" s="450"/>
      <c r="H889" s="450"/>
      <c r="I889" s="450"/>
      <c r="J889" s="450"/>
      <c r="M889" s="371">
        <f>-TrialBalance!L6-TrialBalanceA!I6-TrialBalanceB!I6-TrialBalanceC!I6</f>
        <v>0</v>
      </c>
      <c r="N889" s="371"/>
      <c r="O889" s="371">
        <f>-TrialBalance!N6-TrialBalanceA!K6-TrialBalanceB!K6-TrialBalanceC!K6</f>
        <v>0</v>
      </c>
      <c r="P889" s="356"/>
      <c r="R889" s="348" t="str">
        <f>IF(M889+O889=0,"DELETE"," ")</f>
        <v>DELETE</v>
      </c>
    </row>
    <row r="890" spans="2:18" ht="36" customHeight="1" x14ac:dyDescent="0.5">
      <c r="B890" s="354"/>
      <c r="C890" s="450" t="str">
        <f>TrialBalance!C7</f>
        <v>Commissions received</v>
      </c>
      <c r="D890" s="459"/>
      <c r="E890" s="450"/>
      <c r="F890" s="450"/>
      <c r="G890" s="450"/>
      <c r="H890" s="450"/>
      <c r="I890" s="450"/>
      <c r="J890" s="450"/>
      <c r="M890" s="371">
        <f>-TrialBalance!L7-TrialBalanceA!I7-TrialBalanceB!I7-TrialBalanceC!I7</f>
        <v>0</v>
      </c>
      <c r="N890" s="371"/>
      <c r="O890" s="371">
        <f>-TrialBalance!N7-TrialBalanceA!K7-TrialBalanceB!K7-TrialBalanceC!K7</f>
        <v>0</v>
      </c>
      <c r="P890" s="356"/>
      <c r="R890" s="348" t="str">
        <f t="shared" ref="R890:R893" si="8">IF(M890+O890=0,"DELETE"," ")</f>
        <v>DELETE</v>
      </c>
    </row>
    <row r="891" spans="2:18" ht="36" customHeight="1" x14ac:dyDescent="0.5">
      <c r="B891" s="354"/>
      <c r="C891" s="450">
        <f>TrialBalance!C8</f>
        <v>0</v>
      </c>
      <c r="D891" s="459"/>
      <c r="E891" s="450"/>
      <c r="F891" s="450"/>
      <c r="G891" s="450"/>
      <c r="H891" s="450"/>
      <c r="I891" s="450"/>
      <c r="J891" s="450"/>
      <c r="M891" s="371">
        <f>-TrialBalance!L8-TrialBalanceA!I8-TrialBalanceB!I8-TrialBalanceC!I8</f>
        <v>0</v>
      </c>
      <c r="N891" s="371"/>
      <c r="O891" s="371">
        <f>-TrialBalance!N8-TrialBalanceA!K8-TrialBalanceB!K8-TrialBalanceC!K8</f>
        <v>0</v>
      </c>
      <c r="P891" s="356"/>
      <c r="R891" s="348" t="str">
        <f t="shared" si="8"/>
        <v>DELETE</v>
      </c>
    </row>
    <row r="892" spans="2:18" ht="36" customHeight="1" x14ac:dyDescent="0.5">
      <c r="B892" s="354"/>
      <c r="C892" s="450">
        <f>TrialBalance!C9</f>
        <v>0</v>
      </c>
      <c r="D892" s="459"/>
      <c r="E892" s="450"/>
      <c r="F892" s="450"/>
      <c r="G892" s="450"/>
      <c r="H892" s="450"/>
      <c r="I892" s="450"/>
      <c r="J892" s="450"/>
      <c r="M892" s="371">
        <f>-TrialBalance!L9-TrialBalanceA!I9-TrialBalanceB!I9-TrialBalanceC!I9</f>
        <v>0</v>
      </c>
      <c r="N892" s="371"/>
      <c r="O892" s="371">
        <f>-TrialBalance!N9-TrialBalanceA!K9-TrialBalanceB!K9-TrialBalanceC!K9</f>
        <v>0</v>
      </c>
      <c r="P892" s="356"/>
      <c r="R892" s="348" t="str">
        <f t="shared" si="8"/>
        <v>DELETE</v>
      </c>
    </row>
    <row r="893" spans="2:18" ht="36" customHeight="1" x14ac:dyDescent="0.5">
      <c r="B893" s="354"/>
      <c r="C893" s="450">
        <f>TrialBalance!C10</f>
        <v>0</v>
      </c>
      <c r="D893" s="459"/>
      <c r="E893" s="450"/>
      <c r="F893" s="450"/>
      <c r="G893" s="450"/>
      <c r="H893" s="450"/>
      <c r="I893" s="450"/>
      <c r="J893" s="450"/>
      <c r="M893" s="371">
        <f>-TrialBalance!L10-TrialBalanceA!I10-TrialBalanceB!I10-TrialBalanceC!I10</f>
        <v>0</v>
      </c>
      <c r="N893" s="371"/>
      <c r="O893" s="371">
        <f>-TrialBalance!N10-TrialBalanceA!K10-TrialBalanceB!K10-TrialBalanceC!K10</f>
        <v>0</v>
      </c>
      <c r="P893" s="356"/>
      <c r="R893" s="348" t="str">
        <f t="shared" si="8"/>
        <v>DELETE</v>
      </c>
    </row>
    <row r="894" spans="2:18" ht="36" customHeight="1" x14ac:dyDescent="0.5">
      <c r="B894" s="354"/>
      <c r="C894" s="450" t="str">
        <f>TrialBalance!C11</f>
        <v>Rent received</v>
      </c>
      <c r="D894" s="459"/>
      <c r="E894" s="450"/>
      <c r="F894" s="450"/>
      <c r="G894" s="450"/>
      <c r="H894" s="450"/>
      <c r="I894" s="450"/>
      <c r="J894" s="450"/>
      <c r="M894" s="371">
        <f>-TrialBalance!L11-TrialBalanceA!I11-TrialBalanceB!I11-TrialBalanceC!I11</f>
        <v>0</v>
      </c>
      <c r="N894" s="371"/>
      <c r="O894" s="371">
        <f>-TrialBalance!N11-TrialBalanceA!K11-TrialBalanceB!K11-TrialBalanceC!K11</f>
        <v>0</v>
      </c>
      <c r="P894" s="356"/>
      <c r="R894" s="348" t="str">
        <f>IF(M894+O894=0,"DELETE"," ")</f>
        <v>DELETE</v>
      </c>
    </row>
    <row r="895" spans="2:18" ht="9" customHeight="1" x14ac:dyDescent="0.5">
      <c r="B895" s="354"/>
      <c r="C895" s="450"/>
      <c r="D895" s="450"/>
      <c r="E895" s="450"/>
      <c r="F895" s="450"/>
      <c r="G895" s="450"/>
      <c r="H895" s="450"/>
      <c r="I895" s="450"/>
      <c r="J895" s="450"/>
      <c r="M895" s="372"/>
      <c r="N895" s="372"/>
      <c r="O895" s="372"/>
      <c r="P895" s="356"/>
    </row>
    <row r="896" spans="2:18" ht="9" customHeight="1" x14ac:dyDescent="0.5">
      <c r="B896" s="354"/>
      <c r="C896" s="450"/>
      <c r="D896" s="450"/>
      <c r="E896" s="450"/>
      <c r="F896" s="450"/>
      <c r="G896" s="450"/>
      <c r="H896" s="450"/>
      <c r="I896" s="450"/>
      <c r="J896" s="450"/>
      <c r="M896" s="371"/>
      <c r="N896" s="371"/>
      <c r="O896" s="371"/>
      <c r="P896" s="356"/>
    </row>
    <row r="897" spans="2:18" ht="36.75" customHeight="1" x14ac:dyDescent="0.5">
      <c r="B897" s="354"/>
      <c r="C897" s="450"/>
      <c r="D897" s="456"/>
      <c r="E897" s="450"/>
      <c r="F897" s="450"/>
      <c r="G897" s="450"/>
      <c r="H897" s="450"/>
      <c r="I897" s="450"/>
      <c r="J897" s="450"/>
      <c r="M897" s="371">
        <f>SUM(M888:M896)</f>
        <v>0</v>
      </c>
      <c r="N897" s="371"/>
      <c r="O897" s="371">
        <f>SUM(O888:O896)</f>
        <v>0</v>
      </c>
      <c r="P897" s="356"/>
    </row>
    <row r="898" spans="2:18" ht="9" customHeight="1" thickBot="1" x14ac:dyDescent="0.55000000000000004">
      <c r="B898" s="354"/>
      <c r="C898" s="450"/>
      <c r="D898" s="456"/>
      <c r="E898" s="450"/>
      <c r="F898" s="450"/>
      <c r="G898" s="450"/>
      <c r="H898" s="450"/>
      <c r="I898" s="450"/>
      <c r="J898" s="450"/>
      <c r="M898" s="373"/>
      <c r="N898" s="373"/>
      <c r="O898" s="373"/>
      <c r="P898" s="356"/>
    </row>
    <row r="899" spans="2:18" ht="9" customHeight="1" thickTop="1" x14ac:dyDescent="0.5">
      <c r="B899" s="354"/>
      <c r="C899" s="450"/>
      <c r="D899" s="456"/>
      <c r="E899" s="450"/>
      <c r="F899" s="450"/>
      <c r="G899" s="450"/>
      <c r="H899" s="450"/>
      <c r="I899" s="450"/>
      <c r="J899" s="450"/>
      <c r="M899" s="371"/>
      <c r="N899" s="371"/>
      <c r="O899" s="371"/>
      <c r="P899" s="356"/>
    </row>
    <row r="900" spans="2:18" ht="36" customHeight="1" x14ac:dyDescent="0.5">
      <c r="B900" s="354"/>
      <c r="C900" s="450"/>
      <c r="D900" s="456"/>
      <c r="E900" s="450"/>
      <c r="F900" s="450"/>
      <c r="G900" s="450"/>
      <c r="H900" s="450"/>
      <c r="I900" s="450"/>
      <c r="J900" s="450"/>
      <c r="M900" s="356"/>
      <c r="N900" s="356"/>
      <c r="O900" s="356"/>
      <c r="P900" s="356"/>
    </row>
    <row r="901" spans="2:18" ht="36" customHeight="1" x14ac:dyDescent="0.5">
      <c r="B901" s="354"/>
      <c r="C901" s="450"/>
      <c r="D901" s="456"/>
      <c r="E901" s="450"/>
      <c r="F901" s="450"/>
      <c r="G901" s="450"/>
      <c r="H901" s="450"/>
      <c r="I901" s="450"/>
      <c r="J901" s="450"/>
      <c r="M901" s="356"/>
      <c r="N901" s="356"/>
      <c r="O901" s="356"/>
      <c r="P901" s="356"/>
    </row>
    <row r="902" spans="2:18" ht="36" customHeight="1" x14ac:dyDescent="0.5">
      <c r="B902" s="354"/>
      <c r="C902" s="456"/>
      <c r="D902" s="450"/>
      <c r="E902" s="450"/>
      <c r="F902" s="450"/>
      <c r="G902" s="450"/>
      <c r="H902" s="450"/>
      <c r="I902" s="450"/>
      <c r="J902" s="450"/>
      <c r="M902" s="356"/>
      <c r="N902" s="356"/>
      <c r="O902" s="356"/>
      <c r="P902" s="356"/>
    </row>
    <row r="903" spans="2:18" ht="36" customHeight="1" x14ac:dyDescent="0.5">
      <c r="B903" s="354"/>
      <c r="C903" s="456"/>
      <c r="D903" s="450"/>
      <c r="E903" s="450"/>
      <c r="F903" s="450"/>
      <c r="G903" s="450"/>
      <c r="H903" s="450"/>
      <c r="I903" s="450"/>
      <c r="J903" s="450"/>
      <c r="M903" s="347"/>
      <c r="O903" s="347"/>
    </row>
    <row r="904" spans="2:18" ht="36" customHeight="1" x14ac:dyDescent="0.5">
      <c r="B904" s="354"/>
      <c r="C904" s="450"/>
      <c r="D904" s="450"/>
      <c r="E904" s="450"/>
      <c r="F904" s="450"/>
      <c r="G904" s="450"/>
      <c r="H904" s="450"/>
      <c r="I904" s="450"/>
      <c r="J904" s="450"/>
      <c r="M904" s="347"/>
      <c r="O904" s="295" t="s">
        <v>89</v>
      </c>
      <c r="Q904" s="292">
        <f>MAX($Q$105:Q903)+1</f>
        <v>26</v>
      </c>
      <c r="R904" s="348" t="str">
        <f t="shared" ref="R904:R913" si="9">R$942</f>
        <v>DELETE</v>
      </c>
    </row>
    <row r="905" spans="2:18" ht="36" customHeight="1" x14ac:dyDescent="0.5">
      <c r="B905" s="354"/>
      <c r="C905" s="450"/>
      <c r="D905" s="456" t="str">
        <f>Criteria!E9</f>
        <v>HOLDING COMPANY 268 (PROPRIETARY) LIMITED</v>
      </c>
      <c r="E905" s="450"/>
      <c r="F905" s="450"/>
      <c r="G905" s="450"/>
      <c r="H905" s="450"/>
      <c r="I905" s="450"/>
      <c r="J905" s="450"/>
      <c r="M905" s="347"/>
      <c r="O905" s="347"/>
      <c r="R905" s="348" t="str">
        <f t="shared" si="9"/>
        <v>DELETE</v>
      </c>
    </row>
    <row r="906" spans="2:18" ht="36" customHeight="1" x14ac:dyDescent="0.5">
      <c r="B906" s="354"/>
      <c r="C906" s="450"/>
      <c r="D906" s="456" t="str">
        <f>Criteria!E10</f>
        <v>CONSOLIDATED FINANCIAL STATEMENTS</v>
      </c>
      <c r="E906" s="450"/>
      <c r="F906" s="450"/>
      <c r="G906" s="450"/>
      <c r="H906" s="450"/>
      <c r="I906" s="450"/>
      <c r="J906" s="450"/>
      <c r="M906" s="347"/>
      <c r="O906" s="347"/>
      <c r="R906" s="348" t="str">
        <f>IF(R$942="DELETE","DELETE",IF(D906=0,"DELETE"," "))</f>
        <v>DELETE</v>
      </c>
    </row>
    <row r="907" spans="2:18" ht="36" customHeight="1" x14ac:dyDescent="0.5">
      <c r="B907" s="354"/>
      <c r="C907" s="450"/>
      <c r="D907" s="450"/>
      <c r="E907" s="450"/>
      <c r="F907" s="450"/>
      <c r="G907" s="450"/>
      <c r="H907" s="450"/>
      <c r="I907" s="450"/>
      <c r="J907" s="450"/>
      <c r="M907" s="347"/>
      <c r="O907" s="347"/>
      <c r="R907" s="348" t="str">
        <f t="shared" si="9"/>
        <v>DELETE</v>
      </c>
    </row>
    <row r="908" spans="2:18" ht="36" customHeight="1" x14ac:dyDescent="0.5">
      <c r="B908" s="354"/>
      <c r="C908" s="450"/>
      <c r="D908" s="456" t="s">
        <v>351</v>
      </c>
      <c r="E908" s="450"/>
      <c r="F908" s="450"/>
      <c r="G908" s="450"/>
      <c r="H908" s="450"/>
      <c r="I908" s="450"/>
      <c r="J908" s="450"/>
      <c r="M908" s="347"/>
      <c r="O908" s="347"/>
      <c r="R908" s="348" t="str">
        <f t="shared" si="9"/>
        <v>DELETE</v>
      </c>
    </row>
    <row r="909" spans="2:18" ht="36" customHeight="1" x14ac:dyDescent="0.5">
      <c r="B909" s="354"/>
      <c r="C909" s="450"/>
      <c r="D909" s="456" t="str">
        <f>Criteria!E20</f>
        <v>28 FEBRUARY 2025</v>
      </c>
      <c r="E909" s="450"/>
      <c r="F909" s="450"/>
      <c r="G909" s="450"/>
      <c r="H909" s="450"/>
      <c r="I909" s="450"/>
      <c r="J909" s="450" t="s">
        <v>231</v>
      </c>
      <c r="M909" s="347"/>
      <c r="O909" s="347"/>
      <c r="R909" s="348" t="str">
        <f t="shared" si="9"/>
        <v>DELETE</v>
      </c>
    </row>
    <row r="910" spans="2:18" ht="36" customHeight="1" x14ac:dyDescent="0.5">
      <c r="B910" s="354"/>
      <c r="C910" s="450"/>
      <c r="D910" s="456"/>
      <c r="E910" s="450"/>
      <c r="F910" s="450"/>
      <c r="G910" s="450"/>
      <c r="H910" s="450"/>
      <c r="I910" s="450"/>
      <c r="J910" s="450"/>
      <c r="M910" s="347"/>
      <c r="O910" s="347"/>
      <c r="R910" s="348" t="str">
        <f t="shared" si="9"/>
        <v>DELETE</v>
      </c>
    </row>
    <row r="911" spans="2:18" ht="36" customHeight="1" x14ac:dyDescent="0.5">
      <c r="B911" s="368"/>
      <c r="C911" s="460"/>
      <c r="D911" s="465"/>
      <c r="E911" s="460"/>
      <c r="F911" s="460"/>
      <c r="G911" s="460"/>
      <c r="H911" s="460"/>
      <c r="I911" s="460"/>
      <c r="J911" s="460"/>
      <c r="K911" s="364"/>
      <c r="L911" s="364"/>
      <c r="M911" s="367"/>
      <c r="N911" s="367"/>
      <c r="O911" s="367"/>
      <c r="P911" s="367"/>
      <c r="Q911" s="364"/>
      <c r="R911" s="348" t="str">
        <f t="shared" si="9"/>
        <v>DELETE</v>
      </c>
    </row>
    <row r="912" spans="2:18" ht="36" customHeight="1" x14ac:dyDescent="0.5">
      <c r="B912" s="354"/>
      <c r="C912" s="450"/>
      <c r="D912" s="456"/>
      <c r="E912" s="450"/>
      <c r="F912" s="450"/>
      <c r="G912" s="450"/>
      <c r="H912" s="450"/>
      <c r="I912" s="450"/>
      <c r="J912" s="450"/>
      <c r="M912" s="294">
        <f>Criteria!E22</f>
        <v>2025</v>
      </c>
      <c r="N912" s="294"/>
      <c r="O912" s="294">
        <f>Criteria!E27</f>
        <v>2024</v>
      </c>
      <c r="P912" s="356"/>
      <c r="R912" s="348" t="str">
        <f t="shared" si="9"/>
        <v>DELETE</v>
      </c>
    </row>
    <row r="913" spans="2:18" ht="36" customHeight="1" x14ac:dyDescent="0.5">
      <c r="B913" s="354"/>
      <c r="C913" s="450"/>
      <c r="D913" s="456"/>
      <c r="E913" s="450"/>
      <c r="F913" s="450"/>
      <c r="G913" s="450"/>
      <c r="H913" s="450"/>
      <c r="I913" s="450"/>
      <c r="J913" s="450"/>
      <c r="M913" s="356"/>
      <c r="N913" s="356"/>
      <c r="O913" s="356"/>
      <c r="P913" s="356"/>
      <c r="R913" s="348" t="str">
        <f t="shared" si="9"/>
        <v>DELETE</v>
      </c>
    </row>
    <row r="914" spans="2:18" ht="36" customHeight="1" x14ac:dyDescent="0.5">
      <c r="B914" s="316">
        <f>MAX(B$602:B913)+1</f>
        <v>4</v>
      </c>
      <c r="C914" s="456" t="s">
        <v>1037</v>
      </c>
      <c r="D914" s="450"/>
      <c r="E914" s="450"/>
      <c r="F914" s="450"/>
      <c r="G914" s="450"/>
      <c r="H914" s="450"/>
      <c r="I914" s="450"/>
      <c r="J914" s="450"/>
      <c r="M914" s="296"/>
      <c r="N914" s="296"/>
      <c r="O914" s="296"/>
      <c r="R914" s="348" t="str">
        <f>R$942</f>
        <v>DELETE</v>
      </c>
    </row>
    <row r="915" spans="2:18" ht="36" customHeight="1" x14ac:dyDescent="0.5">
      <c r="B915" s="316"/>
      <c r="C915" s="456"/>
      <c r="D915" s="450"/>
      <c r="E915" s="450"/>
      <c r="F915" s="450"/>
      <c r="G915" s="450"/>
      <c r="H915" s="450"/>
      <c r="I915" s="450"/>
      <c r="J915" s="450"/>
      <c r="M915" s="296"/>
      <c r="N915" s="296"/>
      <c r="O915" s="296"/>
      <c r="R915" s="348" t="str">
        <f>R$942</f>
        <v>DELETE</v>
      </c>
    </row>
    <row r="916" spans="2:18" ht="36" customHeight="1" x14ac:dyDescent="0.5">
      <c r="B916" s="316"/>
      <c r="C916" s="450" t="str">
        <f>TrialBalance!C28</f>
        <v>Insurance claims - Financial instruments</v>
      </c>
      <c r="D916" s="459"/>
      <c r="E916" s="450"/>
      <c r="F916" s="450"/>
      <c r="G916" s="450"/>
      <c r="H916" s="450"/>
      <c r="I916" s="450"/>
      <c r="J916" s="450"/>
      <c r="M916" s="296">
        <f>-TrialBalance!L28</f>
        <v>0</v>
      </c>
      <c r="N916" s="296"/>
      <c r="O916" s="296">
        <f>-TrialBalance!N28</f>
        <v>0</v>
      </c>
      <c r="R916" s="348" t="str">
        <f t="shared" ref="R916:R921" si="10">IF(M916+O916=0,"DELETE"," ")</f>
        <v>DELETE</v>
      </c>
    </row>
    <row r="917" spans="2:18" ht="36" customHeight="1" x14ac:dyDescent="0.5">
      <c r="B917" s="316"/>
      <c r="C917" s="450" t="str">
        <f>TrialBalance!C29</f>
        <v>Government grants received</v>
      </c>
      <c r="D917" s="459"/>
      <c r="E917" s="450"/>
      <c r="F917" s="450"/>
      <c r="G917" s="450"/>
      <c r="H917" s="450"/>
      <c r="I917" s="450"/>
      <c r="J917" s="450"/>
      <c r="M917" s="296">
        <f>-TrialBalance!L29</f>
        <v>0</v>
      </c>
      <c r="N917" s="296"/>
      <c r="O917" s="296">
        <f>-TrialBalance!N29</f>
        <v>0</v>
      </c>
      <c r="R917" s="348" t="str">
        <f t="shared" si="10"/>
        <v>DELETE</v>
      </c>
    </row>
    <row r="918" spans="2:18" ht="36" customHeight="1" x14ac:dyDescent="0.5">
      <c r="B918" s="316"/>
      <c r="C918" s="450">
        <f>TrialBalance!C30</f>
        <v>0</v>
      </c>
      <c r="D918" s="459"/>
      <c r="E918" s="450"/>
      <c r="F918" s="450"/>
      <c r="G918" s="450"/>
      <c r="H918" s="450"/>
      <c r="I918" s="450"/>
      <c r="J918" s="450"/>
      <c r="M918" s="296">
        <f>-TrialBalance!L30</f>
        <v>0</v>
      </c>
      <c r="N918" s="296"/>
      <c r="O918" s="296">
        <f>-TrialBalance!N30</f>
        <v>0</v>
      </c>
      <c r="R918" s="348" t="str">
        <f t="shared" si="10"/>
        <v>DELETE</v>
      </c>
    </row>
    <row r="919" spans="2:18" ht="36" customHeight="1" x14ac:dyDescent="0.5">
      <c r="B919" s="316"/>
      <c r="C919" s="450">
        <f>TrialBalance!C31</f>
        <v>0</v>
      </c>
      <c r="D919" s="459"/>
      <c r="E919" s="450"/>
      <c r="F919" s="450"/>
      <c r="G919" s="450"/>
      <c r="H919" s="450"/>
      <c r="I919" s="450"/>
      <c r="J919" s="450"/>
      <c r="M919" s="296">
        <f>-TrialBalance!L31</f>
        <v>0</v>
      </c>
      <c r="N919" s="296"/>
      <c r="O919" s="296">
        <f>-TrialBalance!N31</f>
        <v>0</v>
      </c>
      <c r="R919" s="348" t="str">
        <f t="shared" si="10"/>
        <v>DELETE</v>
      </c>
    </row>
    <row r="920" spans="2:18" ht="36" customHeight="1" x14ac:dyDescent="0.5">
      <c r="B920" s="316"/>
      <c r="C920" s="450">
        <f>TrialBalance!C32</f>
        <v>0</v>
      </c>
      <c r="D920" s="459"/>
      <c r="E920" s="450"/>
      <c r="F920" s="450"/>
      <c r="G920" s="450"/>
      <c r="H920" s="450"/>
      <c r="I920" s="450"/>
      <c r="J920" s="450"/>
      <c r="M920" s="296">
        <f>-TrialBalance!L32</f>
        <v>0</v>
      </c>
      <c r="N920" s="296"/>
      <c r="O920" s="296">
        <f>-TrialBalance!N32</f>
        <v>0</v>
      </c>
      <c r="R920" s="348" t="str">
        <f t="shared" si="10"/>
        <v>DELETE</v>
      </c>
    </row>
    <row r="921" spans="2:18" ht="36" customHeight="1" x14ac:dyDescent="0.5">
      <c r="B921" s="316"/>
      <c r="C921" s="450" t="str">
        <f>TrialBalance!C33</f>
        <v>Recoupment of depreciation</v>
      </c>
      <c r="D921" s="459"/>
      <c r="E921" s="450"/>
      <c r="F921" s="450"/>
      <c r="G921" s="450"/>
      <c r="H921" s="450"/>
      <c r="I921" s="450"/>
      <c r="J921" s="450"/>
      <c r="M921" s="296">
        <f>-TrialBalance!L33</f>
        <v>0</v>
      </c>
      <c r="N921" s="296"/>
      <c r="O921" s="296">
        <f>-TrialBalance!N33</f>
        <v>0</v>
      </c>
      <c r="R921" s="348" t="str">
        <f t="shared" si="10"/>
        <v>DELETE</v>
      </c>
    </row>
    <row r="922" spans="2:18" ht="36" customHeight="1" x14ac:dyDescent="0.5">
      <c r="B922" s="316"/>
      <c r="C922" s="450" t="str">
        <f>TrialBalanceA!C28</f>
        <v>Insurance claims - Subsidiary One 111 (Pty) Ltd</v>
      </c>
      <c r="D922" s="459"/>
      <c r="E922" s="450"/>
      <c r="F922" s="450"/>
      <c r="G922" s="450"/>
      <c r="H922" s="450"/>
      <c r="I922" s="450"/>
      <c r="J922" s="450"/>
      <c r="M922" s="296">
        <f>-TrialBalanceA!I28</f>
        <v>0</v>
      </c>
      <c r="N922" s="296"/>
      <c r="O922" s="296">
        <f>-TrialBalanceA!K28</f>
        <v>0</v>
      </c>
      <c r="R922" s="348" t="str">
        <f t="shared" ref="R922:R928" si="11">IF(M922+O922=0,"DELETE"," ")</f>
        <v>DELETE</v>
      </c>
    </row>
    <row r="923" spans="2:18" ht="36" customHeight="1" x14ac:dyDescent="0.5">
      <c r="B923" s="316"/>
      <c r="C923" s="450" t="str">
        <f>TrialBalanceA!C29</f>
        <v>Government grants received</v>
      </c>
      <c r="D923" s="459"/>
      <c r="E923" s="450"/>
      <c r="F923" s="450"/>
      <c r="G923" s="450"/>
      <c r="H923" s="450"/>
      <c r="I923" s="450"/>
      <c r="J923" s="450"/>
      <c r="M923" s="296">
        <f>-TrialBalanceA!I29</f>
        <v>0</v>
      </c>
      <c r="N923" s="296"/>
      <c r="O923" s="296">
        <f>-TrialBalanceA!K29</f>
        <v>0</v>
      </c>
      <c r="R923" s="348" t="str">
        <f t="shared" si="11"/>
        <v>DELETE</v>
      </c>
    </row>
    <row r="924" spans="2:18" ht="36" customHeight="1" x14ac:dyDescent="0.5">
      <c r="B924" s="316"/>
      <c r="C924" s="450">
        <f>TrialBalanceA!C30</f>
        <v>0</v>
      </c>
      <c r="D924" s="459"/>
      <c r="E924" s="450"/>
      <c r="F924" s="450"/>
      <c r="G924" s="450"/>
      <c r="H924" s="450"/>
      <c r="I924" s="450"/>
      <c r="J924" s="450"/>
      <c r="M924" s="296">
        <f>-TrialBalanceA!I30</f>
        <v>0</v>
      </c>
      <c r="N924" s="296"/>
      <c r="O924" s="296">
        <f>-TrialBalanceA!K30</f>
        <v>0</v>
      </c>
      <c r="R924" s="348" t="str">
        <f t="shared" si="11"/>
        <v>DELETE</v>
      </c>
    </row>
    <row r="925" spans="2:18" ht="36" customHeight="1" x14ac:dyDescent="0.5">
      <c r="B925" s="316"/>
      <c r="C925" s="450">
        <f>TrialBalanceA!C31</f>
        <v>0</v>
      </c>
      <c r="D925" s="459"/>
      <c r="E925" s="450"/>
      <c r="F925" s="450"/>
      <c r="G925" s="450"/>
      <c r="H925" s="450"/>
      <c r="I925" s="450"/>
      <c r="J925" s="450"/>
      <c r="M925" s="296">
        <f>-TrialBalanceA!I31</f>
        <v>0</v>
      </c>
      <c r="N925" s="296"/>
      <c r="O925" s="296">
        <f>-TrialBalanceA!K31</f>
        <v>0</v>
      </c>
      <c r="R925" s="348" t="str">
        <f t="shared" si="11"/>
        <v>DELETE</v>
      </c>
    </row>
    <row r="926" spans="2:18" ht="36" customHeight="1" x14ac:dyDescent="0.5">
      <c r="B926" s="316"/>
      <c r="C926" s="450">
        <f>TrialBalanceA!C32</f>
        <v>0</v>
      </c>
      <c r="D926" s="459"/>
      <c r="E926" s="450"/>
      <c r="F926" s="450"/>
      <c r="G926" s="450"/>
      <c r="H926" s="450"/>
      <c r="I926" s="450"/>
      <c r="J926" s="450"/>
      <c r="M926" s="296">
        <f>-TrialBalanceA!I32</f>
        <v>0</v>
      </c>
      <c r="N926" s="296"/>
      <c r="O926" s="296">
        <f>-TrialBalanceA!K32</f>
        <v>0</v>
      </c>
      <c r="R926" s="348" t="str">
        <f t="shared" si="11"/>
        <v>DELETE</v>
      </c>
    </row>
    <row r="927" spans="2:18" ht="36" customHeight="1" x14ac:dyDescent="0.5">
      <c r="B927" s="316"/>
      <c r="C927" s="450" t="str">
        <f>TrialBalanceA!C33</f>
        <v>Recoupment of depreciation</v>
      </c>
      <c r="D927" s="459"/>
      <c r="E927" s="450"/>
      <c r="F927" s="450"/>
      <c r="G927" s="450"/>
      <c r="H927" s="450"/>
      <c r="I927" s="450"/>
      <c r="J927" s="450"/>
      <c r="M927" s="296">
        <f>-TrialBalanceA!I33</f>
        <v>0</v>
      </c>
      <c r="N927" s="296"/>
      <c r="O927" s="296">
        <f>-TrialBalanceA!K33</f>
        <v>0</v>
      </c>
      <c r="R927" s="348" t="str">
        <f t="shared" ref="R927" si="12">IF(M927+O927=0,"DELETE"," ")</f>
        <v>DELETE</v>
      </c>
    </row>
    <row r="928" spans="2:18" ht="36" customHeight="1" x14ac:dyDescent="0.5">
      <c r="B928" s="316"/>
      <c r="C928" s="450" t="str">
        <f>TrialBalanceB!C28</f>
        <v>Insurance claims - Subsidiary Two 15 (Pty) Ltd</v>
      </c>
      <c r="D928" s="459"/>
      <c r="E928" s="450"/>
      <c r="F928" s="450"/>
      <c r="G928" s="450"/>
      <c r="H928" s="450"/>
      <c r="I928" s="450"/>
      <c r="J928" s="450"/>
      <c r="M928" s="296">
        <f>-TrialBalanceB!I28</f>
        <v>0</v>
      </c>
      <c r="N928" s="296"/>
      <c r="O928" s="296">
        <f>-TrialBalanceB!K28</f>
        <v>0</v>
      </c>
      <c r="R928" s="348" t="str">
        <f t="shared" si="11"/>
        <v>DELETE</v>
      </c>
    </row>
    <row r="929" spans="2:18" ht="36" customHeight="1" x14ac:dyDescent="0.5">
      <c r="B929" s="316"/>
      <c r="C929" s="450" t="str">
        <f>TrialBalanceB!C29</f>
        <v>Government grants received</v>
      </c>
      <c r="D929" s="459"/>
      <c r="E929" s="450"/>
      <c r="F929" s="450"/>
      <c r="G929" s="450"/>
      <c r="H929" s="450"/>
      <c r="I929" s="450"/>
      <c r="J929" s="450"/>
      <c r="M929" s="296">
        <f>-TrialBalanceB!I29</f>
        <v>0</v>
      </c>
      <c r="N929" s="296"/>
      <c r="O929" s="296">
        <f>-TrialBalanceB!K29</f>
        <v>0</v>
      </c>
      <c r="R929" s="348" t="str">
        <f t="shared" ref="R929:R934" si="13">IF(M929+O929=0,"DELETE"," ")</f>
        <v>DELETE</v>
      </c>
    </row>
    <row r="930" spans="2:18" ht="36" customHeight="1" x14ac:dyDescent="0.5">
      <c r="B930" s="316"/>
      <c r="C930" s="450">
        <f>TrialBalanceB!C30</f>
        <v>0</v>
      </c>
      <c r="D930" s="459"/>
      <c r="E930" s="450"/>
      <c r="F930" s="450"/>
      <c r="G930" s="450"/>
      <c r="H930" s="450"/>
      <c r="I930" s="450"/>
      <c r="J930" s="450"/>
      <c r="M930" s="296">
        <f>-TrialBalanceB!I30</f>
        <v>0</v>
      </c>
      <c r="N930" s="296"/>
      <c r="O930" s="296">
        <f>-TrialBalanceB!K30</f>
        <v>0</v>
      </c>
      <c r="R930" s="348" t="str">
        <f t="shared" si="13"/>
        <v>DELETE</v>
      </c>
    </row>
    <row r="931" spans="2:18" ht="36" customHeight="1" x14ac:dyDescent="0.5">
      <c r="B931" s="316"/>
      <c r="C931" s="450">
        <f>TrialBalanceB!C31</f>
        <v>0</v>
      </c>
      <c r="D931" s="459"/>
      <c r="E931" s="450"/>
      <c r="F931" s="450"/>
      <c r="G931" s="450"/>
      <c r="H931" s="450"/>
      <c r="I931" s="450"/>
      <c r="J931" s="450"/>
      <c r="M931" s="296">
        <f>-TrialBalanceB!I31</f>
        <v>0</v>
      </c>
      <c r="N931" s="296"/>
      <c r="O931" s="296">
        <f>-TrialBalanceB!K31</f>
        <v>0</v>
      </c>
      <c r="R931" s="348" t="str">
        <f t="shared" si="13"/>
        <v>DELETE</v>
      </c>
    </row>
    <row r="932" spans="2:18" ht="36" customHeight="1" x14ac:dyDescent="0.5">
      <c r="B932" s="316"/>
      <c r="C932" s="450">
        <f>TrialBalanceB!C32</f>
        <v>0</v>
      </c>
      <c r="D932" s="459"/>
      <c r="E932" s="450"/>
      <c r="F932" s="450"/>
      <c r="G932" s="450"/>
      <c r="H932" s="450"/>
      <c r="I932" s="450"/>
      <c r="J932" s="450"/>
      <c r="M932" s="296">
        <f>-TrialBalanceB!I32</f>
        <v>0</v>
      </c>
      <c r="N932" s="296"/>
      <c r="O932" s="296">
        <f>-TrialBalanceB!K32</f>
        <v>0</v>
      </c>
      <c r="R932" s="348" t="str">
        <f t="shared" si="13"/>
        <v>DELETE</v>
      </c>
    </row>
    <row r="933" spans="2:18" ht="36" customHeight="1" x14ac:dyDescent="0.5">
      <c r="B933" s="316"/>
      <c r="C933" s="450" t="str">
        <f>TrialBalanceB!C33</f>
        <v>Recoupment of depreciation</v>
      </c>
      <c r="D933" s="459"/>
      <c r="E933" s="450"/>
      <c r="F933" s="450"/>
      <c r="G933" s="450"/>
      <c r="H933" s="450"/>
      <c r="I933" s="450"/>
      <c r="J933" s="450"/>
      <c r="M933" s="296">
        <f>-TrialBalanceB!I33</f>
        <v>0</v>
      </c>
      <c r="N933" s="296"/>
      <c r="O933" s="296">
        <f>-TrialBalanceB!K33</f>
        <v>0</v>
      </c>
      <c r="R933" s="348" t="str">
        <f t="shared" ref="R933" si="14">IF(M933+O933=0,"DELETE"," ")</f>
        <v>DELETE</v>
      </c>
    </row>
    <row r="934" spans="2:18" ht="36" customHeight="1" x14ac:dyDescent="0.5">
      <c r="B934" s="316"/>
      <c r="C934" s="450" t="str">
        <f>TrialBalanceC!C28</f>
        <v xml:space="preserve">Insurance claims - </v>
      </c>
      <c r="D934" s="459"/>
      <c r="E934" s="450"/>
      <c r="F934" s="450"/>
      <c r="G934" s="450"/>
      <c r="H934" s="450"/>
      <c r="I934" s="450"/>
      <c r="J934" s="450"/>
      <c r="M934" s="296">
        <f>-TrialBalanceC!I28</f>
        <v>0</v>
      </c>
      <c r="N934" s="296"/>
      <c r="O934" s="296">
        <f>-TrialBalanceC!K28</f>
        <v>0</v>
      </c>
      <c r="R934" s="348" t="str">
        <f t="shared" si="13"/>
        <v>DELETE</v>
      </c>
    </row>
    <row r="935" spans="2:18" ht="36" customHeight="1" x14ac:dyDescent="0.5">
      <c r="B935" s="316"/>
      <c r="C935" s="450" t="str">
        <f>TrialBalanceC!C29</f>
        <v>Government grants received</v>
      </c>
      <c r="D935" s="459"/>
      <c r="E935" s="450"/>
      <c r="F935" s="450"/>
      <c r="G935" s="450"/>
      <c r="H935" s="450"/>
      <c r="I935" s="450"/>
      <c r="J935" s="450"/>
      <c r="M935" s="296">
        <f>-TrialBalanceC!I29</f>
        <v>0</v>
      </c>
      <c r="N935" s="296"/>
      <c r="O935" s="296">
        <f>-TrialBalanceC!K29</f>
        <v>0</v>
      </c>
      <c r="R935" s="348" t="str">
        <f t="shared" ref="R935:R938" si="15">IF(M935+O935=0,"DELETE"," ")</f>
        <v>DELETE</v>
      </c>
    </row>
    <row r="936" spans="2:18" ht="36" customHeight="1" x14ac:dyDescent="0.5">
      <c r="B936" s="316"/>
      <c r="C936" s="450">
        <f>TrialBalanceC!C30</f>
        <v>0</v>
      </c>
      <c r="D936" s="459"/>
      <c r="E936" s="450"/>
      <c r="F936" s="450"/>
      <c r="G936" s="450"/>
      <c r="H936" s="450"/>
      <c r="I936" s="450"/>
      <c r="J936" s="450"/>
      <c r="M936" s="296">
        <f>-TrialBalanceC!I30</f>
        <v>0</v>
      </c>
      <c r="N936" s="296"/>
      <c r="O936" s="296">
        <f>-TrialBalanceC!K30</f>
        <v>0</v>
      </c>
      <c r="R936" s="348" t="str">
        <f t="shared" si="15"/>
        <v>DELETE</v>
      </c>
    </row>
    <row r="937" spans="2:18" ht="36" customHeight="1" x14ac:dyDescent="0.5">
      <c r="B937" s="316"/>
      <c r="C937" s="450">
        <f>TrialBalanceC!C31</f>
        <v>0</v>
      </c>
      <c r="D937" s="459"/>
      <c r="E937" s="450"/>
      <c r="F937" s="450"/>
      <c r="G937" s="450"/>
      <c r="H937" s="450"/>
      <c r="I937" s="450"/>
      <c r="J937" s="450"/>
      <c r="M937" s="296">
        <f>-TrialBalanceC!I31</f>
        <v>0</v>
      </c>
      <c r="N937" s="296"/>
      <c r="O937" s="296">
        <f>-TrialBalanceC!K31</f>
        <v>0</v>
      </c>
      <c r="R937" s="348" t="str">
        <f t="shared" si="15"/>
        <v>DELETE</v>
      </c>
    </row>
    <row r="938" spans="2:18" ht="36" customHeight="1" x14ac:dyDescent="0.5">
      <c r="B938" s="316"/>
      <c r="C938" s="450">
        <f>TrialBalanceC!C32</f>
        <v>0</v>
      </c>
      <c r="D938" s="459"/>
      <c r="E938" s="450"/>
      <c r="F938" s="450"/>
      <c r="G938" s="450"/>
      <c r="H938" s="450"/>
      <c r="I938" s="450"/>
      <c r="J938" s="450"/>
      <c r="M938" s="296">
        <f>-TrialBalanceC!I32</f>
        <v>0</v>
      </c>
      <c r="N938" s="296"/>
      <c r="O938" s="296">
        <f>-TrialBalanceC!K32</f>
        <v>0</v>
      </c>
      <c r="R938" s="348" t="str">
        <f t="shared" si="15"/>
        <v>DELETE</v>
      </c>
    </row>
    <row r="939" spans="2:18" ht="36" customHeight="1" x14ac:dyDescent="0.5">
      <c r="B939" s="316"/>
      <c r="C939" s="450" t="str">
        <f>TrialBalanceC!C33</f>
        <v>Recoupment of depreciation</v>
      </c>
      <c r="D939" s="459"/>
      <c r="E939" s="450"/>
      <c r="F939" s="450"/>
      <c r="G939" s="450"/>
      <c r="H939" s="450"/>
      <c r="I939" s="450"/>
      <c r="J939" s="450"/>
      <c r="M939" s="296">
        <f>-TrialBalanceC!I33</f>
        <v>0</v>
      </c>
      <c r="N939" s="296"/>
      <c r="O939" s="296">
        <f>-TrialBalanceC!K33</f>
        <v>0</v>
      </c>
      <c r="R939" s="348" t="str">
        <f t="shared" ref="R939" si="16">IF(M939+O939=0,"DELETE"," ")</f>
        <v>DELETE</v>
      </c>
    </row>
    <row r="940" spans="2:18" ht="9" customHeight="1" x14ac:dyDescent="0.5">
      <c r="B940" s="316"/>
      <c r="C940" s="456"/>
      <c r="D940" s="450"/>
      <c r="E940" s="450"/>
      <c r="F940" s="450"/>
      <c r="G940" s="450"/>
      <c r="H940" s="450"/>
      <c r="I940" s="450"/>
      <c r="J940" s="450"/>
      <c r="M940" s="298"/>
      <c r="N940" s="298"/>
      <c r="O940" s="298"/>
      <c r="R940" s="348" t="str">
        <f>R$942</f>
        <v>DELETE</v>
      </c>
    </row>
    <row r="941" spans="2:18" ht="9" customHeight="1" x14ac:dyDescent="0.5">
      <c r="B941" s="316"/>
      <c r="C941" s="456"/>
      <c r="D941" s="450"/>
      <c r="E941" s="450"/>
      <c r="F941" s="450"/>
      <c r="G941" s="450"/>
      <c r="H941" s="450"/>
      <c r="I941" s="450"/>
      <c r="J941" s="450"/>
      <c r="M941" s="296"/>
      <c r="N941" s="296"/>
      <c r="O941" s="296"/>
      <c r="R941" s="348" t="str">
        <f>R$942</f>
        <v>DELETE</v>
      </c>
    </row>
    <row r="942" spans="2:18" ht="36.75" customHeight="1" x14ac:dyDescent="0.5">
      <c r="B942" s="316"/>
      <c r="C942" s="456"/>
      <c r="D942" s="450"/>
      <c r="E942" s="450"/>
      <c r="F942" s="450"/>
      <c r="G942" s="450"/>
      <c r="H942" s="450"/>
      <c r="I942" s="450"/>
      <c r="J942" s="450"/>
      <c r="M942" s="296">
        <f>SUM(M916:M941)</f>
        <v>0</v>
      </c>
      <c r="N942" s="296"/>
      <c r="O942" s="296">
        <f>SUM(O916:O941)</f>
        <v>0</v>
      </c>
      <c r="R942" s="348" t="str">
        <f>IF(M942+O942=0,"DELETE"," ")</f>
        <v>DELETE</v>
      </c>
    </row>
    <row r="943" spans="2:18" ht="9" customHeight="1" thickBot="1" x14ac:dyDescent="0.55000000000000004">
      <c r="B943" s="316"/>
      <c r="C943" s="456"/>
      <c r="D943" s="450"/>
      <c r="E943" s="450"/>
      <c r="F943" s="450"/>
      <c r="G943" s="450"/>
      <c r="H943" s="450"/>
      <c r="I943" s="450"/>
      <c r="J943" s="450"/>
      <c r="M943" s="299"/>
      <c r="N943" s="299"/>
      <c r="O943" s="299"/>
      <c r="R943" s="348" t="str">
        <f>R$942</f>
        <v>DELETE</v>
      </c>
    </row>
    <row r="944" spans="2:18" ht="9" customHeight="1" thickTop="1" x14ac:dyDescent="0.5">
      <c r="B944" s="316"/>
      <c r="C944" s="456"/>
      <c r="D944" s="450"/>
      <c r="E944" s="450"/>
      <c r="F944" s="450"/>
      <c r="G944" s="450"/>
      <c r="H944" s="450"/>
      <c r="I944" s="450"/>
      <c r="J944" s="450"/>
      <c r="M944" s="310"/>
      <c r="N944" s="310"/>
      <c r="O944" s="310"/>
      <c r="R944" s="348" t="str">
        <f>R$942</f>
        <v>DELETE</v>
      </c>
    </row>
    <row r="945" spans="2:26" ht="36" customHeight="1" x14ac:dyDescent="0.5">
      <c r="B945" s="354"/>
      <c r="C945" s="450"/>
      <c r="D945" s="456"/>
      <c r="E945" s="450"/>
      <c r="F945" s="450"/>
      <c r="G945" s="450"/>
      <c r="H945" s="450"/>
      <c r="I945" s="450"/>
      <c r="J945" s="450"/>
      <c r="M945" s="356"/>
      <c r="N945" s="356"/>
      <c r="O945" s="356"/>
      <c r="P945" s="356"/>
      <c r="R945" s="348" t="str">
        <f>R$942</f>
        <v>DELETE</v>
      </c>
    </row>
    <row r="946" spans="2:26" ht="36" customHeight="1" x14ac:dyDescent="0.5">
      <c r="B946" s="354"/>
      <c r="C946" s="456"/>
      <c r="D946" s="450"/>
      <c r="E946" s="450"/>
      <c r="F946" s="450"/>
      <c r="G946" s="450"/>
      <c r="H946" s="450"/>
      <c r="I946" s="450"/>
      <c r="J946" s="450"/>
      <c r="M946" s="356"/>
      <c r="N946" s="356"/>
      <c r="O946" s="356"/>
      <c r="P946" s="356"/>
      <c r="R946" s="348" t="str">
        <f t="shared" ref="R946:R947" si="17">R$942</f>
        <v>DELETE</v>
      </c>
    </row>
    <row r="947" spans="2:26" ht="36" customHeight="1" x14ac:dyDescent="0.5">
      <c r="B947" s="354"/>
      <c r="C947" s="456"/>
      <c r="D947" s="450"/>
      <c r="E947" s="450"/>
      <c r="F947" s="450"/>
      <c r="G947" s="450"/>
      <c r="H947" s="450"/>
      <c r="I947" s="450"/>
      <c r="J947" s="450"/>
      <c r="M947" s="347"/>
      <c r="O947" s="347"/>
      <c r="R947" s="348" t="str">
        <f t="shared" si="17"/>
        <v>DELETE</v>
      </c>
    </row>
    <row r="948" spans="2:26" ht="36" customHeight="1" x14ac:dyDescent="0.5">
      <c r="B948" s="354"/>
      <c r="C948" s="450"/>
      <c r="D948" s="450"/>
      <c r="E948" s="450"/>
      <c r="F948" s="450"/>
      <c r="G948" s="450"/>
      <c r="H948" s="450"/>
      <c r="I948" s="450"/>
      <c r="J948" s="450"/>
      <c r="M948" s="347"/>
      <c r="O948" s="295" t="s">
        <v>89</v>
      </c>
      <c r="Q948" s="292">
        <f>MAX($Q$105:Q947)+1</f>
        <v>27</v>
      </c>
    </row>
    <row r="949" spans="2:26" ht="36" customHeight="1" x14ac:dyDescent="0.5">
      <c r="B949" s="354"/>
      <c r="C949" s="450"/>
      <c r="D949" s="456" t="str">
        <f>Criteria!E9</f>
        <v>HOLDING COMPANY 268 (PROPRIETARY) LIMITED</v>
      </c>
      <c r="E949" s="450"/>
      <c r="F949" s="450"/>
      <c r="G949" s="450"/>
      <c r="H949" s="450"/>
      <c r="I949" s="450"/>
      <c r="J949" s="450"/>
      <c r="M949" s="347"/>
      <c r="O949" s="347"/>
    </row>
    <row r="950" spans="2:26" ht="36" customHeight="1" x14ac:dyDescent="0.5">
      <c r="B950" s="354"/>
      <c r="C950" s="450"/>
      <c r="D950" s="456" t="str">
        <f>Criteria!E10</f>
        <v>CONSOLIDATED FINANCIAL STATEMENTS</v>
      </c>
      <c r="E950" s="450"/>
      <c r="F950" s="450"/>
      <c r="G950" s="450"/>
      <c r="H950" s="450"/>
      <c r="I950" s="450"/>
      <c r="J950" s="450"/>
      <c r="M950" s="347"/>
      <c r="O950" s="347"/>
      <c r="R950" s="348" t="str">
        <f>IF(D950=0,"DELETE"," ")</f>
        <v xml:space="preserve"> </v>
      </c>
    </row>
    <row r="951" spans="2:26" ht="36" customHeight="1" x14ac:dyDescent="0.5">
      <c r="B951" s="354"/>
      <c r="C951" s="450"/>
      <c r="D951" s="450"/>
      <c r="E951" s="450"/>
      <c r="F951" s="450"/>
      <c r="G951" s="450"/>
      <c r="H951" s="450"/>
      <c r="I951" s="450"/>
      <c r="J951" s="450"/>
      <c r="M951" s="347"/>
      <c r="O951" s="347"/>
    </row>
    <row r="952" spans="2:26" ht="36" customHeight="1" x14ac:dyDescent="0.5">
      <c r="B952" s="354"/>
      <c r="C952" s="450"/>
      <c r="D952" s="456" t="s">
        <v>351</v>
      </c>
      <c r="E952" s="450"/>
      <c r="F952" s="450"/>
      <c r="G952" s="450"/>
      <c r="H952" s="450"/>
      <c r="I952" s="450"/>
      <c r="J952" s="450"/>
      <c r="M952" s="347"/>
      <c r="O952" s="347"/>
    </row>
    <row r="953" spans="2:26" ht="36" customHeight="1" x14ac:dyDescent="0.5">
      <c r="B953" s="354"/>
      <c r="C953" s="450"/>
      <c r="D953" s="456" t="str">
        <f>Criteria!E20</f>
        <v>28 FEBRUARY 2025</v>
      </c>
      <c r="E953" s="450"/>
      <c r="F953" s="450"/>
      <c r="G953" s="450"/>
      <c r="H953" s="450"/>
      <c r="I953" s="450"/>
      <c r="J953" s="450" t="s">
        <v>231</v>
      </c>
      <c r="M953" s="347"/>
      <c r="O953" s="347"/>
    </row>
    <row r="954" spans="2:26" ht="36" customHeight="1" x14ac:dyDescent="0.5">
      <c r="B954" s="354"/>
      <c r="C954" s="450"/>
      <c r="D954" s="456"/>
      <c r="E954" s="450"/>
      <c r="F954" s="450"/>
      <c r="G954" s="450"/>
      <c r="H954" s="450"/>
      <c r="I954" s="450"/>
      <c r="J954" s="450"/>
      <c r="M954" s="347"/>
      <c r="O954" s="347"/>
    </row>
    <row r="955" spans="2:26" ht="36" customHeight="1" x14ac:dyDescent="0.5">
      <c r="B955" s="368"/>
      <c r="C955" s="460"/>
      <c r="D955" s="465"/>
      <c r="E955" s="460"/>
      <c r="F955" s="460"/>
      <c r="G955" s="460"/>
      <c r="H955" s="460"/>
      <c r="I955" s="460"/>
      <c r="J955" s="460"/>
      <c r="K955" s="364"/>
      <c r="L955" s="364"/>
      <c r="M955" s="367"/>
      <c r="N955" s="367"/>
      <c r="O955" s="367"/>
      <c r="P955" s="367"/>
      <c r="Q955" s="364"/>
    </row>
    <row r="956" spans="2:26" ht="36" customHeight="1" x14ac:dyDescent="0.5">
      <c r="B956" s="354"/>
      <c r="C956" s="450"/>
      <c r="D956" s="456"/>
      <c r="E956" s="450"/>
      <c r="F956" s="450"/>
      <c r="G956" s="450"/>
      <c r="H956" s="450"/>
      <c r="I956" s="450"/>
      <c r="J956" s="450"/>
      <c r="M956" s="294">
        <f>Criteria!E22</f>
        <v>2025</v>
      </c>
      <c r="N956" s="294"/>
      <c r="O956" s="294">
        <f>Criteria!E27</f>
        <v>2024</v>
      </c>
      <c r="P956" s="356"/>
    </row>
    <row r="957" spans="2:26" ht="36" customHeight="1" x14ac:dyDescent="0.5">
      <c r="B957" s="354"/>
      <c r="C957" s="450"/>
      <c r="D957" s="456"/>
      <c r="E957" s="450"/>
      <c r="F957" s="450"/>
      <c r="G957" s="450"/>
      <c r="H957" s="450"/>
      <c r="I957" s="450"/>
      <c r="J957" s="450"/>
      <c r="M957" s="356"/>
      <c r="N957" s="356"/>
      <c r="O957" s="356"/>
      <c r="P957" s="356"/>
    </row>
    <row r="958" spans="2:26" ht="36" customHeight="1" x14ac:dyDescent="0.5">
      <c r="B958" s="316">
        <f>MAX(B$602:B957)+1</f>
        <v>5</v>
      </c>
      <c r="C958" s="461" t="str">
        <f>IF((Y958+Z958)=3,"Operating profit/(loss)",(IF((Y958+Z958=4),"Operating profit","Operating loss")))</f>
        <v>Operating profit</v>
      </c>
      <c r="D958" s="450"/>
      <c r="E958" s="450"/>
      <c r="F958" s="450"/>
      <c r="G958" s="450"/>
      <c r="H958" s="450"/>
      <c r="I958" s="450"/>
      <c r="J958" s="450"/>
      <c r="M958" s="296"/>
      <c r="N958" s="296"/>
      <c r="O958" s="296"/>
      <c r="Y958" s="331">
        <f>IF(SUM(S421:S435)&lt;0,1,IF(SUM(S421:S435)=0,IF(SUM(U421:U435)&lt;0,1,2),2))</f>
        <v>2</v>
      </c>
      <c r="Z958" s="331">
        <f>IF(SUM(U421:U435)&lt;0,1,IF(SUM(U421:U435)=0,IF(SUM(S421:S435)&lt;0,1,2),2))</f>
        <v>2</v>
      </c>
    </row>
    <row r="959" spans="2:26" ht="36" customHeight="1" x14ac:dyDescent="0.5">
      <c r="B959" s="316"/>
      <c r="C959" s="461"/>
      <c r="D959" s="450"/>
      <c r="E959" s="450"/>
      <c r="F959" s="450"/>
      <c r="G959" s="450"/>
      <c r="H959" s="450"/>
      <c r="I959" s="450"/>
      <c r="J959" s="450"/>
      <c r="M959" s="296"/>
      <c r="N959" s="296"/>
      <c r="O959" s="296"/>
    </row>
    <row r="960" spans="2:26" ht="36" customHeight="1" x14ac:dyDescent="0.5">
      <c r="B960" s="316"/>
      <c r="C960" s="458" t="str">
        <f>IF((Y960+Z960)=3,"The following items have been recognised as expenses in determining operating",(IF((Y960+Z960=4),"The following items have been recognised as expenses in determining operating profit:","The following items have been recognised as expenses in determining operating loss:")))</f>
        <v>The following items have been recognised as expenses in determining operating profit:</v>
      </c>
      <c r="D960" s="459"/>
      <c r="E960" s="450"/>
      <c r="F960" s="450"/>
      <c r="G960" s="450"/>
      <c r="H960" s="450"/>
      <c r="I960" s="450"/>
      <c r="J960" s="450"/>
      <c r="M960" s="296"/>
      <c r="N960" s="296"/>
      <c r="O960" s="296"/>
      <c r="Y960" s="331">
        <f>IF(SUM(S421:S435)&lt;0,1,IF(SUM(S421:S435)=0,IF(SUM(U421:U435)&lt;0,1,2),2))</f>
        <v>2</v>
      </c>
      <c r="Z960" s="331">
        <f>IF(SUM(U421:U435)&lt;0,1,IF(SUM(U421:U435)=0,IF(SUM(S421:S435)&lt;0,1,2),2))</f>
        <v>2</v>
      </c>
    </row>
    <row r="961" spans="2:24" ht="36" customHeight="1" x14ac:dyDescent="0.5">
      <c r="B961" s="316"/>
      <c r="C961" s="458" t="str">
        <f>IF(Y960+Z960=3,"profit/(loss):"," ")</f>
        <v xml:space="preserve"> </v>
      </c>
      <c r="D961" s="459"/>
      <c r="E961" s="450"/>
      <c r="F961" s="450"/>
      <c r="G961" s="450"/>
      <c r="H961" s="450"/>
      <c r="I961" s="450"/>
      <c r="J961" s="450"/>
      <c r="M961" s="296"/>
      <c r="N961" s="296"/>
      <c r="O961" s="296"/>
      <c r="R961" s="348" t="str">
        <f>IF(C961=" ","DELETE"," ")</f>
        <v>DELETE</v>
      </c>
    </row>
    <row r="962" spans="2:24" ht="36" customHeight="1" x14ac:dyDescent="0.5">
      <c r="B962" s="316"/>
      <c r="C962" s="458"/>
      <c r="D962" s="459"/>
      <c r="E962" s="450"/>
      <c r="F962" s="450"/>
      <c r="G962" s="450"/>
      <c r="H962" s="450"/>
      <c r="I962" s="450"/>
      <c r="J962" s="450"/>
      <c r="M962" s="296"/>
      <c r="N962" s="296"/>
      <c r="O962" s="296"/>
    </row>
    <row r="963" spans="2:24" ht="36" customHeight="1" x14ac:dyDescent="0.5">
      <c r="B963" s="316"/>
      <c r="C963" s="450" t="s">
        <v>1214</v>
      </c>
      <c r="D963" s="350"/>
      <c r="E963" s="450"/>
      <c r="F963" s="450"/>
      <c r="G963" s="450"/>
      <c r="H963" s="450"/>
      <c r="I963" s="450"/>
      <c r="J963" s="450"/>
      <c r="M963" s="296">
        <f>SUM(TrialBalance!L12:L26)+SUM(TrialBalanceA!I12:I26)+SUM(TrialBalanceB!I12:I26)+SUM(TrialBalanceC!I12:I26)</f>
        <v>0</v>
      </c>
      <c r="N963" s="296"/>
      <c r="O963" s="296">
        <f>SUM(TrialBalance!N12:N26)+SUM(TrialBalanceA!K12:K26)+SUM(TrialBalanceB!K12:K26)+SUM(TrialBalanceC!K12:K26)</f>
        <v>0</v>
      </c>
      <c r="R963" s="348" t="str">
        <f>IF(M963+O963=0,"DELETE"," ")</f>
        <v>DELETE</v>
      </c>
      <c r="V963" s="331" t="b">
        <f>M963=-M423</f>
        <v>1</v>
      </c>
      <c r="X963" s="331" t="b">
        <f>O963=-O423</f>
        <v>1</v>
      </c>
    </row>
    <row r="964" spans="2:24" ht="36" customHeight="1" x14ac:dyDescent="0.5">
      <c r="B964" s="316"/>
      <c r="C964" s="450"/>
      <c r="D964" s="350"/>
      <c r="E964" s="450"/>
      <c r="F964" s="450"/>
      <c r="G964" s="450"/>
      <c r="H964" s="450"/>
      <c r="I964" s="450"/>
      <c r="J964" s="450"/>
      <c r="M964" s="296"/>
      <c r="N964" s="296"/>
      <c r="O964" s="296"/>
      <c r="R964" s="348" t="str">
        <f>R963</f>
        <v>DELETE</v>
      </c>
    </row>
    <row r="965" spans="2:24" ht="36" customHeight="1" x14ac:dyDescent="0.5">
      <c r="B965" s="316"/>
      <c r="C965" s="450" t="s">
        <v>1210</v>
      </c>
      <c r="D965" s="350"/>
      <c r="E965" s="450"/>
      <c r="F965" s="450"/>
      <c r="G965" s="450"/>
      <c r="H965" s="450"/>
      <c r="I965" s="450"/>
      <c r="J965" s="450"/>
      <c r="M965" s="296">
        <f>TrialBalance!L65+TrialBalanceA!I65+TrialBalanceB!I65+TrialBalanceC!I65</f>
        <v>0</v>
      </c>
      <c r="N965" s="296"/>
      <c r="O965" s="296">
        <f>TrialBalance!N65+TrialBalanceA!K65+TrialBalanceB!K65+TrialBalanceC!K65</f>
        <v>0</v>
      </c>
      <c r="R965" s="348" t="str">
        <f>IF(M965+O965=0,"DELETE"," ")</f>
        <v>DELETE</v>
      </c>
    </row>
    <row r="966" spans="2:24" ht="36" customHeight="1" x14ac:dyDescent="0.5">
      <c r="B966" s="316"/>
      <c r="C966" s="450"/>
      <c r="D966" s="350"/>
      <c r="E966" s="450"/>
      <c r="F966" s="450"/>
      <c r="G966" s="450"/>
      <c r="H966" s="450"/>
      <c r="I966" s="450"/>
      <c r="J966" s="450"/>
      <c r="M966" s="296"/>
      <c r="N966" s="296"/>
      <c r="O966" s="296"/>
      <c r="R966" s="348" t="str">
        <f>R965</f>
        <v>DELETE</v>
      </c>
    </row>
    <row r="967" spans="2:24" ht="36" customHeight="1" x14ac:dyDescent="0.5">
      <c r="B967" s="316"/>
      <c r="C967" s="450" t="s">
        <v>921</v>
      </c>
      <c r="D967" s="350"/>
      <c r="E967" s="450"/>
      <c r="F967" s="450"/>
      <c r="G967" s="450"/>
      <c r="H967" s="450"/>
      <c r="I967" s="450"/>
      <c r="J967" s="450"/>
      <c r="M967" s="296">
        <f>TrialBalance!L156+TrialBalanceA!I156+TrialBalanceB!I156+TrialBalanceC!I156</f>
        <v>0</v>
      </c>
      <c r="N967" s="296"/>
      <c r="O967" s="296">
        <f>TrialBalance!N156+TrialBalanceA!K156+TrialBalanceB!K156+TrialBalanceC!K156</f>
        <v>0</v>
      </c>
      <c r="R967" s="348" t="str">
        <f>IF(M967+O967=0,"DELETE"," ")</f>
        <v>DELETE</v>
      </c>
    </row>
    <row r="968" spans="2:24" ht="36" customHeight="1" x14ac:dyDescent="0.5">
      <c r="B968" s="316"/>
      <c r="C968" s="450"/>
      <c r="D968" s="350"/>
      <c r="E968" s="450"/>
      <c r="F968" s="450"/>
      <c r="G968" s="450"/>
      <c r="H968" s="450"/>
      <c r="I968" s="450"/>
      <c r="J968" s="450"/>
      <c r="M968" s="296"/>
      <c r="N968" s="296"/>
      <c r="O968" s="296"/>
      <c r="R968" s="348" t="str">
        <f>R967</f>
        <v>DELETE</v>
      </c>
    </row>
    <row r="969" spans="2:24" ht="36" customHeight="1" x14ac:dyDescent="0.5">
      <c r="B969" s="316"/>
      <c r="C969" s="450" t="s">
        <v>1215</v>
      </c>
      <c r="D969" s="350"/>
      <c r="E969" s="450"/>
      <c r="F969" s="450"/>
      <c r="G969" s="450"/>
      <c r="H969" s="450"/>
      <c r="I969" s="450"/>
      <c r="J969" s="450"/>
      <c r="M969" s="296">
        <f>SUM(TrialBalance!L140:L141)+SUM(TrialBalanceA!I140:I141)+SUM(TrialBalanceB!I140:I141)+SUM(TrialBalanceC!I140:I141)</f>
        <v>0</v>
      </c>
      <c r="N969" s="296"/>
      <c r="O969" s="296">
        <f>SUM(TrialBalance!N140:N141)+SUM(TrialBalanceA!K140:K141)+SUM(TrialBalanceB!K140:K141)+SUM(TrialBalanceC!K140:K141)</f>
        <v>0</v>
      </c>
      <c r="R969" s="348" t="str">
        <f>IF(M969+O969=0,"DELETE"," ")</f>
        <v>DELETE</v>
      </c>
    </row>
    <row r="970" spans="2:24" ht="36" customHeight="1" x14ac:dyDescent="0.5">
      <c r="B970" s="316"/>
      <c r="C970" s="450"/>
      <c r="D970" s="350"/>
      <c r="E970" s="450"/>
      <c r="F970" s="450"/>
      <c r="G970" s="450"/>
      <c r="H970" s="450"/>
      <c r="I970" s="450"/>
      <c r="J970" s="450"/>
      <c r="M970" s="296"/>
      <c r="N970" s="296"/>
      <c r="O970" s="296"/>
      <c r="R970" s="348" t="str">
        <f>R969</f>
        <v>DELETE</v>
      </c>
    </row>
    <row r="971" spans="2:24" ht="36" customHeight="1" x14ac:dyDescent="0.5">
      <c r="B971" s="316"/>
      <c r="C971" s="450" t="s">
        <v>1212</v>
      </c>
      <c r="D971" s="350"/>
      <c r="E971" s="450"/>
      <c r="F971" s="450"/>
      <c r="G971" s="450"/>
      <c r="H971" s="450"/>
      <c r="I971" s="450"/>
      <c r="J971" s="450"/>
      <c r="M971" s="296">
        <f>TrialBalance!L108+TrialBalanceA!I108+TrialBalanceB!I108+TrialBalanceC!I108</f>
        <v>0</v>
      </c>
      <c r="N971" s="296"/>
      <c r="O971" s="296">
        <f>TrialBalance!N108+TrialBalanceA!K108+TrialBalanceB!K108+TrialBalanceC!K108</f>
        <v>0</v>
      </c>
      <c r="R971" s="348" t="str">
        <f>IF(M971+O971=0,"DELETE"," ")</f>
        <v>DELETE</v>
      </c>
    </row>
    <row r="972" spans="2:24" ht="36" customHeight="1" x14ac:dyDescent="0.5">
      <c r="B972" s="316"/>
      <c r="C972" s="458"/>
      <c r="D972" s="459"/>
      <c r="E972" s="450"/>
      <c r="F972" s="450"/>
      <c r="G972" s="450"/>
      <c r="H972" s="450"/>
      <c r="I972" s="450"/>
      <c r="J972" s="450"/>
      <c r="M972" s="296"/>
      <c r="N972" s="296"/>
      <c r="O972" s="296"/>
      <c r="R972" s="348" t="str">
        <f>R971</f>
        <v>DELETE</v>
      </c>
    </row>
    <row r="973" spans="2:24" ht="36" customHeight="1" x14ac:dyDescent="0.5">
      <c r="B973" s="316"/>
      <c r="C973" s="458"/>
      <c r="D973" s="459"/>
      <c r="E973" s="450"/>
      <c r="F973" s="450"/>
      <c r="G973" s="450"/>
      <c r="H973" s="450"/>
      <c r="I973" s="450"/>
      <c r="J973" s="450"/>
      <c r="M973" s="296"/>
      <c r="N973" s="296"/>
      <c r="O973" s="296"/>
      <c r="R973" s="348" t="str">
        <f>R$975</f>
        <v>DELETE</v>
      </c>
    </row>
    <row r="974" spans="2:24" ht="36" customHeight="1" x14ac:dyDescent="0.5">
      <c r="B974" s="316"/>
      <c r="C974" s="458"/>
      <c r="D974" s="459"/>
      <c r="E974" s="450"/>
      <c r="F974" s="450"/>
      <c r="G974" s="450"/>
      <c r="H974" s="450"/>
      <c r="I974" s="450"/>
      <c r="J974" s="450"/>
      <c r="M974" s="296"/>
      <c r="N974" s="296"/>
      <c r="O974" s="296"/>
      <c r="R974" s="348" t="str">
        <f>R$975</f>
        <v>DELETE</v>
      </c>
    </row>
    <row r="975" spans="2:24" ht="36" customHeight="1" x14ac:dyDescent="0.5">
      <c r="B975" s="354"/>
      <c r="C975" s="450"/>
      <c r="D975" s="450"/>
      <c r="E975" s="450"/>
      <c r="F975" s="450"/>
      <c r="G975" s="450"/>
      <c r="H975" s="450"/>
      <c r="I975" s="450"/>
      <c r="J975" s="450"/>
      <c r="M975" s="347"/>
      <c r="O975" s="295" t="s">
        <v>89</v>
      </c>
      <c r="Q975" s="292">
        <f>MAX($Q$105:Q974)+1</f>
        <v>28</v>
      </c>
      <c r="R975" s="348" t="str">
        <f>IF(SUM(M963:M971)+SUM(O963:O971)=0,"DELETE"," ")</f>
        <v>DELETE</v>
      </c>
    </row>
    <row r="976" spans="2:24" ht="36" customHeight="1" x14ac:dyDescent="0.5">
      <c r="B976" s="354"/>
      <c r="C976" s="450"/>
      <c r="D976" s="456" t="str">
        <f>Criteria!E9</f>
        <v>HOLDING COMPANY 268 (PROPRIETARY) LIMITED</v>
      </c>
      <c r="E976" s="450"/>
      <c r="F976" s="450"/>
      <c r="G976" s="450"/>
      <c r="H976" s="450"/>
      <c r="I976" s="450"/>
      <c r="J976" s="450"/>
      <c r="M976" s="347"/>
      <c r="O976" s="347"/>
      <c r="R976" s="348" t="str">
        <f t="shared" ref="R976:R984" si="18">R$975</f>
        <v>DELETE</v>
      </c>
    </row>
    <row r="977" spans="2:18" ht="36" customHeight="1" x14ac:dyDescent="0.5">
      <c r="B977" s="354"/>
      <c r="C977" s="450"/>
      <c r="D977" s="456" t="str">
        <f>Criteria!E10</f>
        <v>CONSOLIDATED FINANCIAL STATEMENTS</v>
      </c>
      <c r="E977" s="450"/>
      <c r="F977" s="450"/>
      <c r="G977" s="450"/>
      <c r="H977" s="450"/>
      <c r="I977" s="450"/>
      <c r="J977" s="450"/>
      <c r="M977" s="347"/>
      <c r="O977" s="347"/>
      <c r="R977" s="348" t="str">
        <f>IF(R$975="DELETE","DELETE",IF(D977=0,"DELETE"," "))</f>
        <v>DELETE</v>
      </c>
    </row>
    <row r="978" spans="2:18" ht="36" customHeight="1" x14ac:dyDescent="0.5">
      <c r="B978" s="354"/>
      <c r="C978" s="450"/>
      <c r="D978" s="450"/>
      <c r="E978" s="450"/>
      <c r="F978" s="450"/>
      <c r="G978" s="450"/>
      <c r="H978" s="450"/>
      <c r="I978" s="450"/>
      <c r="J978" s="450"/>
      <c r="M978" s="347"/>
      <c r="O978" s="347"/>
      <c r="R978" s="348" t="str">
        <f t="shared" si="18"/>
        <v>DELETE</v>
      </c>
    </row>
    <row r="979" spans="2:18" ht="36" customHeight="1" x14ac:dyDescent="0.5">
      <c r="B979" s="354"/>
      <c r="C979" s="450"/>
      <c r="D979" s="456" t="s">
        <v>351</v>
      </c>
      <c r="E979" s="450"/>
      <c r="F979" s="450"/>
      <c r="G979" s="450"/>
      <c r="H979" s="450"/>
      <c r="I979" s="450"/>
      <c r="J979" s="450"/>
      <c r="M979" s="347"/>
      <c r="O979" s="347"/>
      <c r="R979" s="348" t="str">
        <f t="shared" si="18"/>
        <v>DELETE</v>
      </c>
    </row>
    <row r="980" spans="2:18" ht="36" customHeight="1" x14ac:dyDescent="0.5">
      <c r="B980" s="354"/>
      <c r="C980" s="450"/>
      <c r="D980" s="456" t="str">
        <f>Criteria!E20</f>
        <v>28 FEBRUARY 2025</v>
      </c>
      <c r="E980" s="450"/>
      <c r="F980" s="450"/>
      <c r="G980" s="450"/>
      <c r="H980" s="450"/>
      <c r="I980" s="450"/>
      <c r="J980" s="450" t="s">
        <v>231</v>
      </c>
      <c r="M980" s="347"/>
      <c r="O980" s="347"/>
      <c r="R980" s="348" t="str">
        <f t="shared" si="18"/>
        <v>DELETE</v>
      </c>
    </row>
    <row r="981" spans="2:18" ht="36" customHeight="1" x14ac:dyDescent="0.5">
      <c r="B981" s="354"/>
      <c r="C981" s="450"/>
      <c r="D981" s="456"/>
      <c r="E981" s="450"/>
      <c r="F981" s="450"/>
      <c r="G981" s="450"/>
      <c r="H981" s="450"/>
      <c r="I981" s="450"/>
      <c r="J981" s="450"/>
      <c r="M981" s="347"/>
      <c r="O981" s="347"/>
      <c r="R981" s="348" t="str">
        <f t="shared" si="18"/>
        <v>DELETE</v>
      </c>
    </row>
    <row r="982" spans="2:18" ht="36" customHeight="1" x14ac:dyDescent="0.5">
      <c r="B982" s="368"/>
      <c r="C982" s="460"/>
      <c r="D982" s="465"/>
      <c r="E982" s="460"/>
      <c r="F982" s="460"/>
      <c r="G982" s="460"/>
      <c r="H982" s="460"/>
      <c r="I982" s="460"/>
      <c r="J982" s="460"/>
      <c r="K982" s="364"/>
      <c r="L982" s="364"/>
      <c r="M982" s="367"/>
      <c r="N982" s="367"/>
      <c r="O982" s="367"/>
      <c r="P982" s="367"/>
      <c r="Q982" s="364"/>
      <c r="R982" s="348" t="str">
        <f t="shared" si="18"/>
        <v>DELETE</v>
      </c>
    </row>
    <row r="983" spans="2:18" ht="36" customHeight="1" x14ac:dyDescent="0.5">
      <c r="B983" s="354"/>
      <c r="C983" s="450"/>
      <c r="D983" s="456"/>
      <c r="E983" s="450"/>
      <c r="F983" s="450"/>
      <c r="G983" s="450"/>
      <c r="H983" s="450"/>
      <c r="I983" s="450"/>
      <c r="J983" s="450"/>
      <c r="M983" s="294">
        <f>Criteria!E22</f>
        <v>2025</v>
      </c>
      <c r="N983" s="294"/>
      <c r="O983" s="294">
        <f>Criteria!E27</f>
        <v>2024</v>
      </c>
      <c r="P983" s="356"/>
      <c r="R983" s="348" t="str">
        <f t="shared" si="18"/>
        <v>DELETE</v>
      </c>
    </row>
    <row r="984" spans="2:18" ht="36" customHeight="1" x14ac:dyDescent="0.5">
      <c r="B984" s="316"/>
      <c r="C984" s="458"/>
      <c r="D984" s="459"/>
      <c r="E984" s="450"/>
      <c r="F984" s="450"/>
      <c r="G984" s="450"/>
      <c r="H984" s="450"/>
      <c r="I984" s="450"/>
      <c r="J984" s="450"/>
      <c r="M984" s="296"/>
      <c r="N984" s="296"/>
      <c r="O984" s="296"/>
      <c r="R984" s="348" t="str">
        <f t="shared" si="18"/>
        <v>DELETE</v>
      </c>
    </row>
    <row r="985" spans="2:18" ht="36" customHeight="1" x14ac:dyDescent="0.5">
      <c r="B985" s="316"/>
      <c r="C985" s="456" t="str">
        <f>IF(MAX(Criteria!I38:I42)&gt;1,"Directors' remuneration","Director's remuneration")</f>
        <v>Directors' remuneration</v>
      </c>
      <c r="D985" s="350"/>
      <c r="E985" s="450"/>
      <c r="F985" s="450"/>
      <c r="G985" s="450"/>
      <c r="H985" s="450"/>
      <c r="I985" s="450"/>
      <c r="J985" s="450"/>
      <c r="M985" s="296"/>
      <c r="N985" s="296"/>
      <c r="O985" s="296"/>
    </row>
    <row r="986" spans="2:18" ht="36" customHeight="1" x14ac:dyDescent="0.5">
      <c r="B986" s="316"/>
      <c r="C986" s="456"/>
      <c r="D986" s="350"/>
      <c r="E986" s="450"/>
      <c r="F986" s="450"/>
      <c r="G986" s="450"/>
      <c r="H986" s="450"/>
      <c r="I986" s="450"/>
      <c r="J986" s="450"/>
      <c r="M986" s="296"/>
      <c r="N986" s="296"/>
      <c r="O986" s="296"/>
    </row>
    <row r="987" spans="2:18" ht="36" customHeight="1" x14ac:dyDescent="0.5">
      <c r="B987" s="316"/>
      <c r="C987" s="466" t="str">
        <f>TrialBalance!C113</f>
        <v>A Director</v>
      </c>
      <c r="D987" s="350"/>
      <c r="E987" s="450"/>
      <c r="F987" s="450"/>
      <c r="G987" s="450"/>
      <c r="H987" s="450"/>
      <c r="I987" s="450"/>
      <c r="J987" s="450"/>
      <c r="M987" s="296">
        <f>TrialBalance!L113+TrialBalanceA!I113+TrialBalanceB!I113+TrialBalanceC!I113</f>
        <v>0</v>
      </c>
      <c r="N987" s="296"/>
      <c r="O987" s="296">
        <f>TrialBalance!N113+TrialBalanceA!K113+TrialBalanceB!K113+TrialBalanceC!K113</f>
        <v>0</v>
      </c>
      <c r="R987" s="348" t="str">
        <f>IF(M987+O987=0,"DELETE"," ")</f>
        <v>DELETE</v>
      </c>
    </row>
    <row r="988" spans="2:18" ht="36" customHeight="1" x14ac:dyDescent="0.5">
      <c r="B988" s="316"/>
      <c r="C988" s="466" t="str">
        <f>TrialBalance!C114</f>
        <v>B Director</v>
      </c>
      <c r="D988" s="350"/>
      <c r="E988" s="450"/>
      <c r="F988" s="450"/>
      <c r="G988" s="450"/>
      <c r="H988" s="450"/>
      <c r="I988" s="450"/>
      <c r="J988" s="450"/>
      <c r="M988" s="296">
        <f>TrialBalance!L114+TrialBalanceA!I114+TrialBalanceB!I114+TrialBalanceC!I114</f>
        <v>0</v>
      </c>
      <c r="N988" s="296"/>
      <c r="O988" s="296">
        <f>TrialBalance!N114+TrialBalanceA!K114+TrialBalanceB!K114+TrialBalanceC!K114</f>
        <v>0</v>
      </c>
      <c r="R988" s="348" t="str">
        <f>IF(M988+O988=0,"DELETE"," ")</f>
        <v>DELETE</v>
      </c>
    </row>
    <row r="989" spans="2:18" ht="36" customHeight="1" x14ac:dyDescent="0.5">
      <c r="B989" s="316"/>
      <c r="C989" s="466">
        <f>TrialBalance!C115</f>
        <v>0</v>
      </c>
      <c r="D989" s="350"/>
      <c r="E989" s="450"/>
      <c r="F989" s="450"/>
      <c r="G989" s="450"/>
      <c r="H989" s="450"/>
      <c r="I989" s="450"/>
      <c r="J989" s="450"/>
      <c r="M989" s="296">
        <f>TrialBalance!L115+TrialBalanceA!I115+TrialBalanceB!I115+TrialBalanceC!I115</f>
        <v>0</v>
      </c>
      <c r="N989" s="296"/>
      <c r="O989" s="296">
        <f>TrialBalance!N115+TrialBalanceA!K115+TrialBalanceB!K115+TrialBalanceC!K115</f>
        <v>0</v>
      </c>
      <c r="R989" s="348" t="str">
        <f>IF(M989+O989=0,"DELETE"," ")</f>
        <v>DELETE</v>
      </c>
    </row>
    <row r="990" spans="2:18" ht="36" customHeight="1" x14ac:dyDescent="0.5">
      <c r="B990" s="316"/>
      <c r="C990" s="466">
        <f>TrialBalance!C116</f>
        <v>0</v>
      </c>
      <c r="D990" s="350"/>
      <c r="E990" s="450"/>
      <c r="F990" s="450"/>
      <c r="G990" s="450"/>
      <c r="H990" s="450"/>
      <c r="I990" s="450"/>
      <c r="J990" s="450"/>
      <c r="M990" s="296">
        <f>TrialBalance!L116+TrialBalanceA!I116+TrialBalanceB!I116+TrialBalanceC!I116</f>
        <v>0</v>
      </c>
      <c r="N990" s="296"/>
      <c r="O990" s="296">
        <f>TrialBalance!N116+TrialBalanceA!K116+TrialBalanceB!K116+TrialBalanceC!K116</f>
        <v>0</v>
      </c>
      <c r="R990" s="348" t="str">
        <f>IF(M990+O990=0,"DELETE"," ")</f>
        <v>DELETE</v>
      </c>
    </row>
    <row r="991" spans="2:18" ht="36" customHeight="1" x14ac:dyDescent="0.5">
      <c r="B991" s="316"/>
      <c r="C991" s="466">
        <f>TrialBalance!C117</f>
        <v>0</v>
      </c>
      <c r="D991" s="350"/>
      <c r="E991" s="450"/>
      <c r="F991" s="450"/>
      <c r="G991" s="450"/>
      <c r="H991" s="450"/>
      <c r="I991" s="450"/>
      <c r="J991" s="450"/>
      <c r="M991" s="296">
        <f>TrialBalance!L117+TrialBalanceA!I117+TrialBalanceB!I117+TrialBalanceC!I117</f>
        <v>0</v>
      </c>
      <c r="N991" s="296"/>
      <c r="O991" s="296">
        <f>TrialBalance!N117+TrialBalanceA!K117+TrialBalanceB!K117+TrialBalanceC!K117</f>
        <v>0</v>
      </c>
      <c r="R991" s="348" t="str">
        <f>IF(M991+O991=0,"DELETE"," ")</f>
        <v>DELETE</v>
      </c>
    </row>
    <row r="992" spans="2:18" ht="9" customHeight="1" x14ac:dyDescent="0.5">
      <c r="B992" s="316"/>
      <c r="C992" s="374"/>
      <c r="D992" s="450"/>
      <c r="E992" s="450"/>
      <c r="F992" s="450"/>
      <c r="G992" s="450"/>
      <c r="H992" s="450"/>
      <c r="I992" s="450"/>
      <c r="J992" s="450"/>
      <c r="M992" s="298"/>
      <c r="N992" s="298"/>
      <c r="O992" s="298"/>
      <c r="R992" s="348" t="str">
        <f>R994</f>
        <v>DELETE</v>
      </c>
    </row>
    <row r="993" spans="2:24" ht="9" customHeight="1" x14ac:dyDescent="0.5">
      <c r="B993" s="316"/>
      <c r="C993" s="374"/>
      <c r="D993" s="450"/>
      <c r="E993" s="450"/>
      <c r="F993" s="450"/>
      <c r="G993" s="450"/>
      <c r="H993" s="450"/>
      <c r="I993" s="450"/>
      <c r="J993" s="450"/>
      <c r="M993" s="296"/>
      <c r="N993" s="296"/>
      <c r="O993" s="296"/>
      <c r="R993" s="348" t="str">
        <f>R994</f>
        <v>DELETE</v>
      </c>
    </row>
    <row r="994" spans="2:24" ht="36.75" customHeight="1" x14ac:dyDescent="0.5">
      <c r="B994" s="316"/>
      <c r="C994" s="374"/>
      <c r="D994" s="450"/>
      <c r="E994" s="450"/>
      <c r="F994" s="450"/>
      <c r="G994" s="450"/>
      <c r="H994" s="450"/>
      <c r="I994" s="450"/>
      <c r="J994" s="450"/>
      <c r="M994" s="296">
        <f>SUM(M987:M993)</f>
        <v>0</v>
      </c>
      <c r="N994" s="296"/>
      <c r="O994" s="296">
        <f>SUM(O987:O993)</f>
        <v>0</v>
      </c>
      <c r="R994" s="348" t="str">
        <f>IF(M994+O994=0,"DELETE"," ")</f>
        <v>DELETE</v>
      </c>
      <c r="V994" s="331" t="b">
        <f>M994=SUM(TrialBalance!L113:L117)+SUM(TrialBalanceA!I113:I117)+SUM(TrialBalanceB!I113:I117)+SUM(TrialBalanceC!I113:I117)</f>
        <v>1</v>
      </c>
      <c r="X994" s="331" t="b">
        <f>O994=SUM(TrialBalance!N113:N117)+SUM(TrialBalanceA!K113:K117)+SUM(TrialBalanceB!K113:K117)+SUM(TrialBalanceC!K113:K117)</f>
        <v>1</v>
      </c>
    </row>
    <row r="995" spans="2:24" ht="9" customHeight="1" thickBot="1" x14ac:dyDescent="0.55000000000000004">
      <c r="B995" s="316"/>
      <c r="C995" s="374"/>
      <c r="D995" s="450"/>
      <c r="E995" s="450"/>
      <c r="F995" s="450"/>
      <c r="G995" s="450"/>
      <c r="H995" s="450"/>
      <c r="I995" s="450"/>
      <c r="J995" s="450"/>
      <c r="M995" s="299"/>
      <c r="N995" s="299"/>
      <c r="O995" s="299"/>
      <c r="R995" s="348" t="str">
        <f>R994</f>
        <v>DELETE</v>
      </c>
    </row>
    <row r="996" spans="2:24" ht="9" customHeight="1" thickTop="1" x14ac:dyDescent="0.5">
      <c r="B996" s="316"/>
      <c r="C996" s="374"/>
      <c r="D996" s="450"/>
      <c r="E996" s="450"/>
      <c r="F996" s="450"/>
      <c r="G996" s="450"/>
      <c r="H996" s="450"/>
      <c r="I996" s="450"/>
      <c r="J996" s="450"/>
      <c r="M996" s="310"/>
      <c r="N996" s="310"/>
      <c r="O996" s="310"/>
      <c r="R996" s="348" t="str">
        <f>R995</f>
        <v>DELETE</v>
      </c>
    </row>
    <row r="997" spans="2:24" ht="36" customHeight="1" x14ac:dyDescent="0.5">
      <c r="B997" s="316"/>
      <c r="C997" s="374"/>
      <c r="D997" s="450"/>
      <c r="E997" s="450"/>
      <c r="F997" s="450"/>
      <c r="G997" s="450"/>
      <c r="H997" s="450"/>
      <c r="I997" s="450"/>
      <c r="J997" s="450"/>
      <c r="M997" s="296"/>
      <c r="N997" s="296"/>
      <c r="O997" s="296"/>
      <c r="R997" s="348" t="str">
        <f>R994</f>
        <v>DELETE</v>
      </c>
    </row>
    <row r="998" spans="2:24" ht="36" customHeight="1" x14ac:dyDescent="0.5">
      <c r="B998" s="316"/>
      <c r="C998" s="450" t="str">
        <f>IF(SUM(TrialBalance!L113:L117)+SUM(TrialBalance!N113:N117)+SUM(TrialBalanceA!I113:I117)+SUM(TrialBalanceA!K113:K117)+SUM(TrialBalanceB!I113:I117)+SUM(TrialBalanceB!K113:K117)+SUM(TrialBalanceC!I113:I117)+SUM(TrialBalanceC!K113:K117)&gt;0," ",IF(MAX(Criteria!I38:I42)&gt;1,"No remuneration was paid to the directors during the periods under review.","No remuneration was paid to the director during the periods under review."))</f>
        <v>No remuneration was paid to the directors during the periods under review.</v>
      </c>
      <c r="D998" s="350"/>
      <c r="E998" s="450"/>
      <c r="F998" s="450"/>
      <c r="G998" s="450"/>
      <c r="H998" s="450"/>
      <c r="I998" s="450"/>
      <c r="J998" s="450"/>
      <c r="M998" s="296"/>
      <c r="N998" s="296"/>
      <c r="O998" s="296"/>
      <c r="R998" s="348" t="str">
        <f>IF(C998=" ","DELETE"," ")</f>
        <v xml:space="preserve"> </v>
      </c>
    </row>
    <row r="999" spans="2:24" ht="36" customHeight="1" x14ac:dyDescent="0.5">
      <c r="B999" s="316"/>
      <c r="C999" s="374"/>
      <c r="D999" s="450"/>
      <c r="E999" s="450"/>
      <c r="F999" s="450"/>
      <c r="G999" s="450"/>
      <c r="H999" s="450"/>
      <c r="I999" s="450"/>
      <c r="J999" s="450"/>
      <c r="M999" s="296"/>
      <c r="N999" s="296"/>
      <c r="O999" s="296"/>
    </row>
    <row r="1000" spans="2:24" ht="36" customHeight="1" x14ac:dyDescent="0.5">
      <c r="B1000" s="354"/>
      <c r="D1000" s="456"/>
      <c r="E1000" s="450"/>
      <c r="F1000" s="450"/>
      <c r="G1000" s="450"/>
      <c r="H1000" s="450"/>
      <c r="I1000" s="450"/>
      <c r="J1000" s="450"/>
      <c r="M1000" s="356"/>
      <c r="N1000" s="356"/>
      <c r="O1000" s="356"/>
      <c r="P1000" s="356"/>
    </row>
    <row r="1001" spans="2:24" ht="36" customHeight="1" x14ac:dyDescent="0.5">
      <c r="B1001" s="354"/>
      <c r="D1001" s="456"/>
      <c r="E1001" s="450"/>
      <c r="F1001" s="450"/>
      <c r="G1001" s="450"/>
      <c r="H1001" s="450"/>
      <c r="I1001" s="450"/>
      <c r="J1001" s="450"/>
      <c r="M1001" s="356"/>
      <c r="N1001" s="356"/>
      <c r="O1001" s="356"/>
      <c r="P1001" s="356"/>
    </row>
    <row r="1002" spans="2:24" ht="36" customHeight="1" x14ac:dyDescent="0.5">
      <c r="B1002" s="354"/>
      <c r="D1002" s="456"/>
      <c r="E1002" s="450"/>
      <c r="F1002" s="450"/>
      <c r="G1002" s="450"/>
      <c r="H1002" s="450"/>
      <c r="I1002" s="450"/>
      <c r="J1002" s="450"/>
      <c r="M1002" s="347"/>
      <c r="O1002" s="347"/>
    </row>
    <row r="1003" spans="2:24" ht="36" customHeight="1" x14ac:dyDescent="0.5">
      <c r="B1003" s="316"/>
      <c r="C1003" s="374"/>
      <c r="D1003" s="450"/>
      <c r="E1003" s="450"/>
      <c r="F1003" s="450"/>
      <c r="G1003" s="450"/>
      <c r="H1003" s="450"/>
      <c r="I1003" s="450"/>
      <c r="J1003" s="450"/>
      <c r="M1003" s="296"/>
      <c r="N1003" s="296"/>
      <c r="O1003" s="296" t="s">
        <v>89</v>
      </c>
      <c r="Q1003" s="292">
        <f>MAX($Q$105:Q1002)+1</f>
        <v>29</v>
      </c>
      <c r="R1003" s="348" t="str">
        <f>R$1029</f>
        <v>DELETE</v>
      </c>
    </row>
    <row r="1004" spans="2:24" ht="36" customHeight="1" x14ac:dyDescent="0.5">
      <c r="B1004" s="354"/>
      <c r="C1004" s="375"/>
      <c r="D1004" s="456" t="str">
        <f>Criteria!E9</f>
        <v>HOLDING COMPANY 268 (PROPRIETARY) LIMITED</v>
      </c>
      <c r="E1004" s="450"/>
      <c r="F1004" s="450"/>
      <c r="G1004" s="450"/>
      <c r="H1004" s="450"/>
      <c r="I1004" s="450"/>
      <c r="J1004" s="450"/>
      <c r="M1004" s="351"/>
      <c r="N1004" s="351"/>
      <c r="O1004" s="347"/>
      <c r="R1004" s="348" t="str">
        <f>R$1029</f>
        <v>DELETE</v>
      </c>
    </row>
    <row r="1005" spans="2:24" ht="36" customHeight="1" x14ac:dyDescent="0.5">
      <c r="B1005" s="354"/>
      <c r="C1005" s="375"/>
      <c r="D1005" s="456" t="str">
        <f>Criteria!E10</f>
        <v>CONSOLIDATED FINANCIAL STATEMENTS</v>
      </c>
      <c r="E1005" s="450"/>
      <c r="F1005" s="450"/>
      <c r="G1005" s="450"/>
      <c r="H1005" s="450"/>
      <c r="I1005" s="450"/>
      <c r="J1005" s="450"/>
      <c r="M1005" s="351"/>
      <c r="N1005" s="351"/>
      <c r="O1005" s="351"/>
      <c r="R1005" s="348" t="str">
        <f>IF(R$1029="DELETE","DELETE",IF(D1005=0,"DELETE"," "))</f>
        <v>DELETE</v>
      </c>
    </row>
    <row r="1006" spans="2:24" ht="36" customHeight="1" x14ac:dyDescent="0.5">
      <c r="B1006" s="354"/>
      <c r="C1006" s="375"/>
      <c r="D1006" s="450"/>
      <c r="E1006" s="450"/>
      <c r="F1006" s="450"/>
      <c r="G1006" s="450"/>
      <c r="H1006" s="450"/>
      <c r="I1006" s="450"/>
      <c r="J1006" s="450"/>
      <c r="M1006" s="351"/>
      <c r="N1006" s="351"/>
      <c r="O1006" s="351"/>
      <c r="R1006" s="348" t="str">
        <f t="shared" ref="R1006:R1014" si="19">R$1029</f>
        <v>DELETE</v>
      </c>
    </row>
    <row r="1007" spans="2:24" ht="36" customHeight="1" x14ac:dyDescent="0.5">
      <c r="B1007" s="354"/>
      <c r="C1007" s="375"/>
      <c r="D1007" s="456" t="s">
        <v>351</v>
      </c>
      <c r="E1007" s="450"/>
      <c r="F1007" s="450"/>
      <c r="G1007" s="450"/>
      <c r="H1007" s="450"/>
      <c r="I1007" s="450"/>
      <c r="J1007" s="450"/>
      <c r="M1007" s="351"/>
      <c r="N1007" s="351"/>
      <c r="O1007" s="351"/>
      <c r="R1007" s="348" t="str">
        <f t="shared" si="19"/>
        <v>DELETE</v>
      </c>
    </row>
    <row r="1008" spans="2:24" ht="36" customHeight="1" x14ac:dyDescent="0.5">
      <c r="B1008" s="354"/>
      <c r="C1008" s="375"/>
      <c r="D1008" s="456" t="str">
        <f>Criteria!E20</f>
        <v>28 FEBRUARY 2025</v>
      </c>
      <c r="E1008" s="450"/>
      <c r="F1008" s="450"/>
      <c r="G1008" s="450"/>
      <c r="H1008" s="450"/>
      <c r="I1008" s="450"/>
      <c r="J1008" s="450" t="s">
        <v>231</v>
      </c>
      <c r="M1008" s="351"/>
      <c r="N1008" s="351"/>
      <c r="O1008" s="351"/>
      <c r="R1008" s="348" t="str">
        <f t="shared" si="19"/>
        <v>DELETE</v>
      </c>
    </row>
    <row r="1009" spans="2:18" ht="36" customHeight="1" x14ac:dyDescent="0.5">
      <c r="B1009" s="354"/>
      <c r="C1009" s="375"/>
      <c r="D1009" s="456"/>
      <c r="E1009" s="450"/>
      <c r="F1009" s="450"/>
      <c r="G1009" s="450"/>
      <c r="H1009" s="450"/>
      <c r="I1009" s="450"/>
      <c r="J1009" s="450"/>
      <c r="M1009" s="351"/>
      <c r="N1009" s="351"/>
      <c r="O1009" s="351"/>
      <c r="R1009" s="348" t="str">
        <f t="shared" si="19"/>
        <v>DELETE</v>
      </c>
    </row>
    <row r="1010" spans="2:18" ht="36" customHeight="1" x14ac:dyDescent="0.5">
      <c r="B1010" s="447"/>
      <c r="C1010" s="376"/>
      <c r="D1010" s="460"/>
      <c r="E1010" s="460"/>
      <c r="F1010" s="460"/>
      <c r="G1010" s="460"/>
      <c r="H1010" s="460"/>
      <c r="I1010" s="460"/>
      <c r="J1010" s="460"/>
      <c r="K1010" s="364"/>
      <c r="L1010" s="364"/>
      <c r="M1010" s="297"/>
      <c r="N1010" s="297"/>
      <c r="O1010" s="297"/>
      <c r="P1010" s="367"/>
      <c r="Q1010" s="364"/>
      <c r="R1010" s="348" t="str">
        <f t="shared" si="19"/>
        <v>DELETE</v>
      </c>
    </row>
    <row r="1011" spans="2:18" ht="36" customHeight="1" x14ac:dyDescent="0.5">
      <c r="B1011" s="316"/>
      <c r="C1011" s="374"/>
      <c r="D1011" s="450"/>
      <c r="E1011" s="450"/>
      <c r="F1011" s="450"/>
      <c r="G1011" s="450"/>
      <c r="H1011" s="450"/>
      <c r="I1011" s="450"/>
      <c r="J1011" s="450"/>
      <c r="M1011" s="294">
        <f>Criteria!E22</f>
        <v>2025</v>
      </c>
      <c r="N1011" s="294"/>
      <c r="O1011" s="294">
        <f>Criteria!E27</f>
        <v>2024</v>
      </c>
      <c r="R1011" s="348" t="str">
        <f t="shared" si="19"/>
        <v>DELETE</v>
      </c>
    </row>
    <row r="1012" spans="2:18" ht="36" customHeight="1" x14ac:dyDescent="0.5">
      <c r="B1012" s="316"/>
      <c r="C1012" s="374"/>
      <c r="D1012" s="450"/>
      <c r="E1012" s="450"/>
      <c r="F1012" s="450"/>
      <c r="G1012" s="450"/>
      <c r="H1012" s="450"/>
      <c r="I1012" s="450"/>
      <c r="J1012" s="450"/>
      <c r="M1012" s="296"/>
      <c r="N1012" s="296"/>
      <c r="O1012" s="296"/>
      <c r="R1012" s="348" t="str">
        <f t="shared" si="19"/>
        <v>DELETE</v>
      </c>
    </row>
    <row r="1013" spans="2:18" ht="36" customHeight="1" x14ac:dyDescent="0.5">
      <c r="B1013" s="316"/>
      <c r="C1013" s="456" t="s">
        <v>479</v>
      </c>
      <c r="D1013" s="350"/>
      <c r="E1013" s="450"/>
      <c r="F1013" s="450"/>
      <c r="G1013" s="450"/>
      <c r="H1013" s="450"/>
      <c r="I1013" s="450"/>
      <c r="J1013" s="450"/>
      <c r="M1013" s="296"/>
      <c r="N1013" s="296"/>
      <c r="O1013" s="296"/>
      <c r="R1013" s="348" t="str">
        <f t="shared" si="19"/>
        <v>DELETE</v>
      </c>
    </row>
    <row r="1014" spans="2:18" ht="36" customHeight="1" x14ac:dyDescent="0.5">
      <c r="B1014" s="316"/>
      <c r="C1014" s="456"/>
      <c r="D1014" s="350"/>
      <c r="E1014" s="450"/>
      <c r="F1014" s="450"/>
      <c r="G1014" s="450"/>
      <c r="H1014" s="450"/>
      <c r="I1014" s="450"/>
      <c r="J1014" s="450"/>
      <c r="M1014" s="296"/>
      <c r="N1014" s="296"/>
      <c r="O1014" s="296"/>
      <c r="R1014" s="348" t="str">
        <f t="shared" si="19"/>
        <v>DELETE</v>
      </c>
    </row>
    <row r="1015" spans="2:18" ht="36" customHeight="1" x14ac:dyDescent="0.5">
      <c r="B1015" s="316"/>
      <c r="C1015" s="450" t="str">
        <f>TrialBalance!C61</f>
        <v>Premises</v>
      </c>
      <c r="D1015" s="350"/>
      <c r="E1015" s="450"/>
      <c r="F1015" s="450"/>
      <c r="G1015" s="450"/>
      <c r="H1015" s="450"/>
      <c r="I1015" s="450"/>
      <c r="J1015" s="450"/>
      <c r="M1015" s="296">
        <f>TrialBalance!L61</f>
        <v>0</v>
      </c>
      <c r="N1015" s="296"/>
      <c r="O1015" s="296">
        <f>TrialBalance!N61</f>
        <v>0</v>
      </c>
      <c r="R1015" s="348" t="str">
        <f>IF(M1015+O1015=0,"DELETE"," ")</f>
        <v>DELETE</v>
      </c>
    </row>
    <row r="1016" spans="2:18" ht="36" customHeight="1" x14ac:dyDescent="0.5">
      <c r="B1016" s="316"/>
      <c r="C1016" s="450">
        <f>TrialBalance!C62</f>
        <v>0</v>
      </c>
      <c r="D1016" s="350"/>
      <c r="E1016" s="450"/>
      <c r="F1016" s="450"/>
      <c r="G1016" s="450"/>
      <c r="H1016" s="450"/>
      <c r="I1016" s="450"/>
      <c r="J1016" s="450"/>
      <c r="M1016" s="296">
        <f>TrialBalance!L62</f>
        <v>0</v>
      </c>
      <c r="N1016" s="296"/>
      <c r="O1016" s="296">
        <f>TrialBalance!N62</f>
        <v>0</v>
      </c>
      <c r="R1016" s="348" t="str">
        <f>IF(M1016+O1016=0,"DELETE"," ")</f>
        <v>DELETE</v>
      </c>
    </row>
    <row r="1017" spans="2:18" ht="36" customHeight="1" x14ac:dyDescent="0.5">
      <c r="B1017" s="316"/>
      <c r="C1017" s="450">
        <f>TrialBalance!C63</f>
        <v>0</v>
      </c>
      <c r="D1017" s="350"/>
      <c r="E1017" s="450"/>
      <c r="F1017" s="450"/>
      <c r="G1017" s="450"/>
      <c r="H1017" s="450"/>
      <c r="I1017" s="450"/>
      <c r="J1017" s="450"/>
      <c r="M1017" s="296">
        <f>TrialBalance!L63</f>
        <v>0</v>
      </c>
      <c r="N1017" s="296"/>
      <c r="O1017" s="296">
        <f>TrialBalance!N63</f>
        <v>0</v>
      </c>
      <c r="R1017" s="348" t="str">
        <f>IF(M1017+O1017=0,"DELETE"," ")</f>
        <v>DELETE</v>
      </c>
    </row>
    <row r="1018" spans="2:18" ht="36" customHeight="1" x14ac:dyDescent="0.5">
      <c r="B1018" s="316"/>
      <c r="C1018" s="450">
        <f>TrialBalanceA!C61</f>
        <v>0</v>
      </c>
      <c r="D1018" s="350"/>
      <c r="E1018" s="450"/>
      <c r="F1018" s="450"/>
      <c r="G1018" s="450"/>
      <c r="H1018" s="450"/>
      <c r="I1018" s="450"/>
      <c r="J1018" s="450"/>
      <c r="M1018" s="296">
        <f>TrialBalanceA!I61</f>
        <v>0</v>
      </c>
      <c r="N1018" s="296"/>
      <c r="O1018" s="296">
        <f>TrialBalanceA!K61</f>
        <v>0</v>
      </c>
      <c r="R1018" s="348" t="str">
        <f t="shared" ref="R1018:R1021" si="20">IF(M1018+O1018=0,"DELETE"," ")</f>
        <v>DELETE</v>
      </c>
    </row>
    <row r="1019" spans="2:18" ht="36" customHeight="1" x14ac:dyDescent="0.5">
      <c r="B1019" s="316"/>
      <c r="C1019" s="450">
        <f>TrialBalanceA!C62</f>
        <v>0</v>
      </c>
      <c r="D1019" s="350"/>
      <c r="E1019" s="450"/>
      <c r="F1019" s="450"/>
      <c r="G1019" s="450"/>
      <c r="H1019" s="450"/>
      <c r="I1019" s="450"/>
      <c r="J1019" s="450"/>
      <c r="M1019" s="296">
        <f>TrialBalanceA!I62</f>
        <v>0</v>
      </c>
      <c r="N1019" s="296"/>
      <c r="O1019" s="296">
        <f>TrialBalanceA!K62</f>
        <v>0</v>
      </c>
      <c r="R1019" s="348" t="str">
        <f t="shared" si="20"/>
        <v>DELETE</v>
      </c>
    </row>
    <row r="1020" spans="2:18" ht="36" customHeight="1" x14ac:dyDescent="0.5">
      <c r="B1020" s="316"/>
      <c r="C1020" s="450">
        <f>TrialBalanceA!C63</f>
        <v>0</v>
      </c>
      <c r="D1020" s="350"/>
      <c r="E1020" s="450"/>
      <c r="F1020" s="450"/>
      <c r="G1020" s="450"/>
      <c r="H1020" s="450"/>
      <c r="I1020" s="450"/>
      <c r="J1020" s="450"/>
      <c r="M1020" s="296">
        <f>TrialBalanceA!I63</f>
        <v>0</v>
      </c>
      <c r="N1020" s="296"/>
      <c r="O1020" s="296">
        <f>TrialBalanceA!K63</f>
        <v>0</v>
      </c>
      <c r="R1020" s="348" t="str">
        <f t="shared" si="20"/>
        <v>DELETE</v>
      </c>
    </row>
    <row r="1021" spans="2:18" ht="36" customHeight="1" x14ac:dyDescent="0.5">
      <c r="B1021" s="316"/>
      <c r="C1021" s="450">
        <f>TrialBalanceB!C61</f>
        <v>0</v>
      </c>
      <c r="D1021" s="350"/>
      <c r="E1021" s="450"/>
      <c r="F1021" s="450"/>
      <c r="G1021" s="450"/>
      <c r="H1021" s="450"/>
      <c r="I1021" s="450"/>
      <c r="J1021" s="450"/>
      <c r="M1021" s="296">
        <f>TrialBalanceB!I61</f>
        <v>0</v>
      </c>
      <c r="N1021" s="296"/>
      <c r="O1021" s="296">
        <f>TrialBalanceB!K61</f>
        <v>0</v>
      </c>
      <c r="R1021" s="348" t="str">
        <f t="shared" si="20"/>
        <v>DELETE</v>
      </c>
    </row>
    <row r="1022" spans="2:18" ht="36" customHeight="1" x14ac:dyDescent="0.5">
      <c r="B1022" s="316"/>
      <c r="C1022" s="450">
        <f>TrialBalanceB!C62</f>
        <v>0</v>
      </c>
      <c r="D1022" s="350"/>
      <c r="E1022" s="450"/>
      <c r="F1022" s="450"/>
      <c r="G1022" s="450"/>
      <c r="H1022" s="450"/>
      <c r="I1022" s="450"/>
      <c r="J1022" s="450"/>
      <c r="M1022" s="296">
        <f>TrialBalanceB!I62</f>
        <v>0</v>
      </c>
      <c r="N1022" s="296"/>
      <c r="O1022" s="296">
        <f>TrialBalanceB!K62</f>
        <v>0</v>
      </c>
      <c r="R1022" s="348" t="str">
        <f t="shared" ref="R1022:R1024" si="21">IF(M1022+O1022=0,"DELETE"," ")</f>
        <v>DELETE</v>
      </c>
    </row>
    <row r="1023" spans="2:18" ht="36" customHeight="1" x14ac:dyDescent="0.5">
      <c r="B1023" s="316"/>
      <c r="C1023" s="450">
        <f>TrialBalanceB!C63</f>
        <v>0</v>
      </c>
      <c r="D1023" s="350"/>
      <c r="E1023" s="450"/>
      <c r="F1023" s="450"/>
      <c r="G1023" s="450"/>
      <c r="H1023" s="450"/>
      <c r="I1023" s="450"/>
      <c r="J1023" s="450"/>
      <c r="M1023" s="296">
        <f>TrialBalanceB!I63</f>
        <v>0</v>
      </c>
      <c r="N1023" s="296"/>
      <c r="O1023" s="296">
        <f>TrialBalanceB!K63</f>
        <v>0</v>
      </c>
      <c r="R1023" s="348" t="str">
        <f t="shared" si="21"/>
        <v>DELETE</v>
      </c>
    </row>
    <row r="1024" spans="2:18" ht="36" customHeight="1" x14ac:dyDescent="0.5">
      <c r="B1024" s="316"/>
      <c r="C1024" s="450">
        <f>TrialBalanceC!C61</f>
        <v>0</v>
      </c>
      <c r="D1024" s="350"/>
      <c r="E1024" s="450"/>
      <c r="F1024" s="450"/>
      <c r="G1024" s="450"/>
      <c r="H1024" s="450"/>
      <c r="I1024" s="450"/>
      <c r="J1024" s="450"/>
      <c r="M1024" s="296">
        <f>TrialBalanceC!I61</f>
        <v>0</v>
      </c>
      <c r="N1024" s="296"/>
      <c r="O1024" s="296">
        <f>TrialBalanceC!K61</f>
        <v>0</v>
      </c>
      <c r="R1024" s="348" t="str">
        <f t="shared" si="21"/>
        <v>DELETE</v>
      </c>
    </row>
    <row r="1025" spans="2:24" ht="36" customHeight="1" x14ac:dyDescent="0.5">
      <c r="B1025" s="316"/>
      <c r="C1025" s="450">
        <f>TrialBalanceC!C62</f>
        <v>0</v>
      </c>
      <c r="D1025" s="350"/>
      <c r="E1025" s="450"/>
      <c r="F1025" s="450"/>
      <c r="G1025" s="450"/>
      <c r="H1025" s="450"/>
      <c r="I1025" s="450"/>
      <c r="J1025" s="450"/>
      <c r="M1025" s="296">
        <f>TrialBalanceC!I62</f>
        <v>0</v>
      </c>
      <c r="N1025" s="296"/>
      <c r="O1025" s="296">
        <f>TrialBalanceC!K62</f>
        <v>0</v>
      </c>
      <c r="R1025" s="348" t="str">
        <f t="shared" ref="R1025:R1026" si="22">IF(M1025+O1025=0,"DELETE"," ")</f>
        <v>DELETE</v>
      </c>
    </row>
    <row r="1026" spans="2:24" ht="36" customHeight="1" x14ac:dyDescent="0.5">
      <c r="B1026" s="316"/>
      <c r="C1026" s="450">
        <f>TrialBalanceC!C63</f>
        <v>0</v>
      </c>
      <c r="D1026" s="350"/>
      <c r="E1026" s="450"/>
      <c r="F1026" s="450"/>
      <c r="G1026" s="450"/>
      <c r="H1026" s="450"/>
      <c r="I1026" s="450"/>
      <c r="J1026" s="450"/>
      <c r="M1026" s="296">
        <f>TrialBalanceC!I63</f>
        <v>0</v>
      </c>
      <c r="N1026" s="296"/>
      <c r="O1026" s="296">
        <f>TrialBalanceC!K63</f>
        <v>0</v>
      </c>
      <c r="R1026" s="348" t="str">
        <f t="shared" si="22"/>
        <v>DELETE</v>
      </c>
    </row>
    <row r="1027" spans="2:24" ht="9" customHeight="1" x14ac:dyDescent="0.5">
      <c r="B1027" s="316"/>
      <c r="C1027" s="317"/>
      <c r="D1027" s="450"/>
      <c r="E1027" s="450"/>
      <c r="F1027" s="450"/>
      <c r="G1027" s="450"/>
      <c r="H1027" s="450"/>
      <c r="I1027" s="450"/>
      <c r="J1027" s="450"/>
      <c r="M1027" s="298"/>
      <c r="N1027" s="298"/>
      <c r="O1027" s="298"/>
      <c r="R1027" s="348" t="str">
        <f>R$1029</f>
        <v>DELETE</v>
      </c>
    </row>
    <row r="1028" spans="2:24" ht="9" customHeight="1" x14ac:dyDescent="0.5">
      <c r="B1028" s="316"/>
      <c r="C1028" s="317"/>
      <c r="D1028" s="450"/>
      <c r="E1028" s="450"/>
      <c r="F1028" s="450"/>
      <c r="G1028" s="450"/>
      <c r="H1028" s="450"/>
      <c r="I1028" s="450"/>
      <c r="J1028" s="450"/>
      <c r="M1028" s="296"/>
      <c r="N1028" s="296"/>
      <c r="O1028" s="296"/>
      <c r="R1028" s="348" t="str">
        <f>R$1029</f>
        <v>DELETE</v>
      </c>
    </row>
    <row r="1029" spans="2:24" ht="36.75" customHeight="1" x14ac:dyDescent="0.5">
      <c r="B1029" s="316"/>
      <c r="C1029" s="317"/>
      <c r="D1029" s="450"/>
      <c r="E1029" s="450"/>
      <c r="F1029" s="450"/>
      <c r="G1029" s="450"/>
      <c r="H1029" s="450"/>
      <c r="I1029" s="450"/>
      <c r="J1029" s="450"/>
      <c r="M1029" s="296">
        <f>SUM(M1015:M1028)</f>
        <v>0</v>
      </c>
      <c r="N1029" s="296"/>
      <c r="O1029" s="296">
        <f>SUM(O1015:O1028)</f>
        <v>0</v>
      </c>
      <c r="R1029" s="348" t="str">
        <f>IF(M1029+O1029=0,"DELETE"," ")</f>
        <v>DELETE</v>
      </c>
      <c r="V1029" s="331" t="b">
        <f>M1029=SUM(TrialBalance!L61:L63)+SUM(TrialBalanceA!I61:I63)+SUM(TrialBalanceB!I61:I63)+SUM(TrialBalanceC!I61:I63)</f>
        <v>1</v>
      </c>
      <c r="X1029" s="331" t="b">
        <f>O1029=SUM(TrialBalance!N61:N63)+SUM(TrialBalanceA!K61:K63)+SUM(TrialBalanceB!K61:K63)+SUM(TrialBalanceC!K61:K63)</f>
        <v>1</v>
      </c>
    </row>
    <row r="1030" spans="2:24" ht="9" customHeight="1" thickBot="1" x14ac:dyDescent="0.55000000000000004">
      <c r="B1030" s="316"/>
      <c r="C1030" s="317"/>
      <c r="D1030" s="450"/>
      <c r="E1030" s="450"/>
      <c r="F1030" s="450"/>
      <c r="G1030" s="450"/>
      <c r="H1030" s="450"/>
      <c r="I1030" s="450"/>
      <c r="J1030" s="450"/>
      <c r="M1030" s="299"/>
      <c r="N1030" s="299"/>
      <c r="O1030" s="299"/>
      <c r="R1030" s="348" t="str">
        <f t="shared" ref="R1030:R1035" si="23">R$1029</f>
        <v>DELETE</v>
      </c>
    </row>
    <row r="1031" spans="2:24" ht="9" customHeight="1" thickTop="1" x14ac:dyDescent="0.5">
      <c r="B1031" s="316"/>
      <c r="C1031" s="317"/>
      <c r="D1031" s="450"/>
      <c r="E1031" s="450"/>
      <c r="F1031" s="450"/>
      <c r="G1031" s="450"/>
      <c r="H1031" s="450"/>
      <c r="I1031" s="450"/>
      <c r="J1031" s="450"/>
      <c r="M1031" s="310"/>
      <c r="N1031" s="310"/>
      <c r="O1031" s="310"/>
      <c r="R1031" s="348" t="str">
        <f t="shared" si="23"/>
        <v>DELETE</v>
      </c>
    </row>
    <row r="1032" spans="2:24" ht="36" customHeight="1" x14ac:dyDescent="0.5">
      <c r="B1032" s="316"/>
      <c r="C1032" s="317"/>
      <c r="D1032" s="450"/>
      <c r="E1032" s="450"/>
      <c r="F1032" s="450"/>
      <c r="G1032" s="450"/>
      <c r="H1032" s="450"/>
      <c r="I1032" s="450"/>
      <c r="J1032" s="450"/>
      <c r="M1032" s="296"/>
      <c r="N1032" s="296"/>
      <c r="O1032" s="296"/>
      <c r="R1032" s="348" t="str">
        <f t="shared" si="23"/>
        <v>DELETE</v>
      </c>
    </row>
    <row r="1033" spans="2:24" ht="36" customHeight="1" x14ac:dyDescent="0.5">
      <c r="B1033" s="316"/>
      <c r="C1033" s="317"/>
      <c r="D1033" s="450"/>
      <c r="E1033" s="450"/>
      <c r="F1033" s="450"/>
      <c r="G1033" s="450"/>
      <c r="H1033" s="450"/>
      <c r="I1033" s="450"/>
      <c r="J1033" s="450"/>
      <c r="M1033" s="296"/>
      <c r="N1033" s="296"/>
      <c r="O1033" s="296"/>
      <c r="R1033" s="348" t="str">
        <f t="shared" si="23"/>
        <v>DELETE</v>
      </c>
    </row>
    <row r="1034" spans="2:24" ht="36" customHeight="1" x14ac:dyDescent="0.5">
      <c r="B1034" s="316"/>
      <c r="C1034" s="317"/>
      <c r="D1034" s="450"/>
      <c r="E1034" s="450"/>
      <c r="F1034" s="450"/>
      <c r="G1034" s="450"/>
      <c r="H1034" s="450"/>
      <c r="I1034" s="450"/>
      <c r="J1034" s="450"/>
      <c r="M1034" s="310"/>
      <c r="N1034" s="310"/>
      <c r="O1034" s="310"/>
      <c r="P1034" s="356"/>
      <c r="R1034" s="348" t="str">
        <f t="shared" si="23"/>
        <v>DELETE</v>
      </c>
    </row>
    <row r="1035" spans="2:24" ht="36" customHeight="1" x14ac:dyDescent="0.5">
      <c r="B1035" s="316"/>
      <c r="C1035" s="317"/>
      <c r="D1035" s="450"/>
      <c r="E1035" s="450"/>
      <c r="F1035" s="450"/>
      <c r="G1035" s="450"/>
      <c r="H1035" s="450"/>
      <c r="I1035" s="450"/>
      <c r="J1035" s="450"/>
      <c r="M1035" s="296"/>
      <c r="N1035" s="296"/>
      <c r="O1035" s="296"/>
      <c r="R1035" s="348" t="str">
        <f t="shared" si="23"/>
        <v>DELETE</v>
      </c>
    </row>
    <row r="1036" spans="2:24" ht="36" customHeight="1" x14ac:dyDescent="0.5">
      <c r="B1036" s="316"/>
      <c r="C1036" s="317"/>
      <c r="D1036" s="450"/>
      <c r="E1036" s="450"/>
      <c r="F1036" s="450"/>
      <c r="G1036" s="450"/>
      <c r="H1036" s="450"/>
      <c r="I1036" s="450"/>
      <c r="J1036" s="450"/>
      <c r="M1036" s="296"/>
      <c r="N1036" s="296"/>
      <c r="O1036" s="296" t="s">
        <v>89</v>
      </c>
      <c r="Q1036" s="292">
        <f>MAX($Q$105:Q1035)+1</f>
        <v>30</v>
      </c>
      <c r="R1036" s="348" t="str">
        <f>R$1055</f>
        <v>DELETE</v>
      </c>
    </row>
    <row r="1037" spans="2:24" ht="36" customHeight="1" x14ac:dyDescent="0.5">
      <c r="B1037" s="354"/>
      <c r="C1037" s="375"/>
      <c r="D1037" s="456" t="str">
        <f>Criteria!E9</f>
        <v>HOLDING COMPANY 268 (PROPRIETARY) LIMITED</v>
      </c>
      <c r="E1037" s="450"/>
      <c r="F1037" s="450"/>
      <c r="G1037" s="450"/>
      <c r="H1037" s="450"/>
      <c r="I1037" s="450"/>
      <c r="J1037" s="450"/>
      <c r="M1037" s="351"/>
      <c r="N1037" s="351"/>
      <c r="O1037" s="347"/>
      <c r="R1037" s="348" t="str">
        <f>R$1055</f>
        <v>DELETE</v>
      </c>
    </row>
    <row r="1038" spans="2:24" ht="36" customHeight="1" x14ac:dyDescent="0.5">
      <c r="B1038" s="354"/>
      <c r="C1038" s="375"/>
      <c r="D1038" s="456" t="str">
        <f>Criteria!E10</f>
        <v>CONSOLIDATED FINANCIAL STATEMENTS</v>
      </c>
      <c r="E1038" s="450"/>
      <c r="F1038" s="450"/>
      <c r="G1038" s="450"/>
      <c r="H1038" s="450"/>
      <c r="I1038" s="450"/>
      <c r="J1038" s="450"/>
      <c r="M1038" s="351"/>
      <c r="N1038" s="351"/>
      <c r="O1038" s="351"/>
      <c r="R1038" s="348" t="str">
        <f>IF(R$1055="DELETE","DELETE",IF(D1038=0,"DELETE"," "))</f>
        <v>DELETE</v>
      </c>
    </row>
    <row r="1039" spans="2:24" ht="36" customHeight="1" x14ac:dyDescent="0.5">
      <c r="B1039" s="354"/>
      <c r="C1039" s="375"/>
      <c r="D1039" s="450"/>
      <c r="E1039" s="450"/>
      <c r="F1039" s="450"/>
      <c r="G1039" s="450"/>
      <c r="H1039" s="450"/>
      <c r="I1039" s="450"/>
      <c r="J1039" s="450"/>
      <c r="M1039" s="351"/>
      <c r="N1039" s="351"/>
      <c r="O1039" s="351"/>
      <c r="R1039" s="348" t="str">
        <f t="shared" ref="R1039:R1047" si="24">R$1055</f>
        <v>DELETE</v>
      </c>
    </row>
    <row r="1040" spans="2:24" ht="36" customHeight="1" x14ac:dyDescent="0.5">
      <c r="B1040" s="354"/>
      <c r="C1040" s="375"/>
      <c r="D1040" s="456" t="s">
        <v>351</v>
      </c>
      <c r="E1040" s="450"/>
      <c r="F1040" s="450"/>
      <c r="G1040" s="450"/>
      <c r="H1040" s="450"/>
      <c r="I1040" s="450"/>
      <c r="J1040" s="450"/>
      <c r="M1040" s="351"/>
      <c r="N1040" s="351"/>
      <c r="O1040" s="351"/>
      <c r="R1040" s="348" t="str">
        <f t="shared" si="24"/>
        <v>DELETE</v>
      </c>
    </row>
    <row r="1041" spans="2:24" ht="36" customHeight="1" x14ac:dyDescent="0.5">
      <c r="B1041" s="354"/>
      <c r="C1041" s="375"/>
      <c r="D1041" s="456" t="str">
        <f>Criteria!E20</f>
        <v>28 FEBRUARY 2025</v>
      </c>
      <c r="E1041" s="450"/>
      <c r="F1041" s="450"/>
      <c r="G1041" s="450"/>
      <c r="H1041" s="450"/>
      <c r="I1041" s="450"/>
      <c r="J1041" s="450" t="s">
        <v>231</v>
      </c>
      <c r="M1041" s="351"/>
      <c r="N1041" s="351"/>
      <c r="O1041" s="351"/>
      <c r="R1041" s="348" t="str">
        <f t="shared" si="24"/>
        <v>DELETE</v>
      </c>
    </row>
    <row r="1042" spans="2:24" ht="36" customHeight="1" x14ac:dyDescent="0.5">
      <c r="B1042" s="354"/>
      <c r="C1042" s="375"/>
      <c r="D1042" s="456"/>
      <c r="E1042" s="450"/>
      <c r="F1042" s="450"/>
      <c r="G1042" s="450"/>
      <c r="H1042" s="450"/>
      <c r="I1042" s="450"/>
      <c r="J1042" s="450"/>
      <c r="M1042" s="351"/>
      <c r="N1042" s="351"/>
      <c r="O1042" s="351"/>
      <c r="R1042" s="348" t="str">
        <f t="shared" si="24"/>
        <v>DELETE</v>
      </c>
    </row>
    <row r="1043" spans="2:24" ht="36" customHeight="1" x14ac:dyDescent="0.5">
      <c r="B1043" s="447"/>
      <c r="C1043" s="318"/>
      <c r="D1043" s="460"/>
      <c r="E1043" s="460"/>
      <c r="F1043" s="460"/>
      <c r="G1043" s="460"/>
      <c r="H1043" s="460"/>
      <c r="I1043" s="460"/>
      <c r="J1043" s="460"/>
      <c r="K1043" s="364"/>
      <c r="L1043" s="364"/>
      <c r="M1043" s="297"/>
      <c r="N1043" s="297"/>
      <c r="O1043" s="297"/>
      <c r="P1043" s="367"/>
      <c r="Q1043" s="364"/>
      <c r="R1043" s="348" t="str">
        <f t="shared" si="24"/>
        <v>DELETE</v>
      </c>
    </row>
    <row r="1044" spans="2:24" ht="36" customHeight="1" x14ac:dyDescent="0.5">
      <c r="B1044" s="316"/>
      <c r="C1044" s="317"/>
      <c r="D1044" s="450"/>
      <c r="E1044" s="450"/>
      <c r="F1044" s="450"/>
      <c r="G1044" s="450"/>
      <c r="H1044" s="450"/>
      <c r="I1044" s="450"/>
      <c r="J1044" s="450"/>
      <c r="M1044" s="294">
        <f>Criteria!E22</f>
        <v>2025</v>
      </c>
      <c r="N1044" s="294"/>
      <c r="O1044" s="294">
        <f>Criteria!E27</f>
        <v>2024</v>
      </c>
      <c r="R1044" s="348" t="str">
        <f t="shared" si="24"/>
        <v>DELETE</v>
      </c>
    </row>
    <row r="1045" spans="2:24" ht="36" customHeight="1" x14ac:dyDescent="0.5">
      <c r="B1045" s="316"/>
      <c r="C1045" s="317"/>
      <c r="D1045" s="450"/>
      <c r="E1045" s="450"/>
      <c r="F1045" s="450"/>
      <c r="G1045" s="450"/>
      <c r="H1045" s="450"/>
      <c r="I1045" s="450"/>
      <c r="J1045" s="450"/>
      <c r="M1045" s="296"/>
      <c r="N1045" s="296"/>
      <c r="O1045" s="296"/>
      <c r="R1045" s="348" t="str">
        <f t="shared" si="24"/>
        <v>DELETE</v>
      </c>
    </row>
    <row r="1046" spans="2:24" ht="36" customHeight="1" x14ac:dyDescent="0.5">
      <c r="B1046" s="316"/>
      <c r="C1046" s="456" t="s">
        <v>252</v>
      </c>
      <c r="D1046" s="350"/>
      <c r="E1046" s="450"/>
      <c r="F1046" s="450"/>
      <c r="G1046" s="450"/>
      <c r="H1046" s="450"/>
      <c r="I1046" s="450"/>
      <c r="J1046" s="450"/>
      <c r="M1046" s="296"/>
      <c r="N1046" s="296"/>
      <c r="O1046" s="296"/>
      <c r="R1046" s="348" t="str">
        <f t="shared" si="24"/>
        <v>DELETE</v>
      </c>
    </row>
    <row r="1047" spans="2:24" ht="36" customHeight="1" x14ac:dyDescent="0.5">
      <c r="B1047" s="316"/>
      <c r="C1047" s="456"/>
      <c r="D1047" s="350"/>
      <c r="E1047" s="450"/>
      <c r="F1047" s="450"/>
      <c r="G1047" s="450"/>
      <c r="H1047" s="450"/>
      <c r="I1047" s="450"/>
      <c r="J1047" s="450"/>
      <c r="M1047" s="296"/>
      <c r="N1047" s="296"/>
      <c r="O1047" s="296"/>
      <c r="R1047" s="348" t="str">
        <f t="shared" si="24"/>
        <v>DELETE</v>
      </c>
    </row>
    <row r="1048" spans="2:24" ht="36" customHeight="1" x14ac:dyDescent="0.5">
      <c r="B1048" s="316"/>
      <c r="C1048" s="450" t="s">
        <v>857</v>
      </c>
      <c r="D1048" s="350"/>
      <c r="E1048" s="450"/>
      <c r="F1048" s="450"/>
      <c r="G1048" s="450"/>
      <c r="H1048" s="450"/>
      <c r="I1048" s="450"/>
      <c r="J1048" s="450"/>
      <c r="M1048" s="296">
        <f>TrialBalance!L44+TrialBalanceA!I44+TrialBalanceB!I44+TrialBalanceC!I44</f>
        <v>0</v>
      </c>
      <c r="N1048" s="296"/>
      <c r="O1048" s="296">
        <f>TrialBalance!N44+TrialBalanceA!K44+TrialBalanceB!K44+TrialBalanceC!K44</f>
        <v>0</v>
      </c>
      <c r="R1048" s="348" t="str">
        <f>IF(M1048+O1048=0,"DELETE"," ")</f>
        <v>DELETE</v>
      </c>
    </row>
    <row r="1049" spans="2:24" ht="36" customHeight="1" x14ac:dyDescent="0.5">
      <c r="B1049" s="316"/>
      <c r="C1049" s="450" t="s">
        <v>683</v>
      </c>
      <c r="D1049" s="350"/>
      <c r="E1049" s="450"/>
      <c r="F1049" s="450"/>
      <c r="G1049" s="450"/>
      <c r="H1049" s="450"/>
      <c r="I1049" s="450"/>
      <c r="J1049" s="450"/>
      <c r="M1049" s="296">
        <f>TrialBalance!L45+TrialBalanceA!I45+TrialBalanceB!I45+TrialBalanceC!I45</f>
        <v>0</v>
      </c>
      <c r="N1049" s="296"/>
      <c r="O1049" s="296">
        <f>TrialBalance!N45+TrialBalanceA!K45+TrialBalanceB!K45+TrialBalanceC!K45</f>
        <v>0</v>
      </c>
      <c r="R1049" s="348" t="str">
        <f>IF(M1049+O1049=0,"DELETE"," ")</f>
        <v>DELETE</v>
      </c>
    </row>
    <row r="1050" spans="2:24" ht="36" customHeight="1" x14ac:dyDescent="0.5">
      <c r="B1050" s="316"/>
      <c r="C1050" s="450" t="s">
        <v>529</v>
      </c>
      <c r="D1050" s="350"/>
      <c r="E1050" s="450"/>
      <c r="F1050" s="450"/>
      <c r="G1050" s="450"/>
      <c r="H1050" s="450"/>
      <c r="I1050" s="450"/>
      <c r="J1050" s="450"/>
      <c r="M1050" s="296">
        <f>TrialBalance!L46+TrialBalanceA!I46+TrialBalanceB!I46+TrialBalanceC!I46</f>
        <v>0</v>
      </c>
      <c r="N1050" s="296"/>
      <c r="O1050" s="296">
        <f>TrialBalance!N46+TrialBalanceA!K46+TrialBalanceB!K46+TrialBalanceC!K46</f>
        <v>0</v>
      </c>
      <c r="R1050" s="348" t="str">
        <f>IF(M1050+O1050=0,"DELETE"," ")</f>
        <v>DELETE</v>
      </c>
    </row>
    <row r="1051" spans="2:24" ht="36" customHeight="1" x14ac:dyDescent="0.5">
      <c r="B1051" s="316"/>
      <c r="C1051" s="450" t="s">
        <v>530</v>
      </c>
      <c r="D1051" s="350"/>
      <c r="E1051" s="450"/>
      <c r="F1051" s="450"/>
      <c r="G1051" s="450"/>
      <c r="H1051" s="450"/>
      <c r="I1051" s="450"/>
      <c r="J1051" s="450"/>
      <c r="M1051" s="296">
        <f>TrialBalance!L110+TrialBalanceA!I110+TrialBalanceB!I110+TrialBalanceC!I110</f>
        <v>0</v>
      </c>
      <c r="N1051" s="296"/>
      <c r="O1051" s="296">
        <f>TrialBalance!N110+TrialBalanceA!K110+TrialBalanceB!K110+TrialBalanceC!K110</f>
        <v>0</v>
      </c>
      <c r="R1051" s="348" t="str">
        <f>IF(M1051+O1051=0,"DELETE"," ")</f>
        <v>DELETE</v>
      </c>
    </row>
    <row r="1052" spans="2:24" ht="36" customHeight="1" x14ac:dyDescent="0.5">
      <c r="B1052" s="316"/>
      <c r="C1052" s="450" t="s">
        <v>686</v>
      </c>
      <c r="D1052" s="350"/>
      <c r="E1052" s="450"/>
      <c r="F1052" s="450"/>
      <c r="G1052" s="450"/>
      <c r="H1052" s="450"/>
      <c r="I1052" s="450"/>
      <c r="J1052" s="450"/>
      <c r="M1052" s="296">
        <f>TrialBalance!L111+TrialBalanceA!I111+TrialBalanceB!I111+TrialBalanceC!I111</f>
        <v>0</v>
      </c>
      <c r="N1052" s="296"/>
      <c r="O1052" s="296">
        <f>TrialBalance!N111+TrialBalanceA!K111+TrialBalanceB!K111+TrialBalanceC!K111</f>
        <v>0</v>
      </c>
      <c r="R1052" s="348" t="str">
        <f>IF(M1052+O1052=0,"DELETE"," ")</f>
        <v>DELETE</v>
      </c>
    </row>
    <row r="1053" spans="2:24" ht="9" customHeight="1" x14ac:dyDescent="0.5">
      <c r="B1053" s="316"/>
      <c r="C1053" s="317"/>
      <c r="D1053" s="450"/>
      <c r="E1053" s="450"/>
      <c r="F1053" s="450"/>
      <c r="G1053" s="450"/>
      <c r="H1053" s="450"/>
      <c r="I1053" s="450"/>
      <c r="J1053" s="450"/>
      <c r="M1053" s="298"/>
      <c r="N1053" s="298"/>
      <c r="O1053" s="298"/>
      <c r="R1053" s="348" t="str">
        <f>R$1055</f>
        <v>DELETE</v>
      </c>
    </row>
    <row r="1054" spans="2:24" ht="9" customHeight="1" x14ac:dyDescent="0.5">
      <c r="B1054" s="316"/>
      <c r="C1054" s="317"/>
      <c r="D1054" s="450"/>
      <c r="E1054" s="450"/>
      <c r="F1054" s="450"/>
      <c r="G1054" s="450"/>
      <c r="H1054" s="450"/>
      <c r="I1054" s="450"/>
      <c r="J1054" s="450"/>
      <c r="M1054" s="296"/>
      <c r="N1054" s="296"/>
      <c r="O1054" s="296"/>
      <c r="R1054" s="348" t="str">
        <f>R$1055</f>
        <v>DELETE</v>
      </c>
    </row>
    <row r="1055" spans="2:24" ht="36.75" customHeight="1" x14ac:dyDescent="0.5">
      <c r="B1055" s="316"/>
      <c r="C1055" s="317"/>
      <c r="D1055" s="450"/>
      <c r="E1055" s="450"/>
      <c r="F1055" s="450"/>
      <c r="G1055" s="450"/>
      <c r="H1055" s="450"/>
      <c r="I1055" s="450"/>
      <c r="J1055" s="450"/>
      <c r="M1055" s="296">
        <f>SUM(M1048:M1054)</f>
        <v>0</v>
      </c>
      <c r="N1055" s="296"/>
      <c r="O1055" s="296">
        <f>SUM(O1048:O1054)</f>
        <v>0</v>
      </c>
      <c r="R1055" s="348" t="str">
        <f>IF(M1055+O1055=0,"DELETE"," ")</f>
        <v>DELETE</v>
      </c>
      <c r="V1055" s="331" t="b">
        <f>M1055=SUM(TrialBalance!L44:L46)+SUM(TrialBalance!L110:L111)+SUM(TrialBalanceA!I44:I46)+SUM(TrialBalanceA!I110:I111)+SUM(TrialBalanceB!I44:I46)+SUM(TrialBalanceB!I110:I111)+SUM(TrialBalanceC!I44:I46)+SUM(TrialBalanceC!I110:I111)</f>
        <v>1</v>
      </c>
      <c r="X1055" s="331" t="b">
        <f>O1055=SUM(TrialBalance!N44:N46)+SUM(TrialBalance!N110:N111)+SUM(TrialBalanceA!K44:K46)+SUM(TrialBalanceA!K110:K111)+SUM(TrialBalanceB!K44:K46)+SUM(TrialBalanceB!K110:K111)+SUM(TrialBalanceC!K44:K46)+SUM(TrialBalanceC!K110:K111)</f>
        <v>1</v>
      </c>
    </row>
    <row r="1056" spans="2:24" ht="9" customHeight="1" thickBot="1" x14ac:dyDescent="0.55000000000000004">
      <c r="B1056" s="316"/>
      <c r="C1056" s="317"/>
      <c r="D1056" s="450"/>
      <c r="E1056" s="450"/>
      <c r="F1056" s="450"/>
      <c r="G1056" s="450"/>
      <c r="H1056" s="450"/>
      <c r="I1056" s="450"/>
      <c r="J1056" s="450"/>
      <c r="M1056" s="299"/>
      <c r="N1056" s="299"/>
      <c r="O1056" s="299"/>
      <c r="R1056" s="348" t="str">
        <f t="shared" ref="R1056:R1061" si="25">R$1055</f>
        <v>DELETE</v>
      </c>
    </row>
    <row r="1057" spans="2:18" ht="9" customHeight="1" thickTop="1" x14ac:dyDescent="0.5">
      <c r="B1057" s="316"/>
      <c r="C1057" s="317"/>
      <c r="D1057" s="450"/>
      <c r="E1057" s="450"/>
      <c r="F1057" s="450"/>
      <c r="G1057" s="450"/>
      <c r="H1057" s="450"/>
      <c r="I1057" s="450"/>
      <c r="J1057" s="450"/>
      <c r="M1057" s="310"/>
      <c r="N1057" s="310"/>
      <c r="O1057" s="310"/>
      <c r="R1057" s="348" t="str">
        <f t="shared" si="25"/>
        <v>DELETE</v>
      </c>
    </row>
    <row r="1058" spans="2:18" ht="36" customHeight="1" x14ac:dyDescent="0.5">
      <c r="B1058" s="316"/>
      <c r="C1058" s="374"/>
      <c r="D1058" s="450"/>
      <c r="E1058" s="450"/>
      <c r="F1058" s="450"/>
      <c r="G1058" s="450"/>
      <c r="H1058" s="450"/>
      <c r="I1058" s="450"/>
      <c r="J1058" s="450"/>
      <c r="M1058" s="296"/>
      <c r="N1058" s="296"/>
      <c r="O1058" s="296"/>
      <c r="R1058" s="348" t="str">
        <f t="shared" si="25"/>
        <v>DELETE</v>
      </c>
    </row>
    <row r="1059" spans="2:18" ht="36" customHeight="1" x14ac:dyDescent="0.5">
      <c r="B1059" s="316"/>
      <c r="C1059" s="374"/>
      <c r="D1059" s="450"/>
      <c r="E1059" s="450"/>
      <c r="F1059" s="450"/>
      <c r="G1059" s="450"/>
      <c r="H1059" s="450"/>
      <c r="I1059" s="450"/>
      <c r="J1059" s="450"/>
      <c r="M1059" s="296"/>
      <c r="N1059" s="296"/>
      <c r="O1059" s="296"/>
      <c r="R1059" s="348" t="str">
        <f t="shared" si="25"/>
        <v>DELETE</v>
      </c>
    </row>
    <row r="1060" spans="2:18" ht="36" customHeight="1" x14ac:dyDescent="0.5">
      <c r="B1060" s="316"/>
      <c r="C1060" s="374"/>
      <c r="D1060" s="450"/>
      <c r="E1060" s="450"/>
      <c r="F1060" s="450"/>
      <c r="G1060" s="450"/>
      <c r="H1060" s="450"/>
      <c r="I1060" s="450"/>
      <c r="J1060" s="450"/>
      <c r="M1060" s="310"/>
      <c r="N1060" s="310"/>
      <c r="O1060" s="310"/>
      <c r="P1060" s="356"/>
      <c r="R1060" s="348" t="str">
        <f t="shared" si="25"/>
        <v>DELETE</v>
      </c>
    </row>
    <row r="1061" spans="2:18" ht="36" customHeight="1" x14ac:dyDescent="0.5">
      <c r="B1061" s="316"/>
      <c r="C1061" s="352"/>
      <c r="D1061" s="450"/>
      <c r="E1061" s="450"/>
      <c r="F1061" s="450"/>
      <c r="G1061" s="450"/>
      <c r="H1061" s="450"/>
      <c r="I1061" s="450"/>
      <c r="J1061" s="450"/>
      <c r="M1061" s="296"/>
      <c r="N1061" s="296"/>
      <c r="O1061" s="296"/>
      <c r="R1061" s="348" t="str">
        <f t="shared" si="25"/>
        <v>DELETE</v>
      </c>
    </row>
    <row r="1062" spans="2:18" ht="36" customHeight="1" x14ac:dyDescent="0.5">
      <c r="B1062" s="316"/>
      <c r="C1062" s="352"/>
      <c r="D1062" s="450"/>
      <c r="E1062" s="450"/>
      <c r="F1062" s="450"/>
      <c r="G1062" s="450"/>
      <c r="H1062" s="450"/>
      <c r="I1062" s="450"/>
      <c r="J1062" s="450"/>
      <c r="M1062" s="296"/>
      <c r="N1062" s="296"/>
      <c r="O1062" s="296" t="s">
        <v>89</v>
      </c>
      <c r="Q1062" s="292">
        <f>MAX($Q$105:Q1061)+1</f>
        <v>31</v>
      </c>
      <c r="R1062" s="348" t="str">
        <f>R$1115</f>
        <v>DELETE</v>
      </c>
    </row>
    <row r="1063" spans="2:18" ht="36" customHeight="1" x14ac:dyDescent="0.5">
      <c r="B1063" s="354"/>
      <c r="D1063" s="456" t="str">
        <f>Criteria!E9</f>
        <v>HOLDING COMPANY 268 (PROPRIETARY) LIMITED</v>
      </c>
      <c r="E1063" s="450"/>
      <c r="F1063" s="450"/>
      <c r="G1063" s="450"/>
      <c r="H1063" s="450"/>
      <c r="I1063" s="450"/>
      <c r="J1063" s="450"/>
      <c r="M1063" s="351"/>
      <c r="N1063" s="351"/>
      <c r="O1063" s="347"/>
      <c r="R1063" s="348" t="str">
        <f>R$1115</f>
        <v>DELETE</v>
      </c>
    </row>
    <row r="1064" spans="2:18" ht="36" customHeight="1" x14ac:dyDescent="0.5">
      <c r="B1064" s="354"/>
      <c r="D1064" s="456" t="str">
        <f>Criteria!E10</f>
        <v>CONSOLIDATED FINANCIAL STATEMENTS</v>
      </c>
      <c r="E1064" s="450"/>
      <c r="F1064" s="450"/>
      <c r="G1064" s="450"/>
      <c r="H1064" s="450"/>
      <c r="I1064" s="450"/>
      <c r="J1064" s="450"/>
      <c r="M1064" s="351"/>
      <c r="N1064" s="351"/>
      <c r="O1064" s="351"/>
      <c r="R1064" s="348" t="str">
        <f>IF(R$1115="DELETE","DELETE",IF(D1064=0,"DELETE"," "))</f>
        <v>DELETE</v>
      </c>
    </row>
    <row r="1065" spans="2:18" ht="36" customHeight="1" x14ac:dyDescent="0.5">
      <c r="B1065" s="354"/>
      <c r="D1065" s="450"/>
      <c r="E1065" s="450"/>
      <c r="F1065" s="450"/>
      <c r="G1065" s="450"/>
      <c r="H1065" s="450"/>
      <c r="I1065" s="450"/>
      <c r="J1065" s="450"/>
      <c r="M1065" s="351"/>
      <c r="N1065" s="351"/>
      <c r="O1065" s="351"/>
      <c r="R1065" s="348" t="str">
        <f t="shared" ref="R1065:R1074" si="26">R$1115</f>
        <v>DELETE</v>
      </c>
    </row>
    <row r="1066" spans="2:18" ht="36" customHeight="1" x14ac:dyDescent="0.5">
      <c r="B1066" s="354"/>
      <c r="D1066" s="456" t="s">
        <v>351</v>
      </c>
      <c r="E1066" s="450"/>
      <c r="F1066" s="450"/>
      <c r="G1066" s="450"/>
      <c r="H1066" s="450"/>
      <c r="I1066" s="450"/>
      <c r="J1066" s="450"/>
      <c r="M1066" s="351"/>
      <c r="N1066" s="351"/>
      <c r="O1066" s="351"/>
      <c r="R1066" s="348" t="str">
        <f t="shared" si="26"/>
        <v>DELETE</v>
      </c>
    </row>
    <row r="1067" spans="2:18" ht="36" customHeight="1" x14ac:dyDescent="0.5">
      <c r="B1067" s="354"/>
      <c r="D1067" s="456" t="str">
        <f>Criteria!E20</f>
        <v>28 FEBRUARY 2025</v>
      </c>
      <c r="E1067" s="450"/>
      <c r="F1067" s="450"/>
      <c r="G1067" s="450"/>
      <c r="H1067" s="450"/>
      <c r="I1067" s="450"/>
      <c r="J1067" s="450" t="s">
        <v>231</v>
      </c>
      <c r="M1067" s="351"/>
      <c r="N1067" s="351"/>
      <c r="O1067" s="351"/>
      <c r="R1067" s="348" t="str">
        <f t="shared" si="26"/>
        <v>DELETE</v>
      </c>
    </row>
    <row r="1068" spans="2:18" ht="36" customHeight="1" x14ac:dyDescent="0.5">
      <c r="B1068" s="354"/>
      <c r="D1068" s="456"/>
      <c r="E1068" s="450"/>
      <c r="F1068" s="450"/>
      <c r="G1068" s="450"/>
      <c r="H1068" s="450"/>
      <c r="I1068" s="450"/>
      <c r="J1068" s="450"/>
      <c r="M1068" s="351"/>
      <c r="N1068" s="351"/>
      <c r="O1068" s="351"/>
      <c r="R1068" s="348" t="str">
        <f t="shared" si="26"/>
        <v>DELETE</v>
      </c>
    </row>
    <row r="1069" spans="2:18" ht="36" customHeight="1" x14ac:dyDescent="0.5">
      <c r="B1069" s="447"/>
      <c r="C1069" s="370"/>
      <c r="D1069" s="460"/>
      <c r="E1069" s="460"/>
      <c r="F1069" s="460"/>
      <c r="G1069" s="460"/>
      <c r="H1069" s="460"/>
      <c r="I1069" s="460"/>
      <c r="J1069" s="460"/>
      <c r="K1069" s="364"/>
      <c r="L1069" s="364"/>
      <c r="M1069" s="297"/>
      <c r="N1069" s="297"/>
      <c r="O1069" s="297"/>
      <c r="P1069" s="367"/>
      <c r="Q1069" s="364"/>
      <c r="R1069" s="348" t="str">
        <f t="shared" si="26"/>
        <v>DELETE</v>
      </c>
    </row>
    <row r="1070" spans="2:18" ht="36" customHeight="1" x14ac:dyDescent="0.5">
      <c r="B1070" s="316"/>
      <c r="C1070" s="352"/>
      <c r="D1070" s="450"/>
      <c r="E1070" s="450"/>
      <c r="F1070" s="450"/>
      <c r="G1070" s="450"/>
      <c r="H1070" s="450"/>
      <c r="I1070" s="450"/>
      <c r="J1070" s="450"/>
      <c r="M1070" s="294">
        <f>Criteria!E22</f>
        <v>2025</v>
      </c>
      <c r="N1070" s="294"/>
      <c r="O1070" s="294">
        <f>Criteria!E27</f>
        <v>2024</v>
      </c>
      <c r="R1070" s="348" t="str">
        <f t="shared" si="26"/>
        <v>DELETE</v>
      </c>
    </row>
    <row r="1071" spans="2:18" ht="36" customHeight="1" x14ac:dyDescent="0.5">
      <c r="B1071" s="316"/>
      <c r="C1071" s="352"/>
      <c r="D1071" s="450"/>
      <c r="E1071" s="450"/>
      <c r="F1071" s="450"/>
      <c r="G1071" s="450"/>
      <c r="H1071" s="450"/>
      <c r="I1071" s="450"/>
      <c r="J1071" s="450"/>
      <c r="M1071" s="296"/>
      <c r="N1071" s="296"/>
      <c r="O1071" s="296"/>
      <c r="R1071" s="348" t="str">
        <f t="shared" si="26"/>
        <v>DELETE</v>
      </c>
    </row>
    <row r="1072" spans="2:18" ht="36" customHeight="1" x14ac:dyDescent="0.5">
      <c r="B1072" s="316">
        <f>MAX(B$602:B1071)+1</f>
        <v>6</v>
      </c>
      <c r="C1072" s="456" t="s">
        <v>191</v>
      </c>
      <c r="D1072" s="450"/>
      <c r="E1072" s="450"/>
      <c r="F1072" s="450"/>
      <c r="G1072" s="450"/>
      <c r="H1072" s="450"/>
      <c r="I1072" s="450"/>
      <c r="J1072" s="450"/>
      <c r="M1072" s="296"/>
      <c r="N1072" s="296"/>
      <c r="O1072" s="296"/>
      <c r="R1072" s="348" t="str">
        <f t="shared" si="26"/>
        <v>DELETE</v>
      </c>
    </row>
    <row r="1073" spans="2:24" ht="36" hidden="1" customHeight="1" x14ac:dyDescent="0.45">
      <c r="B1073" s="316"/>
      <c r="C1073" s="352">
        <f>B1072</f>
        <v>6</v>
      </c>
      <c r="M1073" s="296"/>
      <c r="N1073" s="296"/>
      <c r="O1073" s="296"/>
      <c r="R1073" s="348" t="str">
        <f>R1072</f>
        <v>DELETE</v>
      </c>
    </row>
    <row r="1074" spans="2:24" ht="36" customHeight="1" x14ac:dyDescent="0.5">
      <c r="B1074" s="316"/>
      <c r="C1074" s="352"/>
      <c r="D1074" s="450"/>
      <c r="E1074" s="450"/>
      <c r="F1074" s="450"/>
      <c r="G1074" s="450"/>
      <c r="H1074" s="450"/>
      <c r="I1074" s="450"/>
      <c r="J1074" s="450"/>
      <c r="M1074" s="296"/>
      <c r="N1074" s="296"/>
      <c r="O1074" s="296"/>
      <c r="R1074" s="348" t="str">
        <f t="shared" si="26"/>
        <v>DELETE</v>
      </c>
    </row>
    <row r="1075" spans="2:24" ht="36" customHeight="1" x14ac:dyDescent="0.5">
      <c r="B1075" s="316"/>
      <c r="C1075" s="316">
        <f>MAX(C$1072:C1073)+0.1</f>
        <v>6.1</v>
      </c>
      <c r="D1075" s="450" t="s">
        <v>496</v>
      </c>
      <c r="E1075" s="450"/>
      <c r="F1075" s="450"/>
      <c r="G1075" s="450"/>
      <c r="H1075" s="450"/>
      <c r="I1075" s="450"/>
      <c r="J1075" s="450"/>
      <c r="M1075" s="296">
        <f>SUM(M1078:M1080)</f>
        <v>0</v>
      </c>
      <c r="N1075" s="296"/>
      <c r="O1075" s="296">
        <f>SUM(O1078:O1080)</f>
        <v>0</v>
      </c>
      <c r="R1075" s="348" t="str">
        <f>IF(M1075+O1075=0,"DELETE"," ")</f>
        <v>DELETE</v>
      </c>
      <c r="S1075" s="336">
        <f>M1075</f>
        <v>0</v>
      </c>
      <c r="T1075" s="336"/>
      <c r="U1075" s="336">
        <f>O1075</f>
        <v>0</v>
      </c>
      <c r="V1075" s="336"/>
      <c r="W1075" s="336"/>
      <c r="X1075" s="336"/>
    </row>
    <row r="1076" spans="2:24" ht="9" customHeight="1" x14ac:dyDescent="0.5">
      <c r="B1076" s="316"/>
      <c r="C1076" s="374"/>
      <c r="D1076" s="450"/>
      <c r="E1076" s="450"/>
      <c r="F1076" s="450"/>
      <c r="G1076" s="450"/>
      <c r="H1076" s="450"/>
      <c r="I1076" s="450"/>
      <c r="J1076" s="450"/>
      <c r="M1076" s="296"/>
      <c r="N1076" s="296"/>
      <c r="O1076" s="296"/>
      <c r="R1076" s="348" t="str">
        <f>R1075</f>
        <v>DELETE</v>
      </c>
    </row>
    <row r="1077" spans="2:24" ht="9" customHeight="1" x14ac:dyDescent="0.5">
      <c r="B1077" s="316"/>
      <c r="C1077" s="374"/>
      <c r="D1077" s="450"/>
      <c r="E1077" s="450"/>
      <c r="F1077" s="450"/>
      <c r="G1077" s="450"/>
      <c r="H1077" s="450"/>
      <c r="I1077" s="450"/>
      <c r="J1077" s="450"/>
      <c r="M1077" s="398"/>
      <c r="N1077" s="297"/>
      <c r="O1077" s="399"/>
      <c r="R1077" s="348" t="str">
        <f>R1075</f>
        <v>DELETE</v>
      </c>
    </row>
    <row r="1078" spans="2:24" ht="36" customHeight="1" x14ac:dyDescent="0.5">
      <c r="B1078" s="316"/>
      <c r="C1078" s="374"/>
      <c r="D1078" s="450" t="s">
        <v>244</v>
      </c>
      <c r="E1078" s="450"/>
      <c r="F1078" s="450"/>
      <c r="G1078" s="450"/>
      <c r="H1078" s="450"/>
      <c r="I1078" s="450"/>
      <c r="J1078" s="450"/>
      <c r="M1078" s="400">
        <f>-TrialBalance!L91-TrialBalanceA!I91-TrialBalanceB!I91-TrialBalanceC!I91</f>
        <v>0</v>
      </c>
      <c r="N1078" s="296"/>
      <c r="O1078" s="401">
        <f>-TrialBalance!N91-TrialBalanceA!K91-TrialBalanceB!K91-TrialBalanceC!K91</f>
        <v>0</v>
      </c>
      <c r="R1078" s="348" t="str">
        <f>IF(M1078+O1078=0,"DELETE"," ")</f>
        <v>DELETE</v>
      </c>
    </row>
    <row r="1079" spans="2:24" ht="36" customHeight="1" x14ac:dyDescent="0.5">
      <c r="B1079" s="316"/>
      <c r="C1079" s="374"/>
      <c r="D1079" s="450" t="s">
        <v>993</v>
      </c>
      <c r="E1079" s="450"/>
      <c r="F1079" s="450"/>
      <c r="G1079" s="450"/>
      <c r="H1079" s="450"/>
      <c r="I1079" s="450"/>
      <c r="J1079" s="450"/>
      <c r="M1079" s="400">
        <f>-TrialBalance!L92-TrialBalanceA!I92-TrialBalanceB!I92-TrialBalanceC!I92</f>
        <v>0</v>
      </c>
      <c r="N1079" s="296"/>
      <c r="O1079" s="401">
        <f>-TrialBalance!N92-TrialBalanceA!K92-TrialBalanceB!K92-TrialBalanceC!K92</f>
        <v>0</v>
      </c>
      <c r="R1079" s="348" t="str">
        <f>IF(M1079+O1079=0,"DELETE"," ")</f>
        <v>DELETE</v>
      </c>
    </row>
    <row r="1080" spans="2:24" ht="36" customHeight="1" x14ac:dyDescent="0.5">
      <c r="B1080" s="316"/>
      <c r="C1080" s="374"/>
      <c r="D1080" s="450" t="s">
        <v>531</v>
      </c>
      <c r="E1080" s="450"/>
      <c r="F1080" s="450"/>
      <c r="G1080" s="450"/>
      <c r="H1080" s="450"/>
      <c r="I1080" s="450"/>
      <c r="J1080" s="450"/>
      <c r="M1080" s="400">
        <f>-TrialBalance!L93-TrialBalanceA!I93-TrialBalanceB!I93-TrialBalanceC!I93</f>
        <v>0</v>
      </c>
      <c r="N1080" s="296"/>
      <c r="O1080" s="401">
        <f>-TrialBalance!N93-TrialBalanceA!K93-TrialBalanceB!K93-TrialBalanceC!K93</f>
        <v>0</v>
      </c>
      <c r="R1080" s="348" t="str">
        <f>IF(M1080+O1080=0,"DELETE"," ")</f>
        <v>DELETE</v>
      </c>
    </row>
    <row r="1081" spans="2:24" ht="9" customHeight="1" x14ac:dyDescent="0.5">
      <c r="B1081" s="316"/>
      <c r="C1081" s="374"/>
      <c r="D1081" s="450"/>
      <c r="E1081" s="450"/>
      <c r="F1081" s="450"/>
      <c r="G1081" s="450"/>
      <c r="H1081" s="450"/>
      <c r="I1081" s="450"/>
      <c r="J1081" s="450"/>
      <c r="M1081" s="402"/>
      <c r="N1081" s="298"/>
      <c r="O1081" s="403"/>
      <c r="R1081" s="348" t="str">
        <f>R1075</f>
        <v>DELETE</v>
      </c>
    </row>
    <row r="1082" spans="2:24" ht="9" customHeight="1" x14ac:dyDescent="0.5">
      <c r="B1082" s="316"/>
      <c r="C1082" s="374"/>
      <c r="D1082" s="450"/>
      <c r="E1082" s="450"/>
      <c r="F1082" s="450"/>
      <c r="G1082" s="450"/>
      <c r="H1082" s="450"/>
      <c r="I1082" s="450"/>
      <c r="J1082" s="450"/>
      <c r="M1082" s="296"/>
      <c r="N1082" s="296"/>
      <c r="O1082" s="296"/>
      <c r="R1082" s="348" t="str">
        <f>R1075</f>
        <v>DELETE</v>
      </c>
    </row>
    <row r="1083" spans="2:24" ht="36.75" customHeight="1" x14ac:dyDescent="0.5">
      <c r="B1083" s="316"/>
      <c r="C1083" s="316">
        <f>MAX(C$1072:C1082)+0.1</f>
        <v>6.1999999999999993</v>
      </c>
      <c r="D1083" s="450" t="s">
        <v>644</v>
      </c>
      <c r="E1083" s="450"/>
      <c r="F1083" s="450"/>
      <c r="G1083" s="450"/>
      <c r="H1083" s="450"/>
      <c r="I1083" s="450"/>
      <c r="J1083" s="450"/>
      <c r="M1083" s="296">
        <f>SUM(M1085:M1102)</f>
        <v>0</v>
      </c>
      <c r="N1083" s="296"/>
      <c r="O1083" s="296">
        <f>SUM(O1085:O1102)</f>
        <v>0</v>
      </c>
      <c r="R1083" s="348" t="str">
        <f>IF(M1083+O1083=0,"DELETE"," ")</f>
        <v>DELETE</v>
      </c>
      <c r="S1083" s="336">
        <f>M1083</f>
        <v>0</v>
      </c>
      <c r="T1083" s="336"/>
      <c r="U1083" s="336">
        <f>O1083</f>
        <v>0</v>
      </c>
      <c r="V1083" s="336"/>
      <c r="W1083" s="336"/>
      <c r="X1083" s="336"/>
    </row>
    <row r="1084" spans="2:24" ht="9" customHeight="1" x14ac:dyDescent="0.5">
      <c r="B1084" s="316"/>
      <c r="C1084" s="374"/>
      <c r="D1084" s="450"/>
      <c r="E1084" s="450"/>
      <c r="F1084" s="450"/>
      <c r="G1084" s="450"/>
      <c r="H1084" s="450"/>
      <c r="I1084" s="450"/>
      <c r="J1084" s="450"/>
      <c r="M1084" s="296"/>
      <c r="N1084" s="296"/>
      <c r="O1084" s="296"/>
      <c r="R1084" s="348" t="str">
        <f>R1083</f>
        <v>DELETE</v>
      </c>
    </row>
    <row r="1085" spans="2:24" ht="9" customHeight="1" x14ac:dyDescent="0.5">
      <c r="B1085" s="316"/>
      <c r="C1085" s="374"/>
      <c r="D1085" s="450"/>
      <c r="E1085" s="450"/>
      <c r="F1085" s="450"/>
      <c r="G1085" s="450"/>
      <c r="H1085" s="450"/>
      <c r="I1085" s="450"/>
      <c r="J1085" s="450"/>
      <c r="M1085" s="398"/>
      <c r="N1085" s="297"/>
      <c r="O1085" s="399"/>
      <c r="R1085" s="348" t="str">
        <f>R1083</f>
        <v>DELETE</v>
      </c>
    </row>
    <row r="1086" spans="2:24" ht="36" customHeight="1" x14ac:dyDescent="0.5">
      <c r="B1086" s="316"/>
      <c r="C1086" s="374"/>
      <c r="D1086" s="466">
        <f>TrialBalance!C86</f>
        <v>0</v>
      </c>
      <c r="E1086" s="450"/>
      <c r="F1086" s="450"/>
      <c r="G1086" s="450"/>
      <c r="H1086" s="450"/>
      <c r="I1086" s="450"/>
      <c r="J1086" s="450"/>
      <c r="M1086" s="400">
        <f>-TrialBalance!L86</f>
        <v>0</v>
      </c>
      <c r="N1086" s="296"/>
      <c r="O1086" s="401">
        <f>-TrialBalance!N86</f>
        <v>0</v>
      </c>
      <c r="R1086" s="348" t="str">
        <f>IF(M1086+O1086=0,"DELETE"," ")</f>
        <v>DELETE</v>
      </c>
    </row>
    <row r="1087" spans="2:24" ht="36" customHeight="1" x14ac:dyDescent="0.5">
      <c r="B1087" s="316"/>
      <c r="C1087" s="374"/>
      <c r="D1087" s="466">
        <f>TrialBalance!C87</f>
        <v>0</v>
      </c>
      <c r="E1087" s="450"/>
      <c r="F1087" s="450"/>
      <c r="G1087" s="450"/>
      <c r="H1087" s="450"/>
      <c r="I1087" s="450"/>
      <c r="J1087" s="450"/>
      <c r="M1087" s="400">
        <f>-TrialBalance!L87</f>
        <v>0</v>
      </c>
      <c r="N1087" s="296"/>
      <c r="O1087" s="401">
        <f>-TrialBalance!N87</f>
        <v>0</v>
      </c>
      <c r="R1087" s="348" t="str">
        <f>IF(M1087+O1087=0,"DELETE"," ")</f>
        <v>DELETE</v>
      </c>
    </row>
    <row r="1088" spans="2:24" ht="36" customHeight="1" x14ac:dyDescent="0.5">
      <c r="B1088" s="316"/>
      <c r="C1088" s="374"/>
      <c r="D1088" s="466">
        <f>TrialBalance!C88</f>
        <v>0</v>
      </c>
      <c r="E1088" s="450"/>
      <c r="F1088" s="450"/>
      <c r="G1088" s="450"/>
      <c r="H1088" s="450"/>
      <c r="I1088" s="450"/>
      <c r="J1088" s="450"/>
      <c r="M1088" s="400">
        <f>-TrialBalance!L88</f>
        <v>0</v>
      </c>
      <c r="N1088" s="296"/>
      <c r="O1088" s="401">
        <f>-TrialBalance!N88</f>
        <v>0</v>
      </c>
      <c r="R1088" s="348" t="str">
        <f>IF(M1088+O1088=0,"DELETE"," ")</f>
        <v>DELETE</v>
      </c>
    </row>
    <row r="1089" spans="2:21" ht="36" customHeight="1" x14ac:dyDescent="0.5">
      <c r="B1089" s="316"/>
      <c r="C1089" s="374"/>
      <c r="D1089" s="466">
        <f>TrialBalance!C89</f>
        <v>0</v>
      </c>
      <c r="E1089" s="450"/>
      <c r="F1089" s="450"/>
      <c r="G1089" s="450"/>
      <c r="H1089" s="450"/>
      <c r="I1089" s="450"/>
      <c r="J1089" s="450"/>
      <c r="M1089" s="400">
        <f>-TrialBalance!L89</f>
        <v>0</v>
      </c>
      <c r="N1089" s="296"/>
      <c r="O1089" s="401">
        <f>-TrialBalance!N89</f>
        <v>0</v>
      </c>
      <c r="R1089" s="348" t="str">
        <f>IF(M1089+O1089=0,"DELETE"," ")</f>
        <v>DELETE</v>
      </c>
    </row>
    <row r="1090" spans="2:21" ht="36" customHeight="1" x14ac:dyDescent="0.5">
      <c r="B1090" s="316"/>
      <c r="C1090" s="374"/>
      <c r="D1090" s="466">
        <f>TrialBalanceA!C86</f>
        <v>0</v>
      </c>
      <c r="E1090" s="450"/>
      <c r="F1090" s="450"/>
      <c r="G1090" s="450"/>
      <c r="H1090" s="450"/>
      <c r="I1090" s="450"/>
      <c r="J1090" s="450"/>
      <c r="M1090" s="400">
        <f>-TrialBalanceA!I86</f>
        <v>0</v>
      </c>
      <c r="N1090" s="296"/>
      <c r="O1090" s="401">
        <f>-TrialBalanceA!K86</f>
        <v>0</v>
      </c>
      <c r="R1090" s="348" t="str">
        <f t="shared" ref="R1090:R1094" si="27">IF(M1090+O1090=0,"DELETE"," ")</f>
        <v>DELETE</v>
      </c>
    </row>
    <row r="1091" spans="2:21" ht="36" customHeight="1" x14ac:dyDescent="0.5">
      <c r="B1091" s="316"/>
      <c r="C1091" s="374"/>
      <c r="D1091" s="466">
        <f>TrialBalanceA!C87</f>
        <v>0</v>
      </c>
      <c r="E1091" s="450"/>
      <c r="F1091" s="450"/>
      <c r="G1091" s="450"/>
      <c r="H1091" s="450"/>
      <c r="I1091" s="450"/>
      <c r="J1091" s="450"/>
      <c r="M1091" s="400">
        <f>-TrialBalanceA!I87</f>
        <v>0</v>
      </c>
      <c r="N1091" s="296"/>
      <c r="O1091" s="401">
        <f>-TrialBalanceA!K87</f>
        <v>0</v>
      </c>
      <c r="R1091" s="348" t="str">
        <f t="shared" si="27"/>
        <v>DELETE</v>
      </c>
    </row>
    <row r="1092" spans="2:21" ht="36" customHeight="1" x14ac:dyDescent="0.5">
      <c r="B1092" s="316"/>
      <c r="C1092" s="374"/>
      <c r="D1092" s="466">
        <f>TrialBalanceA!C88</f>
        <v>0</v>
      </c>
      <c r="E1092" s="450"/>
      <c r="F1092" s="450"/>
      <c r="G1092" s="450"/>
      <c r="H1092" s="450"/>
      <c r="I1092" s="450"/>
      <c r="J1092" s="450"/>
      <c r="M1092" s="400">
        <f>-TrialBalanceA!I88</f>
        <v>0</v>
      </c>
      <c r="N1092" s="296"/>
      <c r="O1092" s="401">
        <f>-TrialBalanceA!K88</f>
        <v>0</v>
      </c>
      <c r="R1092" s="348" t="str">
        <f t="shared" si="27"/>
        <v>DELETE</v>
      </c>
    </row>
    <row r="1093" spans="2:21" ht="36" customHeight="1" x14ac:dyDescent="0.5">
      <c r="B1093" s="316"/>
      <c r="C1093" s="374"/>
      <c r="D1093" s="466">
        <f>TrialBalanceA!C89</f>
        <v>0</v>
      </c>
      <c r="E1093" s="450"/>
      <c r="F1093" s="450"/>
      <c r="G1093" s="450"/>
      <c r="H1093" s="450"/>
      <c r="I1093" s="450"/>
      <c r="J1093" s="450"/>
      <c r="M1093" s="400">
        <f>-TrialBalanceA!I89</f>
        <v>0</v>
      </c>
      <c r="N1093" s="296"/>
      <c r="O1093" s="401">
        <f>-TrialBalanceA!K89</f>
        <v>0</v>
      </c>
      <c r="R1093" s="348" t="str">
        <f t="shared" si="27"/>
        <v>DELETE</v>
      </c>
    </row>
    <row r="1094" spans="2:21" ht="36" customHeight="1" x14ac:dyDescent="0.5">
      <c r="B1094" s="316"/>
      <c r="C1094" s="374"/>
      <c r="D1094" s="466">
        <f>TrialBalanceB!C86</f>
        <v>0</v>
      </c>
      <c r="E1094" s="450"/>
      <c r="F1094" s="450"/>
      <c r="G1094" s="450"/>
      <c r="H1094" s="450"/>
      <c r="I1094" s="450"/>
      <c r="J1094" s="450"/>
      <c r="M1094" s="400">
        <f>-TrialBalanceB!I86</f>
        <v>0</v>
      </c>
      <c r="N1094" s="296"/>
      <c r="O1094" s="401">
        <f>-TrialBalanceB!K86</f>
        <v>0</v>
      </c>
      <c r="R1094" s="348" t="str">
        <f t="shared" si="27"/>
        <v>DELETE</v>
      </c>
    </row>
    <row r="1095" spans="2:21" ht="36" customHeight="1" x14ac:dyDescent="0.5">
      <c r="B1095" s="316"/>
      <c r="C1095" s="374"/>
      <c r="D1095" s="466">
        <f>TrialBalanceB!C87</f>
        <v>0</v>
      </c>
      <c r="E1095" s="450"/>
      <c r="F1095" s="450"/>
      <c r="G1095" s="450"/>
      <c r="H1095" s="450"/>
      <c r="I1095" s="450"/>
      <c r="J1095" s="450"/>
      <c r="M1095" s="400">
        <f>-TrialBalanceB!I87</f>
        <v>0</v>
      </c>
      <c r="N1095" s="296"/>
      <c r="O1095" s="401">
        <f>-TrialBalanceB!K87</f>
        <v>0</v>
      </c>
      <c r="R1095" s="348" t="str">
        <f t="shared" ref="R1095:R1098" si="28">IF(M1095+O1095=0,"DELETE"," ")</f>
        <v>DELETE</v>
      </c>
    </row>
    <row r="1096" spans="2:21" ht="36" customHeight="1" x14ac:dyDescent="0.5">
      <c r="B1096" s="316"/>
      <c r="C1096" s="374"/>
      <c r="D1096" s="466">
        <f>TrialBalanceB!C88</f>
        <v>0</v>
      </c>
      <c r="E1096" s="450"/>
      <c r="F1096" s="450"/>
      <c r="G1096" s="450"/>
      <c r="H1096" s="450"/>
      <c r="I1096" s="450"/>
      <c r="J1096" s="450"/>
      <c r="M1096" s="400">
        <f>-TrialBalanceB!I88</f>
        <v>0</v>
      </c>
      <c r="N1096" s="296"/>
      <c r="O1096" s="401">
        <f>-TrialBalanceB!K88</f>
        <v>0</v>
      </c>
      <c r="R1096" s="348" t="str">
        <f t="shared" si="28"/>
        <v>DELETE</v>
      </c>
    </row>
    <row r="1097" spans="2:21" ht="36" customHeight="1" x14ac:dyDescent="0.5">
      <c r="B1097" s="316"/>
      <c r="C1097" s="374"/>
      <c r="D1097" s="466">
        <f>TrialBalanceB!C89</f>
        <v>0</v>
      </c>
      <c r="E1097" s="450"/>
      <c r="F1097" s="450"/>
      <c r="G1097" s="450"/>
      <c r="H1097" s="450"/>
      <c r="I1097" s="450"/>
      <c r="J1097" s="450"/>
      <c r="M1097" s="400">
        <f>-TrialBalanceB!I89</f>
        <v>0</v>
      </c>
      <c r="N1097" s="296"/>
      <c r="O1097" s="401">
        <f>-TrialBalanceB!K89</f>
        <v>0</v>
      </c>
      <c r="R1097" s="348" t="str">
        <f t="shared" si="28"/>
        <v>DELETE</v>
      </c>
    </row>
    <row r="1098" spans="2:21" ht="36" customHeight="1" x14ac:dyDescent="0.5">
      <c r="B1098" s="316"/>
      <c r="C1098" s="374"/>
      <c r="D1098" s="466">
        <f>TrialBalanceC!C86</f>
        <v>0</v>
      </c>
      <c r="E1098" s="450"/>
      <c r="F1098" s="450"/>
      <c r="G1098" s="450"/>
      <c r="H1098" s="450"/>
      <c r="I1098" s="450"/>
      <c r="J1098" s="450"/>
      <c r="M1098" s="400">
        <f>-TrialBalanceC!I86</f>
        <v>0</v>
      </c>
      <c r="N1098" s="296"/>
      <c r="O1098" s="401">
        <f>-TrialBalanceC!K86</f>
        <v>0</v>
      </c>
      <c r="R1098" s="348" t="str">
        <f t="shared" si="28"/>
        <v>DELETE</v>
      </c>
    </row>
    <row r="1099" spans="2:21" ht="36" customHeight="1" x14ac:dyDescent="0.5">
      <c r="B1099" s="316"/>
      <c r="C1099" s="374"/>
      <c r="D1099" s="466">
        <f>TrialBalanceC!C87</f>
        <v>0</v>
      </c>
      <c r="E1099" s="450"/>
      <c r="F1099" s="450"/>
      <c r="G1099" s="450"/>
      <c r="H1099" s="450"/>
      <c r="I1099" s="450"/>
      <c r="J1099" s="450"/>
      <c r="M1099" s="400">
        <f>-TrialBalanceC!I87</f>
        <v>0</v>
      </c>
      <c r="N1099" s="296"/>
      <c r="O1099" s="401">
        <f>-TrialBalanceC!K87</f>
        <v>0</v>
      </c>
      <c r="R1099" s="348" t="str">
        <f t="shared" ref="R1099:R1101" si="29">IF(M1099+O1099=0,"DELETE"," ")</f>
        <v>DELETE</v>
      </c>
    </row>
    <row r="1100" spans="2:21" ht="36" customHeight="1" x14ac:dyDescent="0.5">
      <c r="B1100" s="316"/>
      <c r="C1100" s="374"/>
      <c r="D1100" s="466">
        <f>TrialBalanceC!C88</f>
        <v>0</v>
      </c>
      <c r="E1100" s="450"/>
      <c r="F1100" s="450"/>
      <c r="G1100" s="450"/>
      <c r="H1100" s="450"/>
      <c r="I1100" s="450"/>
      <c r="J1100" s="450"/>
      <c r="M1100" s="400">
        <f>-TrialBalanceC!I88</f>
        <v>0</v>
      </c>
      <c r="N1100" s="296"/>
      <c r="O1100" s="401">
        <f>-TrialBalanceC!K88</f>
        <v>0</v>
      </c>
      <c r="R1100" s="348" t="str">
        <f t="shared" si="29"/>
        <v>DELETE</v>
      </c>
    </row>
    <row r="1101" spans="2:21" ht="36" customHeight="1" x14ac:dyDescent="0.5">
      <c r="B1101" s="316"/>
      <c r="C1101" s="374"/>
      <c r="D1101" s="466">
        <f>TrialBalanceC!C89</f>
        <v>0</v>
      </c>
      <c r="E1101" s="450"/>
      <c r="F1101" s="450"/>
      <c r="G1101" s="450"/>
      <c r="H1101" s="450"/>
      <c r="I1101" s="450"/>
      <c r="J1101" s="450"/>
      <c r="M1101" s="400">
        <f>-TrialBalanceC!I89</f>
        <v>0</v>
      </c>
      <c r="N1101" s="296"/>
      <c r="O1101" s="401">
        <f>-TrialBalanceC!K89</f>
        <v>0</v>
      </c>
      <c r="R1101" s="348" t="str">
        <f t="shared" si="29"/>
        <v>DELETE</v>
      </c>
    </row>
    <row r="1102" spans="2:21" ht="9" customHeight="1" x14ac:dyDescent="0.5">
      <c r="B1102" s="316"/>
      <c r="C1102" s="374"/>
      <c r="D1102" s="450"/>
      <c r="E1102" s="450"/>
      <c r="F1102" s="450"/>
      <c r="G1102" s="450"/>
      <c r="H1102" s="450"/>
      <c r="I1102" s="450"/>
      <c r="J1102" s="450"/>
      <c r="M1102" s="402"/>
      <c r="N1102" s="298"/>
      <c r="O1102" s="403"/>
      <c r="R1102" s="348" t="str">
        <f>R1083</f>
        <v>DELETE</v>
      </c>
    </row>
    <row r="1103" spans="2:21" ht="9" customHeight="1" x14ac:dyDescent="0.5">
      <c r="B1103" s="316"/>
      <c r="C1103" s="374"/>
      <c r="D1103" s="450"/>
      <c r="E1103" s="450"/>
      <c r="F1103" s="450"/>
      <c r="G1103" s="450"/>
      <c r="H1103" s="450"/>
      <c r="I1103" s="450"/>
      <c r="J1103" s="450"/>
      <c r="M1103" s="296"/>
      <c r="N1103" s="296"/>
      <c r="O1103" s="296"/>
      <c r="R1103" s="348" t="str">
        <f>R1083</f>
        <v>DELETE</v>
      </c>
    </row>
    <row r="1104" spans="2:21" ht="36.75" customHeight="1" x14ac:dyDescent="0.5">
      <c r="B1104" s="316"/>
      <c r="C1104" s="316">
        <f>MAX(C$1072:C1103)+0.1</f>
        <v>6.2999999999999989</v>
      </c>
      <c r="D1104" s="450" t="s">
        <v>395</v>
      </c>
      <c r="E1104" s="450"/>
      <c r="F1104" s="450"/>
      <c r="G1104" s="450"/>
      <c r="H1104" s="450"/>
      <c r="I1104" s="450"/>
      <c r="J1104" s="450"/>
      <c r="M1104" s="296">
        <f>SUM(M1106:M1112)</f>
        <v>0</v>
      </c>
      <c r="N1104" s="296"/>
      <c r="O1104" s="296">
        <f>SUM(O1106:O1112)</f>
        <v>0</v>
      </c>
      <c r="R1104" s="348" t="str">
        <f>IF(SUM(M1107:M1111)+SUM(O1107:O1111)=0,"DELETE"," ")</f>
        <v>DELETE</v>
      </c>
      <c r="S1104" s="333">
        <f>M1104</f>
        <v>0</v>
      </c>
      <c r="U1104" s="333">
        <f>O1104</f>
        <v>0</v>
      </c>
    </row>
    <row r="1105" spans="2:24" ht="9" customHeight="1" x14ac:dyDescent="0.5">
      <c r="B1105" s="316"/>
      <c r="C1105" s="317"/>
      <c r="D1105" s="450"/>
      <c r="E1105" s="450"/>
      <c r="F1105" s="450"/>
      <c r="G1105" s="450"/>
      <c r="H1105" s="450"/>
      <c r="I1105" s="450"/>
      <c r="J1105" s="450"/>
      <c r="M1105" s="296"/>
      <c r="N1105" s="296"/>
      <c r="O1105" s="296"/>
      <c r="R1105" s="348" t="str">
        <f>R1104</f>
        <v>DELETE</v>
      </c>
    </row>
    <row r="1106" spans="2:24" ht="9" customHeight="1" x14ac:dyDescent="0.5">
      <c r="B1106" s="316"/>
      <c r="C1106" s="317"/>
      <c r="D1106" s="450"/>
      <c r="E1106" s="450"/>
      <c r="F1106" s="450"/>
      <c r="G1106" s="450"/>
      <c r="H1106" s="450"/>
      <c r="I1106" s="450"/>
      <c r="J1106" s="450"/>
      <c r="M1106" s="398"/>
      <c r="N1106" s="297"/>
      <c r="O1106" s="399"/>
      <c r="R1106" s="348" t="str">
        <f>R1104</f>
        <v>DELETE</v>
      </c>
    </row>
    <row r="1107" spans="2:24" ht="36" customHeight="1" x14ac:dyDescent="0.5">
      <c r="B1107" s="316"/>
      <c r="C1107" s="374"/>
      <c r="D1107" s="450" t="s">
        <v>513</v>
      </c>
      <c r="E1107" s="450"/>
      <c r="F1107" s="450"/>
      <c r="G1107" s="450"/>
      <c r="H1107" s="450"/>
      <c r="I1107" s="450"/>
      <c r="J1107" s="450"/>
      <c r="M1107" s="400">
        <f>IF(TrialBalance!L94&lt;0,-TrialBalance!L94,0)+IF(TrialBalanceA!I94&lt;0,-TrialBalanceA!I94,0)+IF(TrialBalanceB!I94&lt;0,-TrialBalanceB!I94,0)+IF(TrialBalanceC!I94&lt;0,-TrialBalanceC!I94,0)</f>
        <v>0</v>
      </c>
      <c r="N1107" s="310"/>
      <c r="O1107" s="401">
        <f>IF(TrialBalance!N94&lt;0,-TrialBalance!N94,0)+IF(TrialBalanceA!K94&lt;0,-TrialBalanceA!K94,0)+IF(TrialBalanceB!K94&lt;0,-TrialBalanceB!K94,0)+IF(TrialBalanceC!K94&lt;0,-TrialBalanceC!K94,0)</f>
        <v>0</v>
      </c>
      <c r="R1107" s="348" t="str">
        <f>IF(M1107+O1107=0,"DELETE"," ")</f>
        <v>DELETE</v>
      </c>
      <c r="S1107" s="336"/>
      <c r="T1107" s="336"/>
      <c r="U1107" s="336"/>
      <c r="V1107" s="336"/>
      <c r="W1107" s="336"/>
      <c r="X1107" s="336"/>
    </row>
    <row r="1108" spans="2:24" ht="36" customHeight="1" x14ac:dyDescent="0.5">
      <c r="B1108" s="316"/>
      <c r="C1108" s="374"/>
      <c r="D1108" s="450" t="s">
        <v>334</v>
      </c>
      <c r="E1108" s="450"/>
      <c r="F1108" s="450"/>
      <c r="G1108" s="450"/>
      <c r="H1108" s="450"/>
      <c r="I1108" s="450"/>
      <c r="J1108" s="450"/>
      <c r="M1108" s="400">
        <f>-TrialBalance!L84-TrialBalanceA!I84-TrialBalanceB!I84-TrialBalanceC!I84</f>
        <v>0</v>
      </c>
      <c r="N1108" s="310"/>
      <c r="O1108" s="401">
        <f>-TrialBalance!N84-TrialBalanceA!K84-TrialBalanceB!K84-TrialBalanceC!K84</f>
        <v>0</v>
      </c>
      <c r="R1108" s="348" t="str">
        <f>IF(M1108+O1108=0,"DELETE"," ")</f>
        <v>DELETE</v>
      </c>
      <c r="S1108" s="336"/>
      <c r="T1108" s="336"/>
      <c r="U1108" s="336"/>
      <c r="V1108" s="336"/>
      <c r="W1108" s="336"/>
      <c r="X1108" s="336"/>
    </row>
    <row r="1109" spans="2:24" ht="36" customHeight="1" x14ac:dyDescent="0.5">
      <c r="B1109" s="316"/>
      <c r="C1109" s="374"/>
      <c r="D1109" s="450" t="s">
        <v>189</v>
      </c>
      <c r="E1109" s="450"/>
      <c r="F1109" s="450"/>
      <c r="G1109" s="450"/>
      <c r="H1109" s="450"/>
      <c r="I1109" s="450"/>
      <c r="J1109" s="450"/>
      <c r="M1109" s="400">
        <f>-TrialBalance!L95-TrialBalanceA!I95-TrialBalanceB!I95-TrialBalanceC!I95</f>
        <v>0</v>
      </c>
      <c r="N1109" s="310"/>
      <c r="O1109" s="401">
        <f>-TrialBalance!N95-TrialBalanceA!K95-TrialBalanceB!K95-TrialBalanceC!K95</f>
        <v>0</v>
      </c>
      <c r="R1109" s="348" t="str">
        <f>IF(M1109+O1109=0,"DELETE"," ")</f>
        <v>DELETE</v>
      </c>
      <c r="S1109" s="336"/>
      <c r="T1109" s="336"/>
      <c r="U1109" s="336"/>
      <c r="V1109" s="336"/>
      <c r="W1109" s="336"/>
      <c r="X1109" s="336"/>
    </row>
    <row r="1110" spans="2:24" ht="36" customHeight="1" x14ac:dyDescent="0.5">
      <c r="B1110" s="316"/>
      <c r="C1110" s="374"/>
      <c r="D1110" s="450" t="s">
        <v>395</v>
      </c>
      <c r="E1110" s="450"/>
      <c r="F1110" s="450"/>
      <c r="G1110" s="450"/>
      <c r="H1110" s="450"/>
      <c r="I1110" s="450"/>
      <c r="J1110" s="450"/>
      <c r="M1110" s="400">
        <f>-TrialBalance!L96-TrialBalanceA!I96-TrialBalanceB!I96-TrialBalanceC!I96</f>
        <v>0</v>
      </c>
      <c r="N1110" s="310"/>
      <c r="O1110" s="401">
        <f>-TrialBalance!N96-TrialBalanceA!K96-TrialBalanceB!K96-TrialBalanceC!K96</f>
        <v>0</v>
      </c>
      <c r="R1110" s="348" t="str">
        <f>IF(M1110+O1110=0,"DELETE"," ")</f>
        <v>DELETE</v>
      </c>
      <c r="S1110" s="336"/>
      <c r="T1110" s="336"/>
      <c r="U1110" s="336"/>
      <c r="V1110" s="336"/>
      <c r="W1110" s="336"/>
      <c r="X1110" s="336"/>
    </row>
    <row r="1111" spans="2:24" ht="36" customHeight="1" x14ac:dyDescent="0.5">
      <c r="B1111" s="316"/>
      <c r="C1111" s="374"/>
      <c r="D1111" s="450" t="str">
        <f>TrialBalance!C97</f>
        <v>Revaluation of investment property</v>
      </c>
      <c r="E1111" s="450"/>
      <c r="F1111" s="450"/>
      <c r="G1111" s="450"/>
      <c r="H1111" s="450"/>
      <c r="I1111" s="450"/>
      <c r="J1111" s="450"/>
      <c r="M1111" s="400">
        <f>-TrialBalance!L97-TrialBalanceA!I97-TrialBalanceB!I97-TrialBalanceC!I97</f>
        <v>0</v>
      </c>
      <c r="N1111" s="310"/>
      <c r="O1111" s="401">
        <f>-TrialBalance!N97-TrialBalanceA!K97-TrialBalanceB!K97-TrialBalanceC!K97</f>
        <v>0</v>
      </c>
      <c r="R1111" s="348" t="str">
        <f>IF(M1111+O1111=0,"DELETE"," ")</f>
        <v>DELETE</v>
      </c>
      <c r="S1111" s="336"/>
      <c r="T1111" s="336"/>
      <c r="U1111" s="336"/>
      <c r="V1111" s="336"/>
      <c r="W1111" s="336"/>
      <c r="X1111" s="336"/>
    </row>
    <row r="1112" spans="2:24" ht="9" customHeight="1" x14ac:dyDescent="0.5">
      <c r="B1112" s="316"/>
      <c r="C1112" s="374"/>
      <c r="D1112" s="450"/>
      <c r="E1112" s="450"/>
      <c r="F1112" s="450"/>
      <c r="G1112" s="450"/>
      <c r="H1112" s="450"/>
      <c r="I1112" s="450"/>
      <c r="J1112" s="450"/>
      <c r="M1112" s="402"/>
      <c r="N1112" s="298"/>
      <c r="O1112" s="403"/>
      <c r="R1112" s="348" t="str">
        <f>R1104</f>
        <v>DELETE</v>
      </c>
      <c r="S1112" s="336"/>
      <c r="T1112" s="336"/>
      <c r="U1112" s="336"/>
      <c r="V1112" s="336"/>
      <c r="W1112" s="336"/>
      <c r="X1112" s="336"/>
    </row>
    <row r="1113" spans="2:24" ht="9" customHeight="1" x14ac:dyDescent="0.5">
      <c r="B1113" s="316"/>
      <c r="C1113" s="374"/>
      <c r="D1113" s="450"/>
      <c r="E1113" s="450"/>
      <c r="F1113" s="450"/>
      <c r="G1113" s="450"/>
      <c r="H1113" s="450"/>
      <c r="I1113" s="450"/>
      <c r="J1113" s="450"/>
      <c r="M1113" s="298"/>
      <c r="N1113" s="298"/>
      <c r="O1113" s="298"/>
      <c r="R1113" s="348" t="str">
        <f>R1115</f>
        <v>DELETE</v>
      </c>
    </row>
    <row r="1114" spans="2:24" ht="9" customHeight="1" x14ac:dyDescent="0.5">
      <c r="B1114" s="316"/>
      <c r="C1114" s="374"/>
      <c r="D1114" s="450"/>
      <c r="E1114" s="450"/>
      <c r="F1114" s="450"/>
      <c r="G1114" s="450"/>
      <c r="H1114" s="450"/>
      <c r="I1114" s="450"/>
      <c r="J1114" s="450"/>
      <c r="M1114" s="296"/>
      <c r="N1114" s="296"/>
      <c r="O1114" s="296"/>
      <c r="R1114" s="348" t="str">
        <f>R1115</f>
        <v>DELETE</v>
      </c>
    </row>
    <row r="1115" spans="2:24" ht="36.75" customHeight="1" x14ac:dyDescent="0.5">
      <c r="B1115" s="316"/>
      <c r="C1115" s="374"/>
      <c r="D1115" s="450" t="s">
        <v>532</v>
      </c>
      <c r="E1115" s="450"/>
      <c r="F1115" s="450"/>
      <c r="G1115" s="450"/>
      <c r="H1115" s="450"/>
      <c r="I1115" s="450"/>
      <c r="J1115" s="450"/>
      <c r="M1115" s="296">
        <f>SUM(S1075:S1113)</f>
        <v>0</v>
      </c>
      <c r="N1115" s="296"/>
      <c r="O1115" s="296">
        <f>SUM(U1075:U1113)</f>
        <v>0</v>
      </c>
      <c r="R1115" s="348" t="str">
        <f>IF(M1115+O1115=0,"DELETE"," ")</f>
        <v>DELETE</v>
      </c>
      <c r="V1115" s="338"/>
      <c r="W1115" s="338"/>
      <c r="X1115" s="338"/>
    </row>
    <row r="1116" spans="2:24" ht="9" customHeight="1" thickBot="1" x14ac:dyDescent="0.55000000000000004">
      <c r="B1116" s="316"/>
      <c r="C1116" s="374"/>
      <c r="D1116" s="450"/>
      <c r="E1116" s="450"/>
      <c r="F1116" s="450"/>
      <c r="G1116" s="450"/>
      <c r="H1116" s="450"/>
      <c r="I1116" s="450"/>
      <c r="J1116" s="450"/>
      <c r="M1116" s="299"/>
      <c r="N1116" s="299"/>
      <c r="O1116" s="299"/>
      <c r="R1116" s="348" t="str">
        <f t="shared" ref="R1116:R1121" si="30">R$1115</f>
        <v>DELETE</v>
      </c>
    </row>
    <row r="1117" spans="2:24" ht="9" customHeight="1" thickTop="1" x14ac:dyDescent="0.5">
      <c r="B1117" s="316"/>
      <c r="C1117" s="374"/>
      <c r="D1117" s="450"/>
      <c r="E1117" s="450"/>
      <c r="F1117" s="450"/>
      <c r="G1117" s="450"/>
      <c r="H1117" s="450"/>
      <c r="I1117" s="450"/>
      <c r="J1117" s="450"/>
      <c r="M1117" s="310"/>
      <c r="N1117" s="310"/>
      <c r="O1117" s="310"/>
      <c r="R1117" s="348" t="str">
        <f t="shared" si="30"/>
        <v>DELETE</v>
      </c>
    </row>
    <row r="1118" spans="2:24" ht="36" customHeight="1" x14ac:dyDescent="0.5">
      <c r="B1118" s="316"/>
      <c r="C1118" s="374"/>
      <c r="D1118" s="450"/>
      <c r="E1118" s="450"/>
      <c r="F1118" s="450"/>
      <c r="G1118" s="450"/>
      <c r="H1118" s="450"/>
      <c r="I1118" s="450"/>
      <c r="J1118" s="450"/>
      <c r="M1118" s="296"/>
      <c r="N1118" s="296"/>
      <c r="O1118" s="296"/>
      <c r="R1118" s="348" t="str">
        <f t="shared" si="30"/>
        <v>DELETE</v>
      </c>
    </row>
    <row r="1119" spans="2:24" ht="36" customHeight="1" x14ac:dyDescent="0.5">
      <c r="B1119" s="316"/>
      <c r="C1119" s="374"/>
      <c r="D1119" s="450"/>
      <c r="E1119" s="450"/>
      <c r="F1119" s="450"/>
      <c r="G1119" s="450"/>
      <c r="H1119" s="450"/>
      <c r="I1119" s="450"/>
      <c r="J1119" s="450"/>
      <c r="M1119" s="296"/>
      <c r="N1119" s="296"/>
      <c r="O1119" s="296"/>
      <c r="R1119" s="348" t="str">
        <f t="shared" si="30"/>
        <v>DELETE</v>
      </c>
    </row>
    <row r="1120" spans="2:24" ht="36" customHeight="1" x14ac:dyDescent="0.5">
      <c r="B1120" s="316"/>
      <c r="C1120" s="374"/>
      <c r="D1120" s="450"/>
      <c r="E1120" s="450"/>
      <c r="F1120" s="450"/>
      <c r="G1120" s="450"/>
      <c r="H1120" s="450"/>
      <c r="I1120" s="450"/>
      <c r="J1120" s="450"/>
      <c r="M1120" s="310"/>
      <c r="N1120" s="310"/>
      <c r="O1120" s="310"/>
      <c r="P1120" s="356"/>
      <c r="R1120" s="348" t="str">
        <f t="shared" si="30"/>
        <v>DELETE</v>
      </c>
    </row>
    <row r="1121" spans="2:18" ht="36" customHeight="1" x14ac:dyDescent="0.5">
      <c r="B1121" s="316"/>
      <c r="C1121" s="352"/>
      <c r="D1121" s="450"/>
      <c r="E1121" s="450"/>
      <c r="F1121" s="450"/>
      <c r="G1121" s="450"/>
      <c r="H1121" s="450"/>
      <c r="I1121" s="450"/>
      <c r="J1121" s="450"/>
      <c r="M1121" s="296"/>
      <c r="N1121" s="296"/>
      <c r="O1121" s="296"/>
      <c r="R1121" s="348" t="str">
        <f t="shared" si="30"/>
        <v>DELETE</v>
      </c>
    </row>
    <row r="1122" spans="2:18" ht="36" customHeight="1" x14ac:dyDescent="0.5">
      <c r="B1122" s="354"/>
      <c r="D1122" s="450"/>
      <c r="E1122" s="450"/>
      <c r="F1122" s="450"/>
      <c r="G1122" s="450"/>
      <c r="H1122" s="450"/>
      <c r="I1122" s="450"/>
      <c r="J1122" s="450"/>
      <c r="M1122" s="351"/>
      <c r="N1122" s="351"/>
      <c r="O1122" s="296" t="s">
        <v>89</v>
      </c>
      <c r="Q1122" s="292">
        <f>MAX($Q$105:Q1121)+1</f>
        <v>32</v>
      </c>
      <c r="R1122" s="348" t="str">
        <f>R$1180</f>
        <v>DELETE</v>
      </c>
    </row>
    <row r="1123" spans="2:18" ht="36" customHeight="1" x14ac:dyDescent="0.5">
      <c r="B1123" s="354"/>
      <c r="D1123" s="456" t="str">
        <f>Criteria!E9</f>
        <v>HOLDING COMPANY 268 (PROPRIETARY) LIMITED</v>
      </c>
      <c r="E1123" s="450"/>
      <c r="F1123" s="450"/>
      <c r="G1123" s="450"/>
      <c r="H1123" s="450"/>
      <c r="I1123" s="450"/>
      <c r="J1123" s="450"/>
      <c r="M1123" s="351"/>
      <c r="N1123" s="351"/>
      <c r="O1123" s="347"/>
      <c r="R1123" s="348" t="str">
        <f>R$1180</f>
        <v>DELETE</v>
      </c>
    </row>
    <row r="1124" spans="2:18" ht="36" customHeight="1" x14ac:dyDescent="0.5">
      <c r="B1124" s="354"/>
      <c r="D1124" s="456" t="str">
        <f>Criteria!E10</f>
        <v>CONSOLIDATED FINANCIAL STATEMENTS</v>
      </c>
      <c r="E1124" s="450"/>
      <c r="F1124" s="450"/>
      <c r="G1124" s="450"/>
      <c r="H1124" s="450"/>
      <c r="I1124" s="450"/>
      <c r="J1124" s="450"/>
      <c r="M1124" s="351"/>
      <c r="N1124" s="351"/>
      <c r="O1124" s="351"/>
      <c r="R1124" s="348" t="str">
        <f>IF(R$1180="DELETE","DELETE",IF(D1124=0,"DELETE"," "))</f>
        <v>DELETE</v>
      </c>
    </row>
    <row r="1125" spans="2:18" ht="36" customHeight="1" x14ac:dyDescent="0.5">
      <c r="B1125" s="354"/>
      <c r="D1125" s="450"/>
      <c r="E1125" s="450"/>
      <c r="F1125" s="450"/>
      <c r="G1125" s="450"/>
      <c r="H1125" s="450"/>
      <c r="I1125" s="450"/>
      <c r="J1125" s="450"/>
      <c r="M1125" s="351"/>
      <c r="N1125" s="351"/>
      <c r="O1125" s="351"/>
      <c r="R1125" s="348" t="str">
        <f t="shared" ref="R1125:R1133" si="31">R$1180</f>
        <v>DELETE</v>
      </c>
    </row>
    <row r="1126" spans="2:18" ht="36" customHeight="1" x14ac:dyDescent="0.5">
      <c r="B1126" s="354"/>
      <c r="D1126" s="456" t="s">
        <v>351</v>
      </c>
      <c r="E1126" s="450"/>
      <c r="F1126" s="450"/>
      <c r="G1126" s="450"/>
      <c r="H1126" s="450"/>
      <c r="I1126" s="450"/>
      <c r="J1126" s="450"/>
      <c r="M1126" s="351"/>
      <c r="N1126" s="351"/>
      <c r="O1126" s="351"/>
      <c r="R1126" s="348" t="str">
        <f t="shared" si="31"/>
        <v>DELETE</v>
      </c>
    </row>
    <row r="1127" spans="2:18" ht="36" customHeight="1" x14ac:dyDescent="0.5">
      <c r="B1127" s="354"/>
      <c r="D1127" s="456" t="str">
        <f>Criteria!E20</f>
        <v>28 FEBRUARY 2025</v>
      </c>
      <c r="E1127" s="450"/>
      <c r="F1127" s="450"/>
      <c r="G1127" s="450"/>
      <c r="H1127" s="450"/>
      <c r="I1127" s="450"/>
      <c r="J1127" s="450" t="s">
        <v>231</v>
      </c>
      <c r="M1127" s="351"/>
      <c r="N1127" s="351"/>
      <c r="O1127" s="351"/>
      <c r="R1127" s="348" t="str">
        <f t="shared" si="31"/>
        <v>DELETE</v>
      </c>
    </row>
    <row r="1128" spans="2:18" ht="36" customHeight="1" x14ac:dyDescent="0.5">
      <c r="B1128" s="354"/>
      <c r="D1128" s="450"/>
      <c r="E1128" s="450"/>
      <c r="F1128" s="450"/>
      <c r="G1128" s="450"/>
      <c r="H1128" s="450"/>
      <c r="I1128" s="450"/>
      <c r="J1128" s="450"/>
      <c r="M1128" s="372"/>
      <c r="N1128" s="372"/>
      <c r="O1128" s="372"/>
      <c r="R1128" s="348" t="str">
        <f t="shared" si="31"/>
        <v>DELETE</v>
      </c>
    </row>
    <row r="1129" spans="2:18" ht="36" customHeight="1" x14ac:dyDescent="0.5">
      <c r="B1129" s="368"/>
      <c r="C1129" s="364"/>
      <c r="D1129" s="460"/>
      <c r="E1129" s="460"/>
      <c r="F1129" s="460"/>
      <c r="G1129" s="460"/>
      <c r="H1129" s="460"/>
      <c r="I1129" s="460"/>
      <c r="J1129" s="460"/>
      <c r="K1129" s="364"/>
      <c r="L1129" s="364"/>
      <c r="M1129" s="378"/>
      <c r="N1129" s="378"/>
      <c r="O1129" s="378"/>
      <c r="P1129" s="367"/>
      <c r="Q1129" s="364"/>
      <c r="R1129" s="348" t="str">
        <f t="shared" si="31"/>
        <v>DELETE</v>
      </c>
    </row>
    <row r="1130" spans="2:18" ht="36" customHeight="1" x14ac:dyDescent="0.5">
      <c r="B1130" s="354"/>
      <c r="D1130" s="450"/>
      <c r="E1130" s="450"/>
      <c r="F1130" s="450"/>
      <c r="G1130" s="450"/>
      <c r="H1130" s="450"/>
      <c r="I1130" s="450"/>
      <c r="J1130" s="450"/>
      <c r="M1130" s="294">
        <f>Criteria!E22</f>
        <v>2025</v>
      </c>
      <c r="N1130" s="294"/>
      <c r="O1130" s="294">
        <f>Criteria!E27</f>
        <v>2024</v>
      </c>
      <c r="R1130" s="348" t="str">
        <f t="shared" si="31"/>
        <v>DELETE</v>
      </c>
    </row>
    <row r="1131" spans="2:18" ht="36" customHeight="1" x14ac:dyDescent="0.5">
      <c r="B1131" s="316"/>
      <c r="C1131" s="352"/>
      <c r="D1131" s="450"/>
      <c r="E1131" s="450"/>
      <c r="F1131" s="450"/>
      <c r="G1131" s="450"/>
      <c r="H1131" s="450"/>
      <c r="I1131" s="450"/>
      <c r="J1131" s="450"/>
      <c r="M1131" s="296"/>
      <c r="N1131" s="296"/>
      <c r="O1131" s="296"/>
      <c r="R1131" s="348" t="str">
        <f t="shared" si="31"/>
        <v>DELETE</v>
      </c>
    </row>
    <row r="1132" spans="2:18" ht="36" customHeight="1" x14ac:dyDescent="0.5">
      <c r="B1132" s="316">
        <f>MAX(B$602:B1131)+1</f>
        <v>7</v>
      </c>
      <c r="C1132" s="456" t="s">
        <v>1040</v>
      </c>
      <c r="D1132" s="450"/>
      <c r="E1132" s="450"/>
      <c r="F1132" s="450"/>
      <c r="G1132" s="450"/>
      <c r="H1132" s="450"/>
      <c r="I1132" s="450"/>
      <c r="J1132" s="450"/>
      <c r="M1132" s="296"/>
      <c r="N1132" s="296"/>
      <c r="O1132" s="296"/>
      <c r="R1132" s="348" t="str">
        <f t="shared" si="31"/>
        <v>DELETE</v>
      </c>
    </row>
    <row r="1133" spans="2:18" ht="36" customHeight="1" x14ac:dyDescent="0.5">
      <c r="B1133" s="316"/>
      <c r="C1133" s="456"/>
      <c r="D1133" s="450"/>
      <c r="E1133" s="450"/>
      <c r="F1133" s="450"/>
      <c r="G1133" s="450"/>
      <c r="H1133" s="450"/>
      <c r="I1133" s="450"/>
      <c r="J1133" s="450"/>
      <c r="M1133" s="296"/>
      <c r="N1133" s="296"/>
      <c r="O1133" s="296"/>
      <c r="R1133" s="348" t="str">
        <f t="shared" si="31"/>
        <v>DELETE</v>
      </c>
    </row>
    <row r="1134" spans="2:18" ht="36" customHeight="1" x14ac:dyDescent="0.5">
      <c r="B1134" s="316"/>
      <c r="C1134" s="450">
        <f>TrialBalance!C144</f>
        <v>0</v>
      </c>
      <c r="D1134" s="459"/>
      <c r="E1134" s="450"/>
      <c r="F1134" s="450"/>
      <c r="G1134" s="450"/>
      <c r="H1134" s="450"/>
      <c r="I1134" s="450"/>
      <c r="J1134" s="450"/>
      <c r="M1134" s="296">
        <f>TrialBalance!L144</f>
        <v>0</v>
      </c>
      <c r="N1134" s="296"/>
      <c r="O1134" s="296">
        <f>TrialBalance!N144</f>
        <v>0</v>
      </c>
      <c r="R1134" s="348" t="str">
        <f t="shared" ref="R1134:R1145" si="32">IF(M1134+O1134=0,"DELETE"," ")</f>
        <v>DELETE</v>
      </c>
    </row>
    <row r="1135" spans="2:18" ht="36" customHeight="1" x14ac:dyDescent="0.5">
      <c r="B1135" s="316"/>
      <c r="C1135" s="450">
        <f>TrialBalance!C145</f>
        <v>0</v>
      </c>
      <c r="D1135" s="459"/>
      <c r="E1135" s="450"/>
      <c r="F1135" s="450"/>
      <c r="G1135" s="450"/>
      <c r="H1135" s="450"/>
      <c r="I1135" s="450"/>
      <c r="J1135" s="450"/>
      <c r="M1135" s="296">
        <f>TrialBalance!L145</f>
        <v>0</v>
      </c>
      <c r="N1135" s="296"/>
      <c r="O1135" s="296">
        <f>TrialBalance!N145</f>
        <v>0</v>
      </c>
      <c r="R1135" s="348" t="str">
        <f t="shared" si="32"/>
        <v>DELETE</v>
      </c>
    </row>
    <row r="1136" spans="2:18" ht="36" customHeight="1" x14ac:dyDescent="0.5">
      <c r="B1136" s="316"/>
      <c r="C1136" s="450">
        <f>TrialBalance!C146</f>
        <v>0</v>
      </c>
      <c r="D1136" s="459"/>
      <c r="E1136" s="450"/>
      <c r="F1136" s="450"/>
      <c r="G1136" s="450"/>
      <c r="H1136" s="450"/>
      <c r="I1136" s="450"/>
      <c r="J1136" s="450"/>
      <c r="M1136" s="296">
        <f>TrialBalance!L146</f>
        <v>0</v>
      </c>
      <c r="N1136" s="296"/>
      <c r="O1136" s="296">
        <f>TrialBalance!N146</f>
        <v>0</v>
      </c>
      <c r="R1136" s="348" t="str">
        <f t="shared" si="32"/>
        <v>DELETE</v>
      </c>
    </row>
    <row r="1137" spans="2:18" ht="36" customHeight="1" x14ac:dyDescent="0.5">
      <c r="B1137" s="316"/>
      <c r="C1137" s="450">
        <f>TrialBalance!C147</f>
        <v>0</v>
      </c>
      <c r="D1137" s="459"/>
      <c r="E1137" s="450"/>
      <c r="F1137" s="450"/>
      <c r="G1137" s="450"/>
      <c r="H1137" s="450"/>
      <c r="I1137" s="450"/>
      <c r="J1137" s="450"/>
      <c r="M1137" s="296">
        <f>TrialBalance!L147</f>
        <v>0</v>
      </c>
      <c r="N1137" s="296"/>
      <c r="O1137" s="296">
        <f>TrialBalance!N147</f>
        <v>0</v>
      </c>
      <c r="R1137" s="348" t="str">
        <f t="shared" ref="R1137:R1139" si="33">IF(M1137+O1137=0,"DELETE"," ")</f>
        <v>DELETE</v>
      </c>
    </row>
    <row r="1138" spans="2:18" ht="36" customHeight="1" x14ac:dyDescent="0.5">
      <c r="B1138" s="316"/>
      <c r="C1138" s="450">
        <f>TrialBalance!C148</f>
        <v>0</v>
      </c>
      <c r="D1138" s="459"/>
      <c r="E1138" s="450"/>
      <c r="F1138" s="450"/>
      <c r="G1138" s="450"/>
      <c r="H1138" s="450"/>
      <c r="I1138" s="450"/>
      <c r="J1138" s="450"/>
      <c r="M1138" s="296">
        <f>TrialBalance!L148</f>
        <v>0</v>
      </c>
      <c r="N1138" s="296"/>
      <c r="O1138" s="296">
        <f>TrialBalance!N148</f>
        <v>0</v>
      </c>
      <c r="R1138" s="348" t="str">
        <f t="shared" si="33"/>
        <v>DELETE</v>
      </c>
    </row>
    <row r="1139" spans="2:18" ht="36" customHeight="1" x14ac:dyDescent="0.5">
      <c r="B1139" s="316"/>
      <c r="C1139" s="450">
        <f>TrialBalance!C149</f>
        <v>0</v>
      </c>
      <c r="D1139" s="459"/>
      <c r="E1139" s="450"/>
      <c r="F1139" s="450"/>
      <c r="G1139" s="450"/>
      <c r="H1139" s="450"/>
      <c r="I1139" s="450"/>
      <c r="J1139" s="450"/>
      <c r="M1139" s="296">
        <f>TrialBalance!L149</f>
        <v>0</v>
      </c>
      <c r="N1139" s="296"/>
      <c r="O1139" s="296">
        <f>TrialBalance!N149</f>
        <v>0</v>
      </c>
      <c r="R1139" s="348" t="str">
        <f t="shared" si="33"/>
        <v>DELETE</v>
      </c>
    </row>
    <row r="1140" spans="2:18" ht="36" customHeight="1" x14ac:dyDescent="0.5">
      <c r="B1140" s="316"/>
      <c r="C1140" s="450">
        <f>TrialBalance!C150</f>
        <v>0</v>
      </c>
      <c r="D1140" s="459"/>
      <c r="E1140" s="450"/>
      <c r="F1140" s="450"/>
      <c r="G1140" s="450"/>
      <c r="H1140" s="450"/>
      <c r="I1140" s="450"/>
      <c r="J1140" s="450"/>
      <c r="M1140" s="296">
        <f>TrialBalance!L150</f>
        <v>0</v>
      </c>
      <c r="N1140" s="296"/>
      <c r="O1140" s="296">
        <f>TrialBalance!N150</f>
        <v>0</v>
      </c>
      <c r="R1140" s="348" t="str">
        <f t="shared" si="32"/>
        <v>DELETE</v>
      </c>
    </row>
    <row r="1141" spans="2:18" ht="36" customHeight="1" x14ac:dyDescent="0.5">
      <c r="B1141" s="316"/>
      <c r="C1141" s="450">
        <f>TrialBalance!C151</f>
        <v>0</v>
      </c>
      <c r="D1141" s="459"/>
      <c r="E1141" s="450"/>
      <c r="F1141" s="450"/>
      <c r="G1141" s="450"/>
      <c r="H1141" s="450"/>
      <c r="I1141" s="450"/>
      <c r="J1141" s="450"/>
      <c r="M1141" s="296">
        <f>TrialBalance!L151</f>
        <v>0</v>
      </c>
      <c r="N1141" s="296"/>
      <c r="O1141" s="296">
        <f>TrialBalance!N151</f>
        <v>0</v>
      </c>
      <c r="R1141" s="348" t="str">
        <f t="shared" si="32"/>
        <v>DELETE</v>
      </c>
    </row>
    <row r="1142" spans="2:18" ht="36" customHeight="1" x14ac:dyDescent="0.5">
      <c r="B1142" s="316"/>
      <c r="C1142" s="450">
        <f>TrialBalance!C152</f>
        <v>0</v>
      </c>
      <c r="D1142" s="459"/>
      <c r="E1142" s="450"/>
      <c r="F1142" s="450"/>
      <c r="G1142" s="450"/>
      <c r="H1142" s="450"/>
      <c r="I1142" s="450"/>
      <c r="J1142" s="450"/>
      <c r="M1142" s="296">
        <f>TrialBalance!L152</f>
        <v>0</v>
      </c>
      <c r="N1142" s="296"/>
      <c r="O1142" s="296">
        <f>TrialBalance!N152</f>
        <v>0</v>
      </c>
      <c r="R1142" s="348" t="str">
        <f>IF(M1142+O1142=0,"DELETE"," ")</f>
        <v>DELETE</v>
      </c>
    </row>
    <row r="1143" spans="2:18" ht="36" customHeight="1" x14ac:dyDescent="0.5">
      <c r="B1143" s="316"/>
      <c r="C1143" s="450">
        <f>TrialBalance!C153</f>
        <v>0</v>
      </c>
      <c r="D1143" s="459"/>
      <c r="E1143" s="450"/>
      <c r="F1143" s="450"/>
      <c r="G1143" s="450"/>
      <c r="H1143" s="450"/>
      <c r="I1143" s="450"/>
      <c r="J1143" s="450"/>
      <c r="M1143" s="296">
        <f>TrialBalance!L153</f>
        <v>0</v>
      </c>
      <c r="N1143" s="296"/>
      <c r="O1143" s="296">
        <f>TrialBalance!N153</f>
        <v>0</v>
      </c>
      <c r="R1143" s="348" t="str">
        <f>IF(M1143+O1143=0,"DELETE"," ")</f>
        <v>DELETE</v>
      </c>
    </row>
    <row r="1144" spans="2:18" ht="36" customHeight="1" x14ac:dyDescent="0.5">
      <c r="B1144" s="316"/>
      <c r="C1144" s="450" t="str">
        <f>TrialBalance!C154</f>
        <v>Finance leases - Financial instruments</v>
      </c>
      <c r="D1144" s="459"/>
      <c r="E1144" s="450"/>
      <c r="F1144" s="450"/>
      <c r="G1144" s="450"/>
      <c r="H1144" s="450"/>
      <c r="I1144" s="450"/>
      <c r="J1144" s="450"/>
      <c r="M1144" s="296">
        <f>TrialBalance!L154</f>
        <v>0</v>
      </c>
      <c r="N1144" s="296"/>
      <c r="O1144" s="296">
        <f>TrialBalance!N154</f>
        <v>0</v>
      </c>
      <c r="R1144" s="348" t="str">
        <f t="shared" si="32"/>
        <v>DELETE</v>
      </c>
    </row>
    <row r="1145" spans="2:18" ht="36" customHeight="1" x14ac:dyDescent="0.5">
      <c r="B1145" s="316"/>
      <c r="C1145" s="450">
        <f>TrialBalanceA!C144</f>
        <v>0</v>
      </c>
      <c r="D1145" s="459"/>
      <c r="E1145" s="450"/>
      <c r="F1145" s="450"/>
      <c r="G1145" s="450"/>
      <c r="H1145" s="450"/>
      <c r="I1145" s="450"/>
      <c r="J1145" s="450"/>
      <c r="M1145" s="296">
        <f>TrialBalanceA!I144</f>
        <v>0</v>
      </c>
      <c r="N1145" s="296"/>
      <c r="O1145" s="296">
        <f>TrialBalanceA!K144</f>
        <v>0</v>
      </c>
      <c r="R1145" s="348" t="str">
        <f t="shared" si="32"/>
        <v>DELETE</v>
      </c>
    </row>
    <row r="1146" spans="2:18" ht="36" customHeight="1" x14ac:dyDescent="0.5">
      <c r="B1146" s="316"/>
      <c r="C1146" s="450">
        <f>TrialBalanceA!C145</f>
        <v>0</v>
      </c>
      <c r="D1146" s="459"/>
      <c r="E1146" s="450"/>
      <c r="F1146" s="450"/>
      <c r="G1146" s="450"/>
      <c r="H1146" s="450"/>
      <c r="I1146" s="450"/>
      <c r="J1146" s="450"/>
      <c r="M1146" s="296">
        <f>TrialBalanceA!I145</f>
        <v>0</v>
      </c>
      <c r="N1146" s="296"/>
      <c r="O1146" s="296">
        <f>TrialBalanceA!K145</f>
        <v>0</v>
      </c>
      <c r="R1146" s="348" t="str">
        <f t="shared" ref="R1146:R1156" si="34">IF(M1146+O1146=0,"DELETE"," ")</f>
        <v>DELETE</v>
      </c>
    </row>
    <row r="1147" spans="2:18" ht="36" customHeight="1" x14ac:dyDescent="0.5">
      <c r="B1147" s="316"/>
      <c r="C1147" s="450">
        <f>TrialBalanceA!C146</f>
        <v>0</v>
      </c>
      <c r="D1147" s="459"/>
      <c r="E1147" s="450"/>
      <c r="F1147" s="450"/>
      <c r="G1147" s="450"/>
      <c r="H1147" s="450"/>
      <c r="I1147" s="450"/>
      <c r="J1147" s="450"/>
      <c r="M1147" s="296">
        <f>TrialBalanceA!I146</f>
        <v>0</v>
      </c>
      <c r="N1147" s="296"/>
      <c r="O1147" s="296">
        <f>TrialBalanceA!K146</f>
        <v>0</v>
      </c>
      <c r="R1147" s="348" t="str">
        <f t="shared" si="34"/>
        <v>DELETE</v>
      </c>
    </row>
    <row r="1148" spans="2:18" ht="36" customHeight="1" x14ac:dyDescent="0.5">
      <c r="B1148" s="316"/>
      <c r="C1148" s="450">
        <f>TrialBalanceA!C147</f>
        <v>0</v>
      </c>
      <c r="D1148" s="459"/>
      <c r="E1148" s="450"/>
      <c r="F1148" s="450"/>
      <c r="G1148" s="450"/>
      <c r="H1148" s="450"/>
      <c r="I1148" s="450"/>
      <c r="J1148" s="450"/>
      <c r="M1148" s="296">
        <f>TrialBalanceA!I147</f>
        <v>0</v>
      </c>
      <c r="N1148" s="296"/>
      <c r="O1148" s="296">
        <f>TrialBalanceA!K147</f>
        <v>0</v>
      </c>
      <c r="R1148" s="348" t="str">
        <f t="shared" si="34"/>
        <v>DELETE</v>
      </c>
    </row>
    <row r="1149" spans="2:18" ht="36" customHeight="1" x14ac:dyDescent="0.5">
      <c r="B1149" s="316"/>
      <c r="C1149" s="450">
        <f>TrialBalanceA!C148</f>
        <v>0</v>
      </c>
      <c r="D1149" s="459"/>
      <c r="E1149" s="450"/>
      <c r="F1149" s="450"/>
      <c r="G1149" s="450"/>
      <c r="H1149" s="450"/>
      <c r="I1149" s="450"/>
      <c r="J1149" s="450"/>
      <c r="M1149" s="296">
        <f>TrialBalanceA!I148</f>
        <v>0</v>
      </c>
      <c r="N1149" s="296"/>
      <c r="O1149" s="296">
        <f>TrialBalanceA!K148</f>
        <v>0</v>
      </c>
      <c r="R1149" s="348" t="str">
        <f t="shared" si="34"/>
        <v>DELETE</v>
      </c>
    </row>
    <row r="1150" spans="2:18" ht="36" customHeight="1" x14ac:dyDescent="0.5">
      <c r="B1150" s="316"/>
      <c r="C1150" s="450">
        <f>TrialBalanceA!C149</f>
        <v>0</v>
      </c>
      <c r="D1150" s="459"/>
      <c r="E1150" s="450"/>
      <c r="F1150" s="450"/>
      <c r="G1150" s="450"/>
      <c r="H1150" s="450"/>
      <c r="I1150" s="450"/>
      <c r="J1150" s="450"/>
      <c r="M1150" s="296">
        <f>TrialBalanceA!I149</f>
        <v>0</v>
      </c>
      <c r="N1150" s="296"/>
      <c r="O1150" s="296">
        <f>TrialBalanceA!K149</f>
        <v>0</v>
      </c>
      <c r="R1150" s="348" t="str">
        <f t="shared" si="34"/>
        <v>DELETE</v>
      </c>
    </row>
    <row r="1151" spans="2:18" ht="36" customHeight="1" x14ac:dyDescent="0.5">
      <c r="B1151" s="316"/>
      <c r="C1151" s="450">
        <f>TrialBalanceA!C150</f>
        <v>0</v>
      </c>
      <c r="D1151" s="459"/>
      <c r="E1151" s="450"/>
      <c r="F1151" s="450"/>
      <c r="G1151" s="450"/>
      <c r="H1151" s="450"/>
      <c r="I1151" s="450"/>
      <c r="J1151" s="450"/>
      <c r="M1151" s="296">
        <f>TrialBalanceA!I150</f>
        <v>0</v>
      </c>
      <c r="N1151" s="296"/>
      <c r="O1151" s="296">
        <f>TrialBalanceA!K150</f>
        <v>0</v>
      </c>
      <c r="R1151" s="348" t="str">
        <f t="shared" ref="R1151:R1153" si="35">IF(M1151+O1151=0,"DELETE"," ")</f>
        <v>DELETE</v>
      </c>
    </row>
    <row r="1152" spans="2:18" ht="36" customHeight="1" x14ac:dyDescent="0.5">
      <c r="B1152" s="316"/>
      <c r="C1152" s="450">
        <f>TrialBalanceA!C151</f>
        <v>0</v>
      </c>
      <c r="D1152" s="459"/>
      <c r="E1152" s="450"/>
      <c r="F1152" s="450"/>
      <c r="G1152" s="450"/>
      <c r="H1152" s="450"/>
      <c r="I1152" s="450"/>
      <c r="J1152" s="450"/>
      <c r="M1152" s="296">
        <f>TrialBalanceA!I151</f>
        <v>0</v>
      </c>
      <c r="N1152" s="296"/>
      <c r="O1152" s="296">
        <f>TrialBalanceA!K151</f>
        <v>0</v>
      </c>
      <c r="R1152" s="348" t="str">
        <f t="shared" si="35"/>
        <v>DELETE</v>
      </c>
    </row>
    <row r="1153" spans="2:18" ht="36" customHeight="1" x14ac:dyDescent="0.5">
      <c r="B1153" s="316"/>
      <c r="C1153" s="450">
        <f>TrialBalanceA!C152</f>
        <v>0</v>
      </c>
      <c r="D1153" s="459"/>
      <c r="E1153" s="450"/>
      <c r="F1153" s="450"/>
      <c r="G1153" s="450"/>
      <c r="H1153" s="450"/>
      <c r="I1153" s="450"/>
      <c r="J1153" s="450"/>
      <c r="M1153" s="296">
        <f>TrialBalanceA!I152</f>
        <v>0</v>
      </c>
      <c r="N1153" s="296"/>
      <c r="O1153" s="296">
        <f>TrialBalanceA!K152</f>
        <v>0</v>
      </c>
      <c r="R1153" s="348" t="str">
        <f t="shared" si="35"/>
        <v>DELETE</v>
      </c>
    </row>
    <row r="1154" spans="2:18" ht="36" customHeight="1" x14ac:dyDescent="0.5">
      <c r="B1154" s="316"/>
      <c r="C1154" s="450">
        <f>TrialBalanceA!C153</f>
        <v>0</v>
      </c>
      <c r="D1154" s="459"/>
      <c r="E1154" s="450"/>
      <c r="F1154" s="450"/>
      <c r="G1154" s="450"/>
      <c r="H1154" s="450"/>
      <c r="I1154" s="450"/>
      <c r="J1154" s="450"/>
      <c r="M1154" s="296">
        <f>TrialBalanceA!I153</f>
        <v>0</v>
      </c>
      <c r="N1154" s="296"/>
      <c r="O1154" s="296">
        <f>TrialBalanceA!K153</f>
        <v>0</v>
      </c>
      <c r="R1154" s="348" t="str">
        <f t="shared" si="34"/>
        <v>DELETE</v>
      </c>
    </row>
    <row r="1155" spans="2:18" ht="36" customHeight="1" x14ac:dyDescent="0.5">
      <c r="B1155" s="316"/>
      <c r="C1155" s="450" t="str">
        <f>TrialBalanceA!C154</f>
        <v>Finance leases - Subsidiary One 111 (Pty) Ltd</v>
      </c>
      <c r="D1155" s="459"/>
      <c r="E1155" s="450"/>
      <c r="F1155" s="450"/>
      <c r="G1155" s="450"/>
      <c r="H1155" s="450"/>
      <c r="I1155" s="450"/>
      <c r="J1155" s="450"/>
      <c r="M1155" s="296">
        <f>TrialBalanceA!I154</f>
        <v>0</v>
      </c>
      <c r="N1155" s="296"/>
      <c r="O1155" s="296">
        <f>TrialBalanceA!K154</f>
        <v>0</v>
      </c>
      <c r="R1155" s="348" t="str">
        <f t="shared" si="34"/>
        <v>DELETE</v>
      </c>
    </row>
    <row r="1156" spans="2:18" ht="36" customHeight="1" x14ac:dyDescent="0.5">
      <c r="B1156" s="316"/>
      <c r="C1156" s="450">
        <f>TrialBalanceB!C144</f>
        <v>0</v>
      </c>
      <c r="D1156" s="459"/>
      <c r="E1156" s="450"/>
      <c r="F1156" s="450"/>
      <c r="G1156" s="450"/>
      <c r="H1156" s="450"/>
      <c r="I1156" s="450"/>
      <c r="J1156" s="450"/>
      <c r="M1156" s="296">
        <f>TrialBalanceB!I144</f>
        <v>0</v>
      </c>
      <c r="N1156" s="296"/>
      <c r="O1156" s="296">
        <f>TrialBalanceB!K144</f>
        <v>0</v>
      </c>
      <c r="R1156" s="348" t="str">
        <f t="shared" si="34"/>
        <v>DELETE</v>
      </c>
    </row>
    <row r="1157" spans="2:18" ht="36" customHeight="1" x14ac:dyDescent="0.5">
      <c r="B1157" s="316"/>
      <c r="C1157" s="450">
        <f>TrialBalanceB!C145</f>
        <v>0</v>
      </c>
      <c r="D1157" s="459"/>
      <c r="E1157" s="450"/>
      <c r="F1157" s="450"/>
      <c r="G1157" s="450"/>
      <c r="H1157" s="450"/>
      <c r="I1157" s="450"/>
      <c r="J1157" s="450"/>
      <c r="M1157" s="296">
        <f>TrialBalanceB!I145</f>
        <v>0</v>
      </c>
      <c r="N1157" s="296"/>
      <c r="O1157" s="296">
        <f>TrialBalanceB!K145</f>
        <v>0</v>
      </c>
      <c r="R1157" s="348" t="str">
        <f t="shared" ref="R1157:R1167" si="36">IF(M1157+O1157=0,"DELETE"," ")</f>
        <v>DELETE</v>
      </c>
    </row>
    <row r="1158" spans="2:18" ht="36" customHeight="1" x14ac:dyDescent="0.5">
      <c r="B1158" s="316"/>
      <c r="C1158" s="450">
        <f>TrialBalanceB!C146</f>
        <v>0</v>
      </c>
      <c r="D1158" s="459"/>
      <c r="E1158" s="450"/>
      <c r="F1158" s="450"/>
      <c r="G1158" s="450"/>
      <c r="H1158" s="450"/>
      <c r="I1158" s="450"/>
      <c r="J1158" s="450"/>
      <c r="M1158" s="296">
        <f>TrialBalanceB!I146</f>
        <v>0</v>
      </c>
      <c r="N1158" s="296"/>
      <c r="O1158" s="296">
        <f>TrialBalanceB!K146</f>
        <v>0</v>
      </c>
      <c r="R1158" s="348" t="str">
        <f t="shared" si="36"/>
        <v>DELETE</v>
      </c>
    </row>
    <row r="1159" spans="2:18" ht="36" customHeight="1" x14ac:dyDescent="0.5">
      <c r="B1159" s="316"/>
      <c r="C1159" s="450">
        <f>TrialBalanceB!C147</f>
        <v>0</v>
      </c>
      <c r="D1159" s="459"/>
      <c r="E1159" s="450"/>
      <c r="F1159" s="450"/>
      <c r="G1159" s="450"/>
      <c r="H1159" s="450"/>
      <c r="I1159" s="450"/>
      <c r="J1159" s="450"/>
      <c r="M1159" s="296">
        <f>TrialBalanceB!I147</f>
        <v>0</v>
      </c>
      <c r="N1159" s="296"/>
      <c r="O1159" s="296">
        <f>TrialBalanceB!K147</f>
        <v>0</v>
      </c>
      <c r="R1159" s="348" t="str">
        <f t="shared" si="36"/>
        <v>DELETE</v>
      </c>
    </row>
    <row r="1160" spans="2:18" ht="36" customHeight="1" x14ac:dyDescent="0.5">
      <c r="B1160" s="316"/>
      <c r="C1160" s="450">
        <f>TrialBalanceB!C148</f>
        <v>0</v>
      </c>
      <c r="D1160" s="459"/>
      <c r="E1160" s="450"/>
      <c r="F1160" s="450"/>
      <c r="G1160" s="450"/>
      <c r="H1160" s="450"/>
      <c r="I1160" s="450"/>
      <c r="J1160" s="450"/>
      <c r="M1160" s="296">
        <f>TrialBalanceB!I148</f>
        <v>0</v>
      </c>
      <c r="N1160" s="296"/>
      <c r="O1160" s="296">
        <f>TrialBalanceB!K148</f>
        <v>0</v>
      </c>
      <c r="R1160" s="348" t="str">
        <f t="shared" si="36"/>
        <v>DELETE</v>
      </c>
    </row>
    <row r="1161" spans="2:18" ht="36" customHeight="1" x14ac:dyDescent="0.5">
      <c r="B1161" s="316"/>
      <c r="C1161" s="450">
        <f>TrialBalanceB!C149</f>
        <v>0</v>
      </c>
      <c r="D1161" s="459"/>
      <c r="E1161" s="450"/>
      <c r="F1161" s="450"/>
      <c r="G1161" s="450"/>
      <c r="H1161" s="450"/>
      <c r="I1161" s="450"/>
      <c r="J1161" s="450"/>
      <c r="M1161" s="296">
        <f>TrialBalanceB!I149</f>
        <v>0</v>
      </c>
      <c r="N1161" s="296"/>
      <c r="O1161" s="296">
        <f>TrialBalanceB!K149</f>
        <v>0</v>
      </c>
      <c r="R1161" s="348" t="str">
        <f t="shared" si="36"/>
        <v>DELETE</v>
      </c>
    </row>
    <row r="1162" spans="2:18" ht="36" customHeight="1" x14ac:dyDescent="0.5">
      <c r="B1162" s="316"/>
      <c r="C1162" s="450">
        <f>TrialBalanceB!C150</f>
        <v>0</v>
      </c>
      <c r="D1162" s="459"/>
      <c r="E1162" s="450"/>
      <c r="F1162" s="450"/>
      <c r="G1162" s="450"/>
      <c r="H1162" s="450"/>
      <c r="I1162" s="450"/>
      <c r="J1162" s="450"/>
      <c r="M1162" s="296">
        <f>TrialBalanceB!I150</f>
        <v>0</v>
      </c>
      <c r="N1162" s="296"/>
      <c r="O1162" s="296">
        <f>TrialBalanceB!K150</f>
        <v>0</v>
      </c>
      <c r="R1162" s="348" t="str">
        <f t="shared" ref="R1162:R1164" si="37">IF(M1162+O1162=0,"DELETE"," ")</f>
        <v>DELETE</v>
      </c>
    </row>
    <row r="1163" spans="2:18" ht="36" customHeight="1" x14ac:dyDescent="0.5">
      <c r="B1163" s="316"/>
      <c r="C1163" s="450">
        <f>TrialBalanceB!C151</f>
        <v>0</v>
      </c>
      <c r="D1163" s="459"/>
      <c r="E1163" s="450"/>
      <c r="F1163" s="450"/>
      <c r="G1163" s="450"/>
      <c r="H1163" s="450"/>
      <c r="I1163" s="450"/>
      <c r="J1163" s="450"/>
      <c r="M1163" s="296">
        <f>TrialBalanceB!I151</f>
        <v>0</v>
      </c>
      <c r="N1163" s="296"/>
      <c r="O1163" s="296">
        <f>TrialBalanceB!K151</f>
        <v>0</v>
      </c>
      <c r="R1163" s="348" t="str">
        <f t="shared" si="37"/>
        <v>DELETE</v>
      </c>
    </row>
    <row r="1164" spans="2:18" ht="36" customHeight="1" x14ac:dyDescent="0.5">
      <c r="B1164" s="316"/>
      <c r="C1164" s="450">
        <f>TrialBalanceB!C152</f>
        <v>0</v>
      </c>
      <c r="D1164" s="459"/>
      <c r="E1164" s="450"/>
      <c r="F1164" s="450"/>
      <c r="G1164" s="450"/>
      <c r="H1164" s="450"/>
      <c r="I1164" s="450"/>
      <c r="J1164" s="450"/>
      <c r="M1164" s="296">
        <f>TrialBalanceB!I152</f>
        <v>0</v>
      </c>
      <c r="N1164" s="296"/>
      <c r="O1164" s="296">
        <f>TrialBalanceB!K152</f>
        <v>0</v>
      </c>
      <c r="R1164" s="348" t="str">
        <f t="shared" si="37"/>
        <v>DELETE</v>
      </c>
    </row>
    <row r="1165" spans="2:18" ht="36" customHeight="1" x14ac:dyDescent="0.5">
      <c r="B1165" s="316"/>
      <c r="C1165" s="450">
        <f>TrialBalanceB!C153</f>
        <v>0</v>
      </c>
      <c r="D1165" s="459"/>
      <c r="E1165" s="450"/>
      <c r="F1165" s="450"/>
      <c r="G1165" s="450"/>
      <c r="H1165" s="450"/>
      <c r="I1165" s="450"/>
      <c r="J1165" s="450"/>
      <c r="M1165" s="296">
        <f>TrialBalanceB!I153</f>
        <v>0</v>
      </c>
      <c r="N1165" s="296"/>
      <c r="O1165" s="296">
        <f>TrialBalanceB!K153</f>
        <v>0</v>
      </c>
      <c r="R1165" s="348" t="str">
        <f t="shared" si="36"/>
        <v>DELETE</v>
      </c>
    </row>
    <row r="1166" spans="2:18" ht="36" customHeight="1" x14ac:dyDescent="0.5">
      <c r="B1166" s="316"/>
      <c r="C1166" s="450" t="str">
        <f>TrialBalanceB!C154</f>
        <v>Finance leases - Subsidiary Two 15 (Pty) Ltd</v>
      </c>
      <c r="D1166" s="459"/>
      <c r="E1166" s="450"/>
      <c r="F1166" s="450"/>
      <c r="G1166" s="450"/>
      <c r="H1166" s="450"/>
      <c r="I1166" s="450"/>
      <c r="J1166" s="450"/>
      <c r="M1166" s="296">
        <f>TrialBalanceB!I154</f>
        <v>0</v>
      </c>
      <c r="N1166" s="296"/>
      <c r="O1166" s="296">
        <f>TrialBalanceB!K154</f>
        <v>0</v>
      </c>
      <c r="R1166" s="348" t="str">
        <f t="shared" si="36"/>
        <v>DELETE</v>
      </c>
    </row>
    <row r="1167" spans="2:18" ht="36" customHeight="1" x14ac:dyDescent="0.5">
      <c r="B1167" s="316"/>
      <c r="C1167" s="450">
        <f>TrialBalanceC!C144</f>
        <v>0</v>
      </c>
      <c r="D1167" s="459"/>
      <c r="E1167" s="450"/>
      <c r="F1167" s="450"/>
      <c r="G1167" s="450"/>
      <c r="H1167" s="450"/>
      <c r="I1167" s="450"/>
      <c r="J1167" s="450"/>
      <c r="M1167" s="296">
        <f>TrialBalanceC!I144</f>
        <v>0</v>
      </c>
      <c r="N1167" s="296"/>
      <c r="O1167" s="296">
        <f>TrialBalanceC!K144</f>
        <v>0</v>
      </c>
      <c r="R1167" s="348" t="str">
        <f t="shared" si="36"/>
        <v>DELETE</v>
      </c>
    </row>
    <row r="1168" spans="2:18" ht="36" customHeight="1" x14ac:dyDescent="0.5">
      <c r="B1168" s="316"/>
      <c r="C1168" s="450">
        <f>TrialBalanceC!C145</f>
        <v>0</v>
      </c>
      <c r="D1168" s="459"/>
      <c r="E1168" s="450"/>
      <c r="F1168" s="450"/>
      <c r="G1168" s="450"/>
      <c r="H1168" s="450"/>
      <c r="I1168" s="450"/>
      <c r="J1168" s="450"/>
      <c r="M1168" s="296">
        <f>TrialBalanceC!I145</f>
        <v>0</v>
      </c>
      <c r="N1168" s="296"/>
      <c r="O1168" s="296">
        <f>TrialBalanceC!K145</f>
        <v>0</v>
      </c>
      <c r="R1168" s="348" t="str">
        <f t="shared" ref="R1168:R1177" si="38">IF(M1168+O1168=0,"DELETE"," ")</f>
        <v>DELETE</v>
      </c>
    </row>
    <row r="1169" spans="2:18" ht="36" customHeight="1" x14ac:dyDescent="0.5">
      <c r="B1169" s="316"/>
      <c r="C1169" s="450">
        <f>TrialBalanceC!C146</f>
        <v>0</v>
      </c>
      <c r="D1169" s="459"/>
      <c r="E1169" s="450"/>
      <c r="F1169" s="450"/>
      <c r="G1169" s="450"/>
      <c r="H1169" s="450"/>
      <c r="I1169" s="450"/>
      <c r="J1169" s="450"/>
      <c r="M1169" s="296">
        <f>TrialBalanceC!I146</f>
        <v>0</v>
      </c>
      <c r="N1169" s="296"/>
      <c r="O1169" s="296">
        <f>TrialBalanceC!K146</f>
        <v>0</v>
      </c>
      <c r="R1169" s="348" t="str">
        <f t="shared" si="38"/>
        <v>DELETE</v>
      </c>
    </row>
    <row r="1170" spans="2:18" ht="36" customHeight="1" x14ac:dyDescent="0.5">
      <c r="B1170" s="316"/>
      <c r="C1170" s="450">
        <f>TrialBalanceC!C147</f>
        <v>0</v>
      </c>
      <c r="D1170" s="459"/>
      <c r="E1170" s="450"/>
      <c r="F1170" s="450"/>
      <c r="G1170" s="450"/>
      <c r="H1170" s="450"/>
      <c r="I1170" s="450"/>
      <c r="J1170" s="450"/>
      <c r="M1170" s="296">
        <f>TrialBalanceC!I147</f>
        <v>0</v>
      </c>
      <c r="N1170" s="296"/>
      <c r="O1170" s="296">
        <f>TrialBalanceC!K147</f>
        <v>0</v>
      </c>
      <c r="R1170" s="348" t="str">
        <f t="shared" si="38"/>
        <v>DELETE</v>
      </c>
    </row>
    <row r="1171" spans="2:18" ht="36" customHeight="1" x14ac:dyDescent="0.5">
      <c r="B1171" s="316"/>
      <c r="C1171" s="450">
        <f>TrialBalanceC!C148</f>
        <v>0</v>
      </c>
      <c r="D1171" s="459"/>
      <c r="E1171" s="450"/>
      <c r="F1171" s="450"/>
      <c r="G1171" s="450"/>
      <c r="H1171" s="450"/>
      <c r="I1171" s="450"/>
      <c r="J1171" s="450"/>
      <c r="M1171" s="296">
        <f>TrialBalanceC!I148</f>
        <v>0</v>
      </c>
      <c r="N1171" s="296"/>
      <c r="O1171" s="296">
        <f>TrialBalanceC!K148</f>
        <v>0</v>
      </c>
      <c r="R1171" s="348" t="str">
        <f t="shared" si="38"/>
        <v>DELETE</v>
      </c>
    </row>
    <row r="1172" spans="2:18" ht="36" customHeight="1" x14ac:dyDescent="0.5">
      <c r="B1172" s="316"/>
      <c r="C1172" s="450">
        <f>TrialBalanceC!C149</f>
        <v>0</v>
      </c>
      <c r="D1172" s="459"/>
      <c r="E1172" s="450"/>
      <c r="F1172" s="450"/>
      <c r="G1172" s="450"/>
      <c r="H1172" s="450"/>
      <c r="I1172" s="450"/>
      <c r="J1172" s="450"/>
      <c r="M1172" s="296">
        <f>TrialBalanceC!I149</f>
        <v>0</v>
      </c>
      <c r="N1172" s="296"/>
      <c r="O1172" s="296">
        <f>TrialBalanceC!K149</f>
        <v>0</v>
      </c>
      <c r="R1172" s="348" t="str">
        <f t="shared" si="38"/>
        <v>DELETE</v>
      </c>
    </row>
    <row r="1173" spans="2:18" ht="36" customHeight="1" x14ac:dyDescent="0.5">
      <c r="B1173" s="316"/>
      <c r="C1173" s="450">
        <f>TrialBalanceC!C150</f>
        <v>0</v>
      </c>
      <c r="D1173" s="459"/>
      <c r="E1173" s="450"/>
      <c r="F1173" s="450"/>
      <c r="G1173" s="450"/>
      <c r="H1173" s="450"/>
      <c r="I1173" s="450"/>
      <c r="J1173" s="450"/>
      <c r="M1173" s="296">
        <f>TrialBalanceC!I150</f>
        <v>0</v>
      </c>
      <c r="N1173" s="296"/>
      <c r="O1173" s="296">
        <f>TrialBalanceC!K150</f>
        <v>0</v>
      </c>
      <c r="R1173" s="348" t="str">
        <f t="shared" ref="R1173:R1175" si="39">IF(M1173+O1173=0,"DELETE"," ")</f>
        <v>DELETE</v>
      </c>
    </row>
    <row r="1174" spans="2:18" ht="36" customHeight="1" x14ac:dyDescent="0.5">
      <c r="B1174" s="316"/>
      <c r="C1174" s="450">
        <f>TrialBalanceC!C151</f>
        <v>0</v>
      </c>
      <c r="D1174" s="459"/>
      <c r="E1174" s="450"/>
      <c r="F1174" s="450"/>
      <c r="G1174" s="450"/>
      <c r="H1174" s="450"/>
      <c r="I1174" s="450"/>
      <c r="J1174" s="450"/>
      <c r="M1174" s="296">
        <f>TrialBalanceC!I151</f>
        <v>0</v>
      </c>
      <c r="N1174" s="296"/>
      <c r="O1174" s="296">
        <f>TrialBalanceC!K151</f>
        <v>0</v>
      </c>
      <c r="R1174" s="348" t="str">
        <f t="shared" si="39"/>
        <v>DELETE</v>
      </c>
    </row>
    <row r="1175" spans="2:18" ht="36" customHeight="1" x14ac:dyDescent="0.5">
      <c r="B1175" s="316"/>
      <c r="C1175" s="450">
        <f>TrialBalanceC!C152</f>
        <v>0</v>
      </c>
      <c r="D1175" s="459"/>
      <c r="E1175" s="450"/>
      <c r="F1175" s="450"/>
      <c r="G1175" s="450"/>
      <c r="H1175" s="450"/>
      <c r="I1175" s="450"/>
      <c r="J1175" s="450"/>
      <c r="M1175" s="296">
        <f>TrialBalanceC!I152</f>
        <v>0</v>
      </c>
      <c r="N1175" s="296"/>
      <c r="O1175" s="296">
        <f>TrialBalanceC!K152</f>
        <v>0</v>
      </c>
      <c r="R1175" s="348" t="str">
        <f t="shared" si="39"/>
        <v>DELETE</v>
      </c>
    </row>
    <row r="1176" spans="2:18" ht="36" customHeight="1" x14ac:dyDescent="0.5">
      <c r="B1176" s="316"/>
      <c r="C1176" s="450">
        <f>TrialBalanceC!C153</f>
        <v>0</v>
      </c>
      <c r="D1176" s="459"/>
      <c r="E1176" s="450"/>
      <c r="F1176" s="450"/>
      <c r="G1176" s="450"/>
      <c r="H1176" s="450"/>
      <c r="I1176" s="450"/>
      <c r="J1176" s="450"/>
      <c r="M1176" s="296">
        <f>TrialBalanceC!I153</f>
        <v>0</v>
      </c>
      <c r="N1176" s="296"/>
      <c r="O1176" s="296">
        <f>TrialBalanceC!K153</f>
        <v>0</v>
      </c>
      <c r="R1176" s="348" t="str">
        <f t="shared" si="38"/>
        <v>DELETE</v>
      </c>
    </row>
    <row r="1177" spans="2:18" ht="36" customHeight="1" x14ac:dyDescent="0.5">
      <c r="B1177" s="316"/>
      <c r="C1177" s="450" t="str">
        <f>TrialBalanceC!C154</f>
        <v xml:space="preserve">Finance leases - </v>
      </c>
      <c r="D1177" s="459"/>
      <c r="E1177" s="450"/>
      <c r="F1177" s="450"/>
      <c r="G1177" s="450"/>
      <c r="H1177" s="450"/>
      <c r="I1177" s="450"/>
      <c r="J1177" s="450"/>
      <c r="M1177" s="296">
        <f>TrialBalanceC!I154</f>
        <v>0</v>
      </c>
      <c r="N1177" s="296"/>
      <c r="O1177" s="296">
        <f>TrialBalanceC!K154</f>
        <v>0</v>
      </c>
      <c r="R1177" s="348" t="str">
        <f t="shared" si="38"/>
        <v>DELETE</v>
      </c>
    </row>
    <row r="1178" spans="2:18" ht="9" customHeight="1" x14ac:dyDescent="0.5">
      <c r="B1178" s="316"/>
      <c r="C1178" s="456"/>
      <c r="D1178" s="450"/>
      <c r="E1178" s="450"/>
      <c r="F1178" s="450"/>
      <c r="G1178" s="450"/>
      <c r="H1178" s="450"/>
      <c r="I1178" s="450"/>
      <c r="J1178" s="450"/>
      <c r="M1178" s="298"/>
      <c r="N1178" s="298"/>
      <c r="O1178" s="298"/>
      <c r="R1178" s="348" t="str">
        <f>R$1180</f>
        <v>DELETE</v>
      </c>
    </row>
    <row r="1179" spans="2:18" ht="9" customHeight="1" x14ac:dyDescent="0.5">
      <c r="B1179" s="316"/>
      <c r="C1179" s="456"/>
      <c r="D1179" s="450"/>
      <c r="E1179" s="450"/>
      <c r="F1179" s="450"/>
      <c r="G1179" s="450"/>
      <c r="H1179" s="450"/>
      <c r="I1179" s="450"/>
      <c r="J1179" s="450"/>
      <c r="M1179" s="296"/>
      <c r="N1179" s="296"/>
      <c r="O1179" s="296"/>
      <c r="R1179" s="348" t="str">
        <f>R$1180</f>
        <v>DELETE</v>
      </c>
    </row>
    <row r="1180" spans="2:18" ht="36.75" customHeight="1" x14ac:dyDescent="0.5">
      <c r="B1180" s="316"/>
      <c r="C1180" s="456"/>
      <c r="D1180" s="450"/>
      <c r="E1180" s="450"/>
      <c r="F1180" s="450"/>
      <c r="G1180" s="450"/>
      <c r="H1180" s="450"/>
      <c r="I1180" s="450"/>
      <c r="J1180" s="450"/>
      <c r="M1180" s="296">
        <f>SUM(M1134:M1179)</f>
        <v>0</v>
      </c>
      <c r="N1180" s="296"/>
      <c r="O1180" s="296">
        <f>SUM(O1134:O1179)</f>
        <v>0</v>
      </c>
      <c r="R1180" s="348" t="str">
        <f>IF(M1180+O1180=0,"DELETE"," ")</f>
        <v>DELETE</v>
      </c>
    </row>
    <row r="1181" spans="2:18" ht="9" customHeight="1" thickBot="1" x14ac:dyDescent="0.55000000000000004">
      <c r="B1181" s="316"/>
      <c r="C1181" s="456"/>
      <c r="D1181" s="450"/>
      <c r="E1181" s="450"/>
      <c r="F1181" s="450"/>
      <c r="G1181" s="450"/>
      <c r="H1181" s="450"/>
      <c r="I1181" s="450"/>
      <c r="J1181" s="450"/>
      <c r="M1181" s="299"/>
      <c r="N1181" s="299"/>
      <c r="O1181" s="299"/>
      <c r="R1181" s="348" t="str">
        <f t="shared" ref="R1181:R1186" si="40">R$1180</f>
        <v>DELETE</v>
      </c>
    </row>
    <row r="1182" spans="2:18" ht="9" customHeight="1" thickTop="1" x14ac:dyDescent="0.5">
      <c r="B1182" s="316"/>
      <c r="C1182" s="456"/>
      <c r="D1182" s="450"/>
      <c r="E1182" s="450"/>
      <c r="F1182" s="450"/>
      <c r="G1182" s="450"/>
      <c r="H1182" s="450"/>
      <c r="I1182" s="450"/>
      <c r="J1182" s="450"/>
      <c r="M1182" s="310"/>
      <c r="N1182" s="310"/>
      <c r="O1182" s="310"/>
      <c r="R1182" s="348" t="str">
        <f t="shared" si="40"/>
        <v>DELETE</v>
      </c>
    </row>
    <row r="1183" spans="2:18" ht="36" customHeight="1" x14ac:dyDescent="0.5">
      <c r="B1183" s="316"/>
      <c r="C1183" s="456"/>
      <c r="D1183" s="450"/>
      <c r="E1183" s="450"/>
      <c r="F1183" s="450"/>
      <c r="G1183" s="450"/>
      <c r="H1183" s="450"/>
      <c r="I1183" s="450"/>
      <c r="J1183" s="450"/>
      <c r="M1183" s="310"/>
      <c r="N1183" s="310"/>
      <c r="O1183" s="310"/>
      <c r="R1183" s="348" t="str">
        <f t="shared" si="40"/>
        <v>DELETE</v>
      </c>
    </row>
    <row r="1184" spans="2:18" ht="36" customHeight="1" x14ac:dyDescent="0.5">
      <c r="B1184" s="316"/>
      <c r="C1184" s="456"/>
      <c r="D1184" s="450"/>
      <c r="E1184" s="450"/>
      <c r="F1184" s="450"/>
      <c r="G1184" s="450"/>
      <c r="H1184" s="450"/>
      <c r="I1184" s="450"/>
      <c r="J1184" s="450"/>
      <c r="M1184" s="310"/>
      <c r="N1184" s="310"/>
      <c r="O1184" s="310"/>
      <c r="R1184" s="348" t="str">
        <f t="shared" si="40"/>
        <v>DELETE</v>
      </c>
    </row>
    <row r="1185" spans="2:22" ht="36" customHeight="1" x14ac:dyDescent="0.5">
      <c r="B1185" s="316"/>
      <c r="C1185" s="456"/>
      <c r="D1185" s="450"/>
      <c r="E1185" s="450"/>
      <c r="F1185" s="450"/>
      <c r="G1185" s="450"/>
      <c r="H1185" s="450"/>
      <c r="I1185" s="450"/>
      <c r="J1185" s="450"/>
      <c r="M1185" s="310"/>
      <c r="N1185" s="310"/>
      <c r="O1185" s="310"/>
      <c r="P1185" s="356"/>
      <c r="R1185" s="348" t="str">
        <f t="shared" si="40"/>
        <v>DELETE</v>
      </c>
    </row>
    <row r="1186" spans="2:22" ht="36" customHeight="1" x14ac:dyDescent="0.5">
      <c r="B1186" s="316"/>
      <c r="C1186" s="456"/>
      <c r="D1186" s="450"/>
      <c r="E1186" s="450"/>
      <c r="F1186" s="450"/>
      <c r="G1186" s="450"/>
      <c r="H1186" s="450"/>
      <c r="I1186" s="450"/>
      <c r="J1186" s="450"/>
      <c r="M1186" s="296"/>
      <c r="N1186" s="296"/>
      <c r="O1186" s="296"/>
      <c r="R1186" s="348" t="str">
        <f t="shared" si="40"/>
        <v>DELETE</v>
      </c>
    </row>
    <row r="1187" spans="2:22" ht="36" customHeight="1" x14ac:dyDescent="0.5">
      <c r="B1187" s="354"/>
      <c r="C1187" s="450"/>
      <c r="D1187" s="456"/>
      <c r="E1187" s="450"/>
      <c r="F1187" s="450"/>
      <c r="G1187" s="450"/>
      <c r="H1187" s="450"/>
      <c r="I1187" s="450"/>
      <c r="J1187" s="450"/>
      <c r="M1187" s="347"/>
      <c r="O1187" s="295" t="s">
        <v>89</v>
      </c>
      <c r="Q1187" s="292">
        <f>MAX($Q$105:Q1186)+1</f>
        <v>33</v>
      </c>
      <c r="R1187" s="348" t="str">
        <f t="shared" ref="R1187:R1241" si="41">R$1197</f>
        <v>DELETE</v>
      </c>
    </row>
    <row r="1188" spans="2:22" ht="36" customHeight="1" x14ac:dyDescent="0.5">
      <c r="B1188" s="354"/>
      <c r="C1188" s="450"/>
      <c r="D1188" s="456" t="str">
        <f>Criteria!E9</f>
        <v>HOLDING COMPANY 268 (PROPRIETARY) LIMITED</v>
      </c>
      <c r="E1188" s="450"/>
      <c r="F1188" s="450"/>
      <c r="G1188" s="450"/>
      <c r="H1188" s="450"/>
      <c r="I1188" s="450"/>
      <c r="J1188" s="450"/>
      <c r="M1188" s="347"/>
      <c r="O1188" s="347"/>
      <c r="R1188" s="348" t="str">
        <f t="shared" si="41"/>
        <v>DELETE</v>
      </c>
    </row>
    <row r="1189" spans="2:22" ht="36" customHeight="1" x14ac:dyDescent="0.5">
      <c r="B1189" s="354"/>
      <c r="C1189" s="450"/>
      <c r="D1189" s="456" t="str">
        <f>Criteria!E10</f>
        <v>CONSOLIDATED FINANCIAL STATEMENTS</v>
      </c>
      <c r="E1189" s="450"/>
      <c r="F1189" s="450"/>
      <c r="G1189" s="450"/>
      <c r="H1189" s="450"/>
      <c r="I1189" s="450"/>
      <c r="J1189" s="450"/>
      <c r="M1189" s="347"/>
      <c r="O1189" s="347"/>
      <c r="R1189" s="348" t="str">
        <f>IF(R$1197="DELETE","DELETE",IF(D1189=0,"DELETE"," "))</f>
        <v>DELETE</v>
      </c>
    </row>
    <row r="1190" spans="2:22" ht="36" customHeight="1" x14ac:dyDescent="0.5">
      <c r="B1190" s="354"/>
      <c r="C1190" s="450"/>
      <c r="D1190" s="450"/>
      <c r="E1190" s="450"/>
      <c r="F1190" s="450"/>
      <c r="G1190" s="450"/>
      <c r="H1190" s="450"/>
      <c r="I1190" s="450"/>
      <c r="J1190" s="450"/>
      <c r="M1190" s="347"/>
      <c r="O1190" s="347"/>
      <c r="R1190" s="348" t="str">
        <f t="shared" si="41"/>
        <v>DELETE</v>
      </c>
    </row>
    <row r="1191" spans="2:22" ht="36" customHeight="1" x14ac:dyDescent="0.5">
      <c r="B1191" s="354"/>
      <c r="C1191" s="450"/>
      <c r="D1191" s="456" t="s">
        <v>351</v>
      </c>
      <c r="E1191" s="450"/>
      <c r="F1191" s="450"/>
      <c r="G1191" s="450"/>
      <c r="H1191" s="450"/>
      <c r="I1191" s="450"/>
      <c r="J1191" s="450"/>
      <c r="M1191" s="347"/>
      <c r="O1191" s="347"/>
      <c r="R1191" s="348" t="str">
        <f t="shared" si="41"/>
        <v>DELETE</v>
      </c>
    </row>
    <row r="1192" spans="2:22" ht="36" customHeight="1" x14ac:dyDescent="0.5">
      <c r="B1192" s="354"/>
      <c r="C1192" s="450"/>
      <c r="D1192" s="456" t="str">
        <f>Criteria!E20</f>
        <v>28 FEBRUARY 2025</v>
      </c>
      <c r="E1192" s="450"/>
      <c r="F1192" s="450"/>
      <c r="G1192" s="450"/>
      <c r="H1192" s="450"/>
      <c r="I1192" s="450"/>
      <c r="J1192" s="450" t="s">
        <v>231</v>
      </c>
      <c r="M1192" s="347"/>
      <c r="O1192" s="347"/>
      <c r="R1192" s="348" t="str">
        <f t="shared" si="41"/>
        <v>DELETE</v>
      </c>
    </row>
    <row r="1193" spans="2:22" ht="36" customHeight="1" x14ac:dyDescent="0.5">
      <c r="B1193" s="354"/>
      <c r="C1193" s="450"/>
      <c r="D1193" s="450"/>
      <c r="E1193" s="450"/>
      <c r="F1193" s="450"/>
      <c r="G1193" s="450"/>
      <c r="H1193" s="450"/>
      <c r="I1193" s="450"/>
      <c r="J1193" s="450"/>
      <c r="M1193" s="347"/>
      <c r="O1193" s="347"/>
      <c r="R1193" s="348" t="str">
        <f t="shared" si="41"/>
        <v>DELETE</v>
      </c>
    </row>
    <row r="1194" spans="2:22" ht="36" customHeight="1" x14ac:dyDescent="0.5">
      <c r="B1194" s="368"/>
      <c r="C1194" s="460"/>
      <c r="D1194" s="460"/>
      <c r="E1194" s="460"/>
      <c r="F1194" s="460"/>
      <c r="G1194" s="460"/>
      <c r="H1194" s="460"/>
      <c r="I1194" s="460"/>
      <c r="J1194" s="460"/>
      <c r="K1194" s="364"/>
      <c r="L1194" s="364"/>
      <c r="M1194" s="367"/>
      <c r="N1194" s="367"/>
      <c r="O1194" s="367"/>
      <c r="P1194" s="367"/>
      <c r="Q1194" s="364"/>
      <c r="R1194" s="348" t="str">
        <f t="shared" si="41"/>
        <v>DELETE</v>
      </c>
    </row>
    <row r="1195" spans="2:22" ht="36" customHeight="1" x14ac:dyDescent="0.5">
      <c r="B1195" s="354"/>
      <c r="C1195" s="450"/>
      <c r="D1195" s="450"/>
      <c r="E1195" s="450"/>
      <c r="F1195" s="450"/>
      <c r="G1195" s="450"/>
      <c r="H1195" s="450"/>
      <c r="I1195" s="450"/>
      <c r="J1195" s="450"/>
      <c r="M1195" s="294">
        <f>Criteria!E22</f>
        <v>2025</v>
      </c>
      <c r="N1195" s="294"/>
      <c r="O1195" s="294">
        <f>Criteria!E27</f>
        <v>2024</v>
      </c>
      <c r="P1195" s="356"/>
      <c r="R1195" s="348" t="str">
        <f t="shared" si="41"/>
        <v>DELETE</v>
      </c>
    </row>
    <row r="1196" spans="2:22" ht="36" customHeight="1" x14ac:dyDescent="0.5">
      <c r="B1196" s="354"/>
      <c r="C1196" s="450"/>
      <c r="D1196" s="450"/>
      <c r="E1196" s="450"/>
      <c r="F1196" s="450"/>
      <c r="G1196" s="450"/>
      <c r="H1196" s="450"/>
      <c r="I1196" s="450"/>
      <c r="J1196" s="450"/>
      <c r="M1196" s="356"/>
      <c r="N1196" s="356"/>
      <c r="O1196" s="356"/>
      <c r="P1196" s="356"/>
      <c r="R1196" s="348" t="str">
        <f t="shared" si="41"/>
        <v>DELETE</v>
      </c>
    </row>
    <row r="1197" spans="2:22" ht="36" customHeight="1" x14ac:dyDescent="0.5">
      <c r="B1197" s="316">
        <f>MAX(B$602:B1194)+1</f>
        <v>8</v>
      </c>
      <c r="C1197" s="456" t="s">
        <v>857</v>
      </c>
      <c r="D1197" s="450"/>
      <c r="E1197" s="450"/>
      <c r="F1197" s="450"/>
      <c r="G1197" s="450"/>
      <c r="H1197" s="450"/>
      <c r="I1197" s="450"/>
      <c r="J1197" s="450"/>
      <c r="M1197" s="347"/>
      <c r="O1197" s="347"/>
      <c r="R1197" s="348" t="str">
        <f>IF(SUM(TrialBalance!L230:L231)+SUM(TrialBalance!N230:N231)+TrialBalance!N234+TrialBalance!L234=0,"DELETE"," ")</f>
        <v>DELETE</v>
      </c>
    </row>
    <row r="1198" spans="2:22" ht="36" customHeight="1" x14ac:dyDescent="0.5">
      <c r="B1198" s="316"/>
      <c r="C1198" s="456"/>
      <c r="D1198" s="450"/>
      <c r="E1198" s="450"/>
      <c r="F1198" s="450"/>
      <c r="G1198" s="450"/>
      <c r="H1198" s="450"/>
      <c r="I1198" s="450"/>
      <c r="J1198" s="450"/>
      <c r="M1198" s="347"/>
      <c r="O1198" s="347"/>
      <c r="R1198" s="348" t="str">
        <f>R$1197</f>
        <v>DELETE</v>
      </c>
    </row>
    <row r="1199" spans="2:22" ht="36" customHeight="1" x14ac:dyDescent="0.5">
      <c r="B1199" s="316"/>
      <c r="C1199" s="450" t="s">
        <v>917</v>
      </c>
      <c r="D1199" s="450"/>
      <c r="E1199" s="450"/>
      <c r="F1199" s="450"/>
      <c r="G1199" s="459"/>
      <c r="H1199" s="459"/>
      <c r="I1199" s="450"/>
      <c r="J1199" s="459"/>
      <c r="K1199" s="379"/>
      <c r="M1199" s="296">
        <f>M1202-M1203</f>
        <v>0</v>
      </c>
      <c r="N1199" s="296"/>
      <c r="O1199" s="296">
        <f>O1202-O1203</f>
        <v>0</v>
      </c>
      <c r="R1199" s="348" t="str">
        <f t="shared" si="41"/>
        <v>DELETE</v>
      </c>
      <c r="V1199" s="331" t="b">
        <f>M1199=O1228</f>
        <v>1</v>
      </c>
    </row>
    <row r="1200" spans="2:22" ht="9" customHeight="1" x14ac:dyDescent="0.5">
      <c r="B1200" s="316"/>
      <c r="C1200" s="450"/>
      <c r="D1200" s="450"/>
      <c r="E1200" s="450"/>
      <c r="F1200" s="450"/>
      <c r="G1200" s="450"/>
      <c r="H1200" s="459"/>
      <c r="I1200" s="450"/>
      <c r="J1200" s="450"/>
      <c r="M1200" s="296"/>
      <c r="N1200" s="296"/>
      <c r="O1200" s="296"/>
      <c r="R1200" s="348" t="str">
        <f t="shared" si="41"/>
        <v>DELETE</v>
      </c>
    </row>
    <row r="1201" spans="2:22" ht="9" customHeight="1" x14ac:dyDescent="0.5">
      <c r="B1201" s="316"/>
      <c r="C1201" s="450"/>
      <c r="D1201" s="450"/>
      <c r="E1201" s="450"/>
      <c r="F1201" s="450"/>
      <c r="G1201" s="450"/>
      <c r="H1201" s="459"/>
      <c r="I1201" s="450"/>
      <c r="J1201" s="450"/>
      <c r="M1201" s="398"/>
      <c r="N1201" s="297"/>
      <c r="O1201" s="399"/>
      <c r="R1201" s="348" t="str">
        <f t="shared" si="41"/>
        <v>DELETE</v>
      </c>
    </row>
    <row r="1202" spans="2:22" ht="36" customHeight="1" x14ac:dyDescent="0.5">
      <c r="B1202" s="316"/>
      <c r="C1202" s="450" t="s">
        <v>352</v>
      </c>
      <c r="D1202" s="450"/>
      <c r="E1202" s="450"/>
      <c r="F1202" s="450"/>
      <c r="G1202" s="450"/>
      <c r="H1202" s="459"/>
      <c r="I1202" s="450"/>
      <c r="J1202" s="450"/>
      <c r="M1202" s="400">
        <f>TrialBalance!L230</f>
        <v>0</v>
      </c>
      <c r="N1202" s="310"/>
      <c r="O1202" s="401">
        <f>TrialBalance!N230</f>
        <v>0</v>
      </c>
      <c r="R1202" s="348" t="str">
        <f t="shared" si="41"/>
        <v>DELETE</v>
      </c>
      <c r="S1202" s="333">
        <f>M1202</f>
        <v>0</v>
      </c>
      <c r="U1202" s="333">
        <f>O1202</f>
        <v>0</v>
      </c>
      <c r="V1202" s="331" t="b">
        <f>M1202=O1232</f>
        <v>1</v>
      </c>
    </row>
    <row r="1203" spans="2:22" ht="36" customHeight="1" x14ac:dyDescent="0.5">
      <c r="B1203" s="316"/>
      <c r="C1203" s="450" t="s">
        <v>1109</v>
      </c>
      <c r="D1203" s="450"/>
      <c r="E1203" s="450"/>
      <c r="F1203" s="450"/>
      <c r="G1203" s="450"/>
      <c r="H1203" s="459"/>
      <c r="I1203" s="450"/>
      <c r="J1203" s="450"/>
      <c r="M1203" s="400">
        <f>-TrialBalance!L236</f>
        <v>0</v>
      </c>
      <c r="N1203" s="310"/>
      <c r="O1203" s="401">
        <f>-TrialBalance!N236</f>
        <v>0</v>
      </c>
      <c r="R1203" s="348" t="str">
        <f t="shared" si="41"/>
        <v>DELETE</v>
      </c>
      <c r="S1203" s="333">
        <f>-M1203</f>
        <v>0</v>
      </c>
      <c r="U1203" s="333">
        <f>-O1203</f>
        <v>0</v>
      </c>
      <c r="V1203" s="331" t="b">
        <f>M1203=O1233</f>
        <v>1</v>
      </c>
    </row>
    <row r="1204" spans="2:22" ht="9" customHeight="1" x14ac:dyDescent="0.5">
      <c r="B1204" s="316"/>
      <c r="C1204" s="450"/>
      <c r="D1204" s="450"/>
      <c r="E1204" s="450"/>
      <c r="F1204" s="450"/>
      <c r="G1204" s="450"/>
      <c r="H1204" s="459"/>
      <c r="I1204" s="450"/>
      <c r="J1204" s="450"/>
      <c r="M1204" s="402"/>
      <c r="N1204" s="298"/>
      <c r="O1204" s="403"/>
      <c r="R1204" s="348" t="str">
        <f t="shared" si="41"/>
        <v>DELETE</v>
      </c>
    </row>
    <row r="1205" spans="2:22" ht="9" customHeight="1" x14ac:dyDescent="0.5">
      <c r="B1205" s="316"/>
      <c r="C1205" s="450"/>
      <c r="D1205" s="450"/>
      <c r="E1205" s="450"/>
      <c r="F1205" s="450"/>
      <c r="G1205" s="450"/>
      <c r="H1205" s="459"/>
      <c r="I1205" s="450"/>
      <c r="J1205" s="450"/>
      <c r="M1205" s="296"/>
      <c r="N1205" s="296"/>
      <c r="O1205" s="296"/>
      <c r="R1205" s="348" t="str">
        <f t="shared" si="41"/>
        <v>DELETE</v>
      </c>
    </row>
    <row r="1206" spans="2:22" ht="36" customHeight="1" x14ac:dyDescent="0.5">
      <c r="B1206" s="316"/>
      <c r="C1206" s="450" t="s">
        <v>358</v>
      </c>
      <c r="D1206" s="450"/>
      <c r="E1206" s="450"/>
      <c r="F1206" s="450"/>
      <c r="G1206" s="450"/>
      <c r="H1206" s="459"/>
      <c r="I1206" s="450"/>
      <c r="J1206" s="450"/>
      <c r="M1206" s="296">
        <f>TrialBalance!L231</f>
        <v>0</v>
      </c>
      <c r="N1206" s="296"/>
      <c r="O1206" s="296">
        <f>TrialBalance!N231</f>
        <v>0</v>
      </c>
      <c r="R1206" s="348" t="str">
        <f t="shared" si="41"/>
        <v>DELETE</v>
      </c>
      <c r="S1206" s="333">
        <f>M1206</f>
        <v>0</v>
      </c>
      <c r="U1206" s="333">
        <f>O1206</f>
        <v>0</v>
      </c>
    </row>
    <row r="1207" spans="2:22" ht="36" customHeight="1" x14ac:dyDescent="0.5">
      <c r="B1207" s="316"/>
      <c r="C1207" s="450"/>
      <c r="D1207" s="450" t="s">
        <v>1110</v>
      </c>
      <c r="E1207" s="450"/>
      <c r="F1207" s="450"/>
      <c r="G1207" s="450"/>
      <c r="H1207" s="459"/>
      <c r="I1207" s="450"/>
      <c r="J1207" s="450"/>
      <c r="M1207" s="296">
        <f>TrialBalance!L234</f>
        <v>0</v>
      </c>
      <c r="N1207" s="296"/>
      <c r="O1207" s="296">
        <f>TrialBalance!N234</f>
        <v>0</v>
      </c>
      <c r="R1207" s="348" t="str">
        <f>IF(M1207+O1207=0,"DELETE"," ")</f>
        <v>DELETE</v>
      </c>
      <c r="S1207" s="333">
        <f>M1207</f>
        <v>0</v>
      </c>
      <c r="U1207" s="333">
        <f>O1207</f>
        <v>0</v>
      </c>
    </row>
    <row r="1208" spans="2:22" ht="9" customHeight="1" x14ac:dyDescent="0.5">
      <c r="B1208" s="316"/>
      <c r="C1208" s="450"/>
      <c r="D1208" s="450"/>
      <c r="E1208" s="450"/>
      <c r="F1208" s="450"/>
      <c r="G1208" s="450"/>
      <c r="H1208" s="459"/>
      <c r="I1208" s="450"/>
      <c r="J1208" s="450"/>
      <c r="M1208" s="298"/>
      <c r="N1208" s="298"/>
      <c r="O1208" s="298"/>
      <c r="R1208" s="348" t="str">
        <f t="shared" si="41"/>
        <v>DELETE</v>
      </c>
    </row>
    <row r="1209" spans="2:22" ht="9" customHeight="1" x14ac:dyDescent="0.5">
      <c r="B1209" s="316"/>
      <c r="C1209" s="450"/>
      <c r="D1209" s="450"/>
      <c r="E1209" s="450"/>
      <c r="F1209" s="450"/>
      <c r="G1209" s="450"/>
      <c r="H1209" s="459"/>
      <c r="I1209" s="450"/>
      <c r="J1209" s="450"/>
      <c r="M1209" s="296"/>
      <c r="N1209" s="296"/>
      <c r="O1209" s="296"/>
      <c r="R1209" s="348" t="str">
        <f t="shared" si="41"/>
        <v>DELETE</v>
      </c>
    </row>
    <row r="1210" spans="2:22" ht="36" customHeight="1" x14ac:dyDescent="0.5">
      <c r="B1210" s="316"/>
      <c r="C1210" s="450"/>
      <c r="D1210" s="450"/>
      <c r="E1210" s="450"/>
      <c r="F1210" s="450"/>
      <c r="G1210" s="450"/>
      <c r="H1210" s="459"/>
      <c r="I1210" s="450"/>
      <c r="J1210" s="450"/>
      <c r="M1210" s="296">
        <f>M1199+SUM(M1205:M1208)</f>
        <v>0</v>
      </c>
      <c r="N1210" s="296"/>
      <c r="O1210" s="296">
        <f>O1199+SUM(O1205:O1208)</f>
        <v>0</v>
      </c>
      <c r="R1210" s="348" t="str">
        <f t="shared" si="41"/>
        <v>DELETE</v>
      </c>
    </row>
    <row r="1211" spans="2:22" ht="36" customHeight="1" x14ac:dyDescent="0.5">
      <c r="B1211" s="316"/>
      <c r="C1211" s="450" t="s">
        <v>938</v>
      </c>
      <c r="D1211" s="450"/>
      <c r="E1211" s="450"/>
      <c r="F1211" s="450"/>
      <c r="G1211" s="450"/>
      <c r="H1211" s="459"/>
      <c r="I1211" s="450"/>
      <c r="J1211" s="450"/>
      <c r="M1211" s="296">
        <f>-SUM(S1213:S1216)</f>
        <v>0</v>
      </c>
      <c r="N1211" s="296"/>
      <c r="O1211" s="296">
        <f>-SUM(U1213:U1216)</f>
        <v>0</v>
      </c>
      <c r="R1211" s="348" t="str">
        <f>IF(M1211+O1211=0,"DELETE"," ")</f>
        <v>DELETE</v>
      </c>
    </row>
    <row r="1212" spans="2:22" ht="9" customHeight="1" x14ac:dyDescent="0.5">
      <c r="B1212" s="316"/>
      <c r="C1212" s="450"/>
      <c r="D1212" s="450"/>
      <c r="E1212" s="450"/>
      <c r="F1212" s="450"/>
      <c r="G1212" s="450"/>
      <c r="H1212" s="459"/>
      <c r="I1212" s="450"/>
      <c r="J1212" s="450"/>
      <c r="M1212" s="296"/>
      <c r="N1212" s="296"/>
      <c r="O1212" s="296"/>
      <c r="R1212" s="348" t="str">
        <f>R$1211</f>
        <v>DELETE</v>
      </c>
    </row>
    <row r="1213" spans="2:22" ht="9" customHeight="1" x14ac:dyDescent="0.5">
      <c r="B1213" s="316"/>
      <c r="C1213" s="450"/>
      <c r="D1213" s="450"/>
      <c r="E1213" s="450"/>
      <c r="F1213" s="450"/>
      <c r="G1213" s="450"/>
      <c r="H1213" s="459"/>
      <c r="I1213" s="450"/>
      <c r="J1213" s="450"/>
      <c r="M1213" s="398"/>
      <c r="N1213" s="297"/>
      <c r="O1213" s="399"/>
      <c r="R1213" s="348" t="str">
        <f>R$1211</f>
        <v>DELETE</v>
      </c>
    </row>
    <row r="1214" spans="2:22" ht="36" customHeight="1" x14ac:dyDescent="0.5">
      <c r="B1214" s="316"/>
      <c r="C1214" s="450" t="s">
        <v>352</v>
      </c>
      <c r="D1214" s="450"/>
      <c r="E1214" s="450"/>
      <c r="F1214" s="450"/>
      <c r="G1214" s="450"/>
      <c r="H1214" s="459"/>
      <c r="I1214" s="450"/>
      <c r="J1214" s="450"/>
      <c r="M1214" s="400">
        <f>-TrialBalance!L233</f>
        <v>0</v>
      </c>
      <c r="N1214" s="310"/>
      <c r="O1214" s="401">
        <f>-TrialBalance!N233</f>
        <v>0</v>
      </c>
      <c r="R1214" s="348" t="str">
        <f t="shared" ref="R1214:R1215" si="42">IF(M1214+O1214=0,"DELETE"," ")</f>
        <v>DELETE</v>
      </c>
      <c r="S1214" s="333">
        <f>-M1214</f>
        <v>0</v>
      </c>
      <c r="U1214" s="333">
        <f>-O1214</f>
        <v>0</v>
      </c>
    </row>
    <row r="1215" spans="2:22" ht="36" customHeight="1" x14ac:dyDescent="0.5">
      <c r="B1215" s="316"/>
      <c r="C1215" s="450" t="s">
        <v>1109</v>
      </c>
      <c r="D1215" s="450"/>
      <c r="E1215" s="450"/>
      <c r="F1215" s="450"/>
      <c r="G1215" s="450"/>
      <c r="H1215" s="459"/>
      <c r="I1215" s="450"/>
      <c r="J1215" s="450"/>
      <c r="M1215" s="400">
        <f>TrialBalance!L239</f>
        <v>0</v>
      </c>
      <c r="N1215" s="310"/>
      <c r="O1215" s="401">
        <f>TrialBalance!N239</f>
        <v>0</v>
      </c>
      <c r="R1215" s="348" t="str">
        <f t="shared" si="42"/>
        <v>DELETE</v>
      </c>
      <c r="S1215" s="333">
        <f>M1215</f>
        <v>0</v>
      </c>
      <c r="U1215" s="333">
        <f>O1215</f>
        <v>0</v>
      </c>
    </row>
    <row r="1216" spans="2:22" ht="9" customHeight="1" x14ac:dyDescent="0.5">
      <c r="B1216" s="316"/>
      <c r="C1216" s="450"/>
      <c r="D1216" s="450"/>
      <c r="E1216" s="450"/>
      <c r="F1216" s="450"/>
      <c r="G1216" s="450"/>
      <c r="H1216" s="459"/>
      <c r="I1216" s="450"/>
      <c r="J1216" s="450"/>
      <c r="M1216" s="402"/>
      <c r="N1216" s="298"/>
      <c r="O1216" s="403"/>
      <c r="R1216" s="348" t="str">
        <f t="shared" ref="R1216:R1217" si="43">R$1211</f>
        <v>DELETE</v>
      </c>
    </row>
    <row r="1217" spans="2:24" ht="9" customHeight="1" x14ac:dyDescent="0.5">
      <c r="B1217" s="316"/>
      <c r="C1217" s="450"/>
      <c r="D1217" s="450"/>
      <c r="E1217" s="450"/>
      <c r="F1217" s="450"/>
      <c r="G1217" s="450"/>
      <c r="H1217" s="459"/>
      <c r="I1217" s="450"/>
      <c r="J1217" s="450"/>
      <c r="M1217" s="296"/>
      <c r="N1217" s="296"/>
      <c r="O1217" s="296"/>
      <c r="R1217" s="348" t="str">
        <f t="shared" si="43"/>
        <v>DELETE</v>
      </c>
    </row>
    <row r="1218" spans="2:24" ht="36.75" customHeight="1" x14ac:dyDescent="0.5">
      <c r="B1218" s="316"/>
      <c r="C1218" s="450" t="s">
        <v>149</v>
      </c>
      <c r="D1218" s="450"/>
      <c r="E1218" s="450"/>
      <c r="F1218" s="450"/>
      <c r="G1218" s="450"/>
      <c r="H1218" s="459"/>
      <c r="I1218" s="450"/>
      <c r="J1218" s="450"/>
      <c r="M1218" s="296">
        <f>-SUM(S1220:S1223)</f>
        <v>0</v>
      </c>
      <c r="N1218" s="296"/>
      <c r="O1218" s="296">
        <f>-SUM(U1220:U1223)</f>
        <v>0</v>
      </c>
      <c r="R1218" s="348" t="str">
        <f>IF(M1218+O1218=0,"DELETE"," ")</f>
        <v>DELETE</v>
      </c>
    </row>
    <row r="1219" spans="2:24" ht="9" customHeight="1" x14ac:dyDescent="0.5">
      <c r="B1219" s="316"/>
      <c r="C1219" s="450"/>
      <c r="D1219" s="450"/>
      <c r="E1219" s="450"/>
      <c r="F1219" s="450"/>
      <c r="G1219" s="450"/>
      <c r="H1219" s="459"/>
      <c r="I1219" s="450"/>
      <c r="J1219" s="450"/>
      <c r="M1219" s="296"/>
      <c r="N1219" s="296"/>
      <c r="O1219" s="296"/>
      <c r="R1219" s="348" t="str">
        <f>R$1218</f>
        <v>DELETE</v>
      </c>
    </row>
    <row r="1220" spans="2:24" ht="9" customHeight="1" x14ac:dyDescent="0.5">
      <c r="B1220" s="316"/>
      <c r="C1220" s="450"/>
      <c r="D1220" s="450"/>
      <c r="E1220" s="450"/>
      <c r="F1220" s="450"/>
      <c r="G1220" s="450"/>
      <c r="H1220" s="459"/>
      <c r="I1220" s="450"/>
      <c r="J1220" s="450"/>
      <c r="M1220" s="398"/>
      <c r="N1220" s="297"/>
      <c r="O1220" s="399"/>
      <c r="R1220" s="348" t="str">
        <f>R$1218</f>
        <v>DELETE</v>
      </c>
    </row>
    <row r="1221" spans="2:24" ht="36" customHeight="1" x14ac:dyDescent="0.5">
      <c r="B1221" s="316"/>
      <c r="C1221" s="450" t="s">
        <v>352</v>
      </c>
      <c r="D1221" s="450"/>
      <c r="E1221" s="450"/>
      <c r="F1221" s="450"/>
      <c r="G1221" s="450"/>
      <c r="H1221" s="459"/>
      <c r="I1221" s="450"/>
      <c r="J1221" s="450"/>
      <c r="M1221" s="400">
        <f>-TrialBalance!L232</f>
        <v>0</v>
      </c>
      <c r="N1221" s="310"/>
      <c r="O1221" s="401">
        <f>-TrialBalance!N232</f>
        <v>0</v>
      </c>
      <c r="R1221" s="348" t="str">
        <f t="shared" ref="R1221:R1222" si="44">IF(M1221+O1221=0,"DELETE"," ")</f>
        <v>DELETE</v>
      </c>
      <c r="S1221" s="333">
        <f>-M1221</f>
        <v>0</v>
      </c>
      <c r="U1221" s="333">
        <f>-O1221</f>
        <v>0</v>
      </c>
    </row>
    <row r="1222" spans="2:24" ht="36" customHeight="1" x14ac:dyDescent="0.5">
      <c r="B1222" s="316"/>
      <c r="C1222" s="450" t="s">
        <v>1109</v>
      </c>
      <c r="D1222" s="450"/>
      <c r="E1222" s="450"/>
      <c r="F1222" s="450"/>
      <c r="G1222" s="450"/>
      <c r="H1222" s="459"/>
      <c r="I1222" s="450"/>
      <c r="J1222" s="450"/>
      <c r="M1222" s="400">
        <f>TrialBalance!L238</f>
        <v>0</v>
      </c>
      <c r="N1222" s="310"/>
      <c r="O1222" s="401">
        <f>TrialBalance!N238</f>
        <v>0</v>
      </c>
      <c r="R1222" s="348" t="str">
        <f t="shared" si="44"/>
        <v>DELETE</v>
      </c>
      <c r="S1222" s="333">
        <f>+M1222</f>
        <v>0</v>
      </c>
      <c r="U1222" s="333">
        <f>+O1222</f>
        <v>0</v>
      </c>
    </row>
    <row r="1223" spans="2:24" ht="9" customHeight="1" x14ac:dyDescent="0.5">
      <c r="B1223" s="316"/>
      <c r="C1223" s="450"/>
      <c r="D1223" s="450"/>
      <c r="E1223" s="450"/>
      <c r="F1223" s="450"/>
      <c r="G1223" s="450"/>
      <c r="H1223" s="459"/>
      <c r="I1223" s="450"/>
      <c r="J1223" s="450"/>
      <c r="M1223" s="402"/>
      <c r="N1223" s="298"/>
      <c r="O1223" s="403"/>
      <c r="R1223" s="348" t="str">
        <f t="shared" ref="R1223:R1224" si="45">R$1218</f>
        <v>DELETE</v>
      </c>
    </row>
    <row r="1224" spans="2:24" ht="9" customHeight="1" x14ac:dyDescent="0.5">
      <c r="B1224" s="316"/>
      <c r="C1224" s="450"/>
      <c r="D1224" s="450"/>
      <c r="E1224" s="450"/>
      <c r="F1224" s="450"/>
      <c r="G1224" s="450"/>
      <c r="H1224" s="459"/>
      <c r="I1224" s="450"/>
      <c r="J1224" s="450"/>
      <c r="M1224" s="310"/>
      <c r="N1224" s="310"/>
      <c r="O1224" s="310"/>
      <c r="R1224" s="348" t="str">
        <f t="shared" si="45"/>
        <v>DELETE</v>
      </c>
    </row>
    <row r="1225" spans="2:24" ht="36.75" customHeight="1" x14ac:dyDescent="0.5">
      <c r="B1225" s="316"/>
      <c r="C1225" s="450" t="s">
        <v>252</v>
      </c>
      <c r="D1225" s="450"/>
      <c r="E1225" s="450"/>
      <c r="F1225" s="450"/>
      <c r="G1225" s="450"/>
      <c r="H1225" s="459"/>
      <c r="I1225" s="450"/>
      <c r="J1225" s="450"/>
      <c r="M1225" s="310">
        <f>TrialBalance!L237</f>
        <v>0</v>
      </c>
      <c r="N1225" s="310"/>
      <c r="O1225" s="310">
        <f>TrialBalance!N237</f>
        <v>0</v>
      </c>
      <c r="P1225" s="356"/>
      <c r="R1225" s="348" t="str">
        <f t="shared" si="41"/>
        <v>DELETE</v>
      </c>
      <c r="S1225" s="333">
        <f>M1225</f>
        <v>0</v>
      </c>
      <c r="U1225" s="333">
        <f>O1225</f>
        <v>0</v>
      </c>
    </row>
    <row r="1226" spans="2:24" ht="9" customHeight="1" x14ac:dyDescent="0.5">
      <c r="B1226" s="316"/>
      <c r="C1226" s="450"/>
      <c r="D1226" s="450"/>
      <c r="E1226" s="450"/>
      <c r="F1226" s="450"/>
      <c r="G1226" s="450"/>
      <c r="H1226" s="459"/>
      <c r="I1226" s="450"/>
      <c r="J1226" s="450"/>
      <c r="M1226" s="298"/>
      <c r="N1226" s="298"/>
      <c r="O1226" s="298"/>
      <c r="P1226" s="356"/>
      <c r="R1226" s="348" t="str">
        <f t="shared" si="41"/>
        <v>DELETE</v>
      </c>
    </row>
    <row r="1227" spans="2:24" ht="9" customHeight="1" x14ac:dyDescent="0.5">
      <c r="B1227" s="316"/>
      <c r="C1227" s="450"/>
      <c r="D1227" s="450"/>
      <c r="E1227" s="450"/>
      <c r="F1227" s="450"/>
      <c r="G1227" s="450"/>
      <c r="H1227" s="459"/>
      <c r="I1227" s="450"/>
      <c r="J1227" s="450"/>
      <c r="M1227" s="310"/>
      <c r="N1227" s="310"/>
      <c r="O1227" s="310"/>
      <c r="P1227" s="356"/>
      <c r="R1227" s="348" t="str">
        <f t="shared" si="41"/>
        <v>DELETE</v>
      </c>
    </row>
    <row r="1228" spans="2:24" ht="36.75" customHeight="1" x14ac:dyDescent="0.5">
      <c r="B1228" s="316"/>
      <c r="C1228" s="450" t="s">
        <v>920</v>
      </c>
      <c r="D1228" s="450"/>
      <c r="E1228" s="450"/>
      <c r="F1228" s="450"/>
      <c r="G1228" s="450"/>
      <c r="H1228" s="459"/>
      <c r="I1228" s="450"/>
      <c r="J1228" s="450"/>
      <c r="K1228" s="380"/>
      <c r="M1228" s="296">
        <f>SUM(S1201:S1226)</f>
        <v>0</v>
      </c>
      <c r="N1228" s="296"/>
      <c r="O1228" s="296">
        <f>SUM(U1201:U1226)</f>
        <v>0</v>
      </c>
      <c r="R1228" s="348" t="str">
        <f t="shared" si="41"/>
        <v>DELETE</v>
      </c>
      <c r="V1228" s="331" t="b">
        <f>M1228=M1232-M1233</f>
        <v>1</v>
      </c>
      <c r="X1228" s="331" t="b">
        <f>O1228=O1232-O1233</f>
        <v>1</v>
      </c>
    </row>
    <row r="1229" spans="2:24" ht="9" customHeight="1" thickBot="1" x14ac:dyDescent="0.55000000000000004">
      <c r="B1229" s="316"/>
      <c r="C1229" s="450"/>
      <c r="D1229" s="450"/>
      <c r="E1229" s="450"/>
      <c r="F1229" s="450"/>
      <c r="G1229" s="450"/>
      <c r="H1229" s="459"/>
      <c r="I1229" s="450"/>
      <c r="J1229" s="450"/>
      <c r="M1229" s="299"/>
      <c r="N1229" s="299"/>
      <c r="O1229" s="299"/>
      <c r="R1229" s="348" t="str">
        <f t="shared" si="41"/>
        <v>DELETE</v>
      </c>
    </row>
    <row r="1230" spans="2:24" ht="9" customHeight="1" thickTop="1" x14ac:dyDescent="0.5">
      <c r="B1230" s="316"/>
      <c r="C1230" s="450"/>
      <c r="D1230" s="450"/>
      <c r="E1230" s="450"/>
      <c r="F1230" s="450"/>
      <c r="G1230" s="450"/>
      <c r="H1230" s="459"/>
      <c r="I1230" s="450"/>
      <c r="J1230" s="450"/>
      <c r="M1230" s="296"/>
      <c r="N1230" s="296"/>
      <c r="O1230" s="296"/>
      <c r="R1230" s="348" t="str">
        <f t="shared" si="41"/>
        <v>DELETE</v>
      </c>
    </row>
    <row r="1231" spans="2:24" ht="9" customHeight="1" x14ac:dyDescent="0.5">
      <c r="B1231" s="316"/>
      <c r="C1231" s="450"/>
      <c r="D1231" s="450"/>
      <c r="E1231" s="450"/>
      <c r="F1231" s="450"/>
      <c r="G1231" s="450"/>
      <c r="H1231" s="459"/>
      <c r="I1231" s="450"/>
      <c r="J1231" s="450"/>
      <c r="M1231" s="398"/>
      <c r="N1231" s="297"/>
      <c r="O1231" s="399"/>
      <c r="R1231" s="348" t="str">
        <f t="shared" si="41"/>
        <v>DELETE</v>
      </c>
    </row>
    <row r="1232" spans="2:24" ht="36" customHeight="1" x14ac:dyDescent="0.5">
      <c r="B1232" s="316"/>
      <c r="C1232" s="450" t="s">
        <v>352</v>
      </c>
      <c r="D1232" s="450"/>
      <c r="E1232" s="450"/>
      <c r="F1232" s="450"/>
      <c r="G1232" s="450"/>
      <c r="H1232" s="459"/>
      <c r="I1232" s="450"/>
      <c r="J1232" s="450"/>
      <c r="M1232" s="400">
        <f>SUM(TrialBalance!L230:L234)</f>
        <v>0</v>
      </c>
      <c r="N1232" s="310"/>
      <c r="O1232" s="401">
        <f>SUM(TrialBalance!N230:N234)</f>
        <v>0</v>
      </c>
      <c r="R1232" s="348" t="str">
        <f t="shared" si="41"/>
        <v>DELETE</v>
      </c>
    </row>
    <row r="1233" spans="2:18" ht="36" customHeight="1" x14ac:dyDescent="0.5">
      <c r="B1233" s="316"/>
      <c r="C1233" s="450" t="s">
        <v>1109</v>
      </c>
      <c r="D1233" s="450"/>
      <c r="E1233" s="450"/>
      <c r="F1233" s="450"/>
      <c r="G1233" s="450"/>
      <c r="H1233" s="459"/>
      <c r="I1233" s="450"/>
      <c r="J1233" s="450"/>
      <c r="M1233" s="400">
        <f>-SUM(TrialBalance!L236:L239)</f>
        <v>0</v>
      </c>
      <c r="N1233" s="310"/>
      <c r="O1233" s="401">
        <f>-SUM(TrialBalance!N236:N239)</f>
        <v>0</v>
      </c>
      <c r="R1233" s="348" t="str">
        <f t="shared" si="41"/>
        <v>DELETE</v>
      </c>
    </row>
    <row r="1234" spans="2:18" ht="9" customHeight="1" x14ac:dyDescent="0.5">
      <c r="B1234" s="316"/>
      <c r="C1234" s="450"/>
      <c r="D1234" s="450"/>
      <c r="E1234" s="450"/>
      <c r="F1234" s="450"/>
      <c r="G1234" s="450"/>
      <c r="H1234" s="450"/>
      <c r="I1234" s="450"/>
      <c r="J1234" s="450"/>
      <c r="M1234" s="402"/>
      <c r="N1234" s="298"/>
      <c r="O1234" s="403"/>
      <c r="R1234" s="348" t="str">
        <f t="shared" si="41"/>
        <v>DELETE</v>
      </c>
    </row>
    <row r="1235" spans="2:18" ht="9" customHeight="1" x14ac:dyDescent="0.5">
      <c r="B1235" s="316"/>
      <c r="C1235" s="450"/>
      <c r="D1235" s="450"/>
      <c r="E1235" s="450"/>
      <c r="F1235" s="450"/>
      <c r="G1235" s="450"/>
      <c r="H1235" s="450"/>
      <c r="I1235" s="450"/>
      <c r="J1235" s="450"/>
      <c r="M1235" s="296"/>
      <c r="N1235" s="296"/>
      <c r="O1235" s="296"/>
      <c r="R1235" s="348" t="str">
        <f t="shared" si="41"/>
        <v>DELETE</v>
      </c>
    </row>
    <row r="1236" spans="2:18" ht="36" customHeight="1" x14ac:dyDescent="0.5">
      <c r="B1236" s="316"/>
      <c r="C1236" s="450"/>
      <c r="D1236" s="450"/>
      <c r="E1236" s="450"/>
      <c r="F1236" s="450"/>
      <c r="G1236" s="450"/>
      <c r="H1236" s="450"/>
      <c r="I1236" s="450"/>
      <c r="J1236" s="450"/>
      <c r="M1236" s="347"/>
      <c r="O1236" s="347"/>
      <c r="R1236" s="348" t="str">
        <f t="shared" si="41"/>
        <v>DELETE</v>
      </c>
    </row>
    <row r="1237" spans="2:18" ht="36" customHeight="1" x14ac:dyDescent="0.5">
      <c r="B1237" s="316"/>
      <c r="C1237" s="450" t="str">
        <f>IF(SUM(TrialBalance!L230:L234)=0," ",IF(Criteria!F121="Yes",CONCATENATE("Property is pledged as security - See note ",FS!B1923)," "))</f>
        <v xml:space="preserve"> </v>
      </c>
      <c r="D1237" s="459"/>
      <c r="E1237" s="450"/>
      <c r="F1237" s="450"/>
      <c r="G1237" s="450"/>
      <c r="H1237" s="450"/>
      <c r="I1237" s="450"/>
      <c r="J1237" s="450"/>
      <c r="M1237" s="347"/>
      <c r="O1237" s="347"/>
      <c r="R1237" s="348" t="str">
        <f>IF(R$1197="DELETE","DELETE",IF(C1237=" ","DELETE"," "))</f>
        <v>DELETE</v>
      </c>
    </row>
    <row r="1238" spans="2:18" ht="36" customHeight="1" x14ac:dyDescent="0.5">
      <c r="B1238" s="316"/>
      <c r="C1238" s="450"/>
      <c r="D1238" s="450"/>
      <c r="E1238" s="450"/>
      <c r="F1238" s="450"/>
      <c r="G1238" s="450"/>
      <c r="H1238" s="450"/>
      <c r="I1238" s="450"/>
      <c r="J1238" s="450"/>
      <c r="M1238" s="347"/>
      <c r="O1238" s="347"/>
      <c r="R1238" s="348" t="str">
        <f t="shared" si="41"/>
        <v>DELETE</v>
      </c>
    </row>
    <row r="1239" spans="2:18" ht="36" customHeight="1" x14ac:dyDescent="0.5">
      <c r="B1239" s="316"/>
      <c r="C1239" s="450"/>
      <c r="D1239" s="450"/>
      <c r="E1239" s="450"/>
      <c r="F1239" s="450"/>
      <c r="G1239" s="450"/>
      <c r="H1239" s="450"/>
      <c r="I1239" s="450"/>
      <c r="J1239" s="450"/>
      <c r="M1239" s="347"/>
      <c r="O1239" s="347"/>
      <c r="R1239" s="348" t="str">
        <f t="shared" si="41"/>
        <v>DELETE</v>
      </c>
    </row>
    <row r="1240" spans="2:18" ht="36" customHeight="1" x14ac:dyDescent="0.5">
      <c r="B1240" s="316"/>
      <c r="C1240" s="456"/>
      <c r="D1240" s="450"/>
      <c r="E1240" s="450"/>
      <c r="F1240" s="450"/>
      <c r="G1240" s="450"/>
      <c r="H1240" s="450"/>
      <c r="I1240" s="450"/>
      <c r="J1240" s="450"/>
      <c r="M1240" s="310"/>
      <c r="N1240" s="310"/>
      <c r="O1240" s="310"/>
      <c r="P1240" s="356"/>
      <c r="R1240" s="348" t="str">
        <f t="shared" si="41"/>
        <v>DELETE</v>
      </c>
    </row>
    <row r="1241" spans="2:18" ht="36" customHeight="1" x14ac:dyDescent="0.5">
      <c r="B1241" s="316"/>
      <c r="C1241" s="456"/>
      <c r="D1241" s="450"/>
      <c r="E1241" s="450"/>
      <c r="F1241" s="450"/>
      <c r="G1241" s="450"/>
      <c r="H1241" s="450"/>
      <c r="I1241" s="450"/>
      <c r="J1241" s="450"/>
      <c r="M1241" s="296"/>
      <c r="N1241" s="296"/>
      <c r="O1241" s="296"/>
      <c r="R1241" s="348" t="str">
        <f t="shared" si="41"/>
        <v>DELETE</v>
      </c>
    </row>
    <row r="1242" spans="2:18" ht="36" customHeight="1" x14ac:dyDescent="0.5">
      <c r="B1242" s="316"/>
      <c r="C1242" s="456"/>
      <c r="D1242" s="450"/>
      <c r="E1242" s="450"/>
      <c r="F1242" s="450"/>
      <c r="G1242" s="450"/>
      <c r="H1242" s="450"/>
      <c r="I1242" s="450"/>
      <c r="J1242" s="450"/>
      <c r="M1242" s="296"/>
      <c r="N1242" s="296"/>
      <c r="O1242" s="295" t="s">
        <v>89</v>
      </c>
      <c r="Q1242" s="292">
        <f>MAX($Q$105:Q1241)+1</f>
        <v>34</v>
      </c>
      <c r="R1242" s="348" t="str">
        <f t="shared" ref="R1242:R1253" si="46">R$1294</f>
        <v>DELETE</v>
      </c>
    </row>
    <row r="1243" spans="2:18" ht="36" customHeight="1" x14ac:dyDescent="0.5">
      <c r="B1243" s="316"/>
      <c r="C1243" s="456"/>
      <c r="D1243" s="456" t="str">
        <f>Criteria!E9</f>
        <v>HOLDING COMPANY 268 (PROPRIETARY) LIMITED</v>
      </c>
      <c r="E1243" s="450"/>
      <c r="F1243" s="450"/>
      <c r="G1243" s="450"/>
      <c r="H1243" s="450"/>
      <c r="I1243" s="450"/>
      <c r="J1243" s="450"/>
      <c r="M1243" s="347"/>
      <c r="O1243" s="347"/>
      <c r="R1243" s="348" t="str">
        <f t="shared" si="46"/>
        <v>DELETE</v>
      </c>
    </row>
    <row r="1244" spans="2:18" ht="36" customHeight="1" x14ac:dyDescent="0.5">
      <c r="B1244" s="316"/>
      <c r="C1244" s="456"/>
      <c r="D1244" s="456" t="str">
        <f>Criteria!E10</f>
        <v>CONSOLIDATED FINANCIAL STATEMENTS</v>
      </c>
      <c r="E1244" s="450"/>
      <c r="F1244" s="450"/>
      <c r="G1244" s="450"/>
      <c r="H1244" s="450"/>
      <c r="I1244" s="450"/>
      <c r="J1244" s="450"/>
      <c r="M1244" s="347"/>
      <c r="O1244" s="347"/>
      <c r="R1244" s="348" t="str">
        <f>IF(R$1294="DELETE","DELETE",IF(D1244=0,"DELETE"," "))</f>
        <v>DELETE</v>
      </c>
    </row>
    <row r="1245" spans="2:18" ht="36" customHeight="1" x14ac:dyDescent="0.5">
      <c r="B1245" s="316"/>
      <c r="C1245" s="456"/>
      <c r="D1245" s="450"/>
      <c r="E1245" s="450"/>
      <c r="F1245" s="450"/>
      <c r="G1245" s="450"/>
      <c r="H1245" s="450"/>
      <c r="I1245" s="450"/>
      <c r="J1245" s="450"/>
      <c r="M1245" s="347"/>
      <c r="O1245" s="347"/>
      <c r="R1245" s="348" t="str">
        <f t="shared" si="46"/>
        <v>DELETE</v>
      </c>
    </row>
    <row r="1246" spans="2:18" ht="36" customHeight="1" x14ac:dyDescent="0.5">
      <c r="B1246" s="316"/>
      <c r="C1246" s="456"/>
      <c r="D1246" s="456" t="s">
        <v>351</v>
      </c>
      <c r="E1246" s="450"/>
      <c r="F1246" s="450"/>
      <c r="G1246" s="450"/>
      <c r="H1246" s="450"/>
      <c r="I1246" s="450"/>
      <c r="J1246" s="450"/>
      <c r="M1246" s="347"/>
      <c r="O1246" s="347"/>
      <c r="R1246" s="348" t="str">
        <f t="shared" si="46"/>
        <v>DELETE</v>
      </c>
    </row>
    <row r="1247" spans="2:18" ht="36" customHeight="1" x14ac:dyDescent="0.5">
      <c r="B1247" s="316"/>
      <c r="C1247" s="456"/>
      <c r="D1247" s="456" t="str">
        <f>Criteria!E20</f>
        <v>28 FEBRUARY 2025</v>
      </c>
      <c r="E1247" s="450"/>
      <c r="F1247" s="450"/>
      <c r="G1247" s="450"/>
      <c r="H1247" s="450"/>
      <c r="I1247" s="450"/>
      <c r="J1247" s="450" t="s">
        <v>231</v>
      </c>
      <c r="M1247" s="347"/>
      <c r="O1247" s="347"/>
      <c r="R1247" s="348" t="str">
        <f t="shared" si="46"/>
        <v>DELETE</v>
      </c>
    </row>
    <row r="1248" spans="2:18" ht="36" customHeight="1" x14ac:dyDescent="0.5">
      <c r="B1248" s="316"/>
      <c r="C1248" s="456"/>
      <c r="D1248" s="450"/>
      <c r="E1248" s="450"/>
      <c r="F1248" s="450"/>
      <c r="G1248" s="450"/>
      <c r="H1248" s="450"/>
      <c r="I1248" s="450"/>
      <c r="J1248" s="450"/>
      <c r="M1248" s="296"/>
      <c r="N1248" s="296"/>
      <c r="O1248" s="296"/>
      <c r="R1248" s="348" t="str">
        <f t="shared" si="46"/>
        <v>DELETE</v>
      </c>
    </row>
    <row r="1249" spans="2:18" ht="36" customHeight="1" x14ac:dyDescent="0.5">
      <c r="B1249" s="447"/>
      <c r="C1249" s="465"/>
      <c r="D1249" s="460"/>
      <c r="E1249" s="460"/>
      <c r="F1249" s="460"/>
      <c r="G1249" s="460"/>
      <c r="H1249" s="460"/>
      <c r="I1249" s="460"/>
      <c r="J1249" s="460"/>
      <c r="K1249" s="364"/>
      <c r="L1249" s="364"/>
      <c r="M1249" s="297"/>
      <c r="N1249" s="297"/>
      <c r="O1249" s="297"/>
      <c r="P1249" s="367"/>
      <c r="Q1249" s="364"/>
      <c r="R1249" s="348" t="str">
        <f t="shared" si="46"/>
        <v>DELETE</v>
      </c>
    </row>
    <row r="1250" spans="2:18" ht="36" customHeight="1" x14ac:dyDescent="0.5">
      <c r="B1250" s="316"/>
      <c r="C1250" s="456"/>
      <c r="D1250" s="450"/>
      <c r="E1250" s="450"/>
      <c r="F1250" s="450"/>
      <c r="G1250" s="450"/>
      <c r="H1250" s="450"/>
      <c r="I1250" s="450"/>
      <c r="J1250" s="450"/>
      <c r="M1250" s="294">
        <f>Criteria!E22</f>
        <v>2025</v>
      </c>
      <c r="N1250" s="294"/>
      <c r="O1250" s="294">
        <f>Criteria!E27</f>
        <v>2024</v>
      </c>
      <c r="P1250" s="356"/>
      <c r="R1250" s="348" t="str">
        <f t="shared" si="46"/>
        <v>DELETE</v>
      </c>
    </row>
    <row r="1251" spans="2:18" ht="36" customHeight="1" x14ac:dyDescent="0.5">
      <c r="B1251" s="316"/>
      <c r="C1251" s="456"/>
      <c r="D1251" s="450"/>
      <c r="E1251" s="450"/>
      <c r="F1251" s="450"/>
      <c r="G1251" s="450"/>
      <c r="H1251" s="450"/>
      <c r="I1251" s="450"/>
      <c r="J1251" s="450"/>
      <c r="M1251" s="310"/>
      <c r="N1251" s="310"/>
      <c r="O1251" s="310"/>
      <c r="P1251" s="356"/>
      <c r="R1251" s="348" t="str">
        <f t="shared" si="46"/>
        <v>DELETE</v>
      </c>
    </row>
    <row r="1252" spans="2:18" ht="36" customHeight="1" x14ac:dyDescent="0.5">
      <c r="B1252" s="316"/>
      <c r="C1252" s="450" t="s">
        <v>1019</v>
      </c>
      <c r="D1252" s="450"/>
      <c r="E1252" s="450"/>
      <c r="F1252" s="450"/>
      <c r="G1252" s="450"/>
      <c r="H1252" s="450"/>
      <c r="I1252" s="450"/>
      <c r="J1252" s="450"/>
      <c r="M1252" s="310"/>
      <c r="N1252" s="310"/>
      <c r="O1252" s="310"/>
      <c r="P1252" s="356"/>
      <c r="R1252" s="348" t="str">
        <f t="shared" si="46"/>
        <v>DELETE</v>
      </c>
    </row>
    <row r="1253" spans="2:18" ht="36" customHeight="1" x14ac:dyDescent="0.5">
      <c r="B1253" s="316"/>
      <c r="C1253" s="456"/>
      <c r="D1253" s="450"/>
      <c r="E1253" s="450"/>
      <c r="F1253" s="450"/>
      <c r="G1253" s="450"/>
      <c r="H1253" s="450"/>
      <c r="I1253" s="450"/>
      <c r="J1253" s="450"/>
      <c r="M1253" s="310"/>
      <c r="N1253" s="310"/>
      <c r="O1253" s="310"/>
      <c r="P1253" s="356"/>
      <c r="R1253" s="348" t="str">
        <f t="shared" si="46"/>
        <v>DELETE</v>
      </c>
    </row>
    <row r="1254" spans="2:18" ht="36" customHeight="1" x14ac:dyDescent="0.5">
      <c r="B1254" s="316"/>
      <c r="C1254" s="450">
        <f>Criteria!C126</f>
        <v>0</v>
      </c>
      <c r="D1254" s="459"/>
      <c r="E1254" s="450"/>
      <c r="F1254" s="450"/>
      <c r="G1254" s="450"/>
      <c r="H1254" s="450"/>
      <c r="I1254" s="450"/>
      <c r="J1254" s="450"/>
      <c r="M1254" s="310">
        <f>Criteria!F126</f>
        <v>0</v>
      </c>
      <c r="N1254" s="310"/>
      <c r="O1254" s="310">
        <f>Criteria!G126</f>
        <v>0</v>
      </c>
      <c r="P1254" s="356"/>
      <c r="R1254" s="348" t="str">
        <f>IF(M1254=0,IF(O1254=0,"DELETE"," ")," ")</f>
        <v>DELETE</v>
      </c>
    </row>
    <row r="1255" spans="2:18" ht="36" customHeight="1" x14ac:dyDescent="0.5">
      <c r="B1255" s="316"/>
      <c r="C1255" s="450">
        <f>Criteria!C127</f>
        <v>0</v>
      </c>
      <c r="D1255" s="459"/>
      <c r="E1255" s="450"/>
      <c r="F1255" s="450"/>
      <c r="G1255" s="450"/>
      <c r="H1255" s="450"/>
      <c r="I1255" s="450"/>
      <c r="J1255" s="450"/>
      <c r="M1255" s="310">
        <f>Criteria!F127</f>
        <v>0</v>
      </c>
      <c r="N1255" s="310"/>
      <c r="O1255" s="310">
        <f>Criteria!G127</f>
        <v>0</v>
      </c>
      <c r="P1255" s="356"/>
      <c r="R1255" s="348" t="str">
        <f t="shared" ref="R1255:R1291" si="47">IF(M1255=0,IF(O1255=0,"DELETE"," ")," ")</f>
        <v>DELETE</v>
      </c>
    </row>
    <row r="1256" spans="2:18" ht="36" customHeight="1" x14ac:dyDescent="0.5">
      <c r="B1256" s="316"/>
      <c r="C1256" s="450">
        <f>Criteria!C128</f>
        <v>0</v>
      </c>
      <c r="D1256" s="459"/>
      <c r="E1256" s="450"/>
      <c r="F1256" s="450"/>
      <c r="G1256" s="450"/>
      <c r="H1256" s="450"/>
      <c r="I1256" s="450"/>
      <c r="J1256" s="450"/>
      <c r="M1256" s="310">
        <f>Criteria!F128</f>
        <v>0</v>
      </c>
      <c r="N1256" s="310"/>
      <c r="O1256" s="310">
        <f>Criteria!G128</f>
        <v>0</v>
      </c>
      <c r="P1256" s="356"/>
      <c r="R1256" s="348" t="str">
        <f t="shared" si="47"/>
        <v>DELETE</v>
      </c>
    </row>
    <row r="1257" spans="2:18" ht="36" customHeight="1" x14ac:dyDescent="0.5">
      <c r="B1257" s="316"/>
      <c r="C1257" s="450">
        <f>Criteria!C129</f>
        <v>0</v>
      </c>
      <c r="D1257" s="459"/>
      <c r="E1257" s="450"/>
      <c r="F1257" s="450"/>
      <c r="G1257" s="450"/>
      <c r="H1257" s="450"/>
      <c r="I1257" s="450"/>
      <c r="J1257" s="450"/>
      <c r="M1257" s="310">
        <f>Criteria!F129</f>
        <v>0</v>
      </c>
      <c r="N1257" s="310"/>
      <c r="O1257" s="310">
        <f>Criteria!G129</f>
        <v>0</v>
      </c>
      <c r="P1257" s="356"/>
      <c r="R1257" s="348" t="str">
        <f t="shared" si="47"/>
        <v>DELETE</v>
      </c>
    </row>
    <row r="1258" spans="2:18" ht="36" customHeight="1" x14ac:dyDescent="0.5">
      <c r="B1258" s="316"/>
      <c r="C1258" s="450">
        <f>Criteria!C130</f>
        <v>0</v>
      </c>
      <c r="D1258" s="459"/>
      <c r="E1258" s="450"/>
      <c r="F1258" s="450"/>
      <c r="G1258" s="450"/>
      <c r="H1258" s="450"/>
      <c r="I1258" s="450"/>
      <c r="J1258" s="450"/>
      <c r="M1258" s="310">
        <f>Criteria!F130</f>
        <v>0</v>
      </c>
      <c r="N1258" s="310"/>
      <c r="O1258" s="310">
        <f>Criteria!G130</f>
        <v>0</v>
      </c>
      <c r="P1258" s="356"/>
      <c r="R1258" s="348" t="str">
        <f t="shared" si="47"/>
        <v>DELETE</v>
      </c>
    </row>
    <row r="1259" spans="2:18" ht="36" customHeight="1" x14ac:dyDescent="0.5">
      <c r="B1259" s="316"/>
      <c r="C1259" s="450">
        <f>Criteria!C131</f>
        <v>0</v>
      </c>
      <c r="D1259" s="459"/>
      <c r="E1259" s="450"/>
      <c r="F1259" s="450"/>
      <c r="G1259" s="450"/>
      <c r="H1259" s="450"/>
      <c r="I1259" s="450"/>
      <c r="J1259" s="450"/>
      <c r="M1259" s="310">
        <f>Criteria!F131</f>
        <v>0</v>
      </c>
      <c r="N1259" s="310"/>
      <c r="O1259" s="310">
        <f>Criteria!G131</f>
        <v>0</v>
      </c>
      <c r="P1259" s="356"/>
      <c r="R1259" s="348" t="str">
        <f t="shared" si="47"/>
        <v>DELETE</v>
      </c>
    </row>
    <row r="1260" spans="2:18" ht="36" customHeight="1" x14ac:dyDescent="0.5">
      <c r="B1260" s="316"/>
      <c r="C1260" s="450">
        <f>Criteria!C132</f>
        <v>0</v>
      </c>
      <c r="D1260" s="459"/>
      <c r="E1260" s="450"/>
      <c r="F1260" s="450"/>
      <c r="G1260" s="450"/>
      <c r="H1260" s="450"/>
      <c r="I1260" s="450"/>
      <c r="J1260" s="450"/>
      <c r="M1260" s="310">
        <f>Criteria!F132</f>
        <v>0</v>
      </c>
      <c r="N1260" s="310"/>
      <c r="O1260" s="310">
        <f>Criteria!G132</f>
        <v>0</v>
      </c>
      <c r="P1260" s="356"/>
      <c r="R1260" s="348" t="str">
        <f t="shared" si="47"/>
        <v>DELETE</v>
      </c>
    </row>
    <row r="1261" spans="2:18" ht="36" customHeight="1" x14ac:dyDescent="0.5">
      <c r="B1261" s="316"/>
      <c r="C1261" s="450">
        <f>Criteria!C133</f>
        <v>0</v>
      </c>
      <c r="D1261" s="459"/>
      <c r="E1261" s="450"/>
      <c r="F1261" s="450"/>
      <c r="G1261" s="450"/>
      <c r="H1261" s="450"/>
      <c r="I1261" s="450"/>
      <c r="J1261" s="450"/>
      <c r="M1261" s="310">
        <f>Criteria!F133</f>
        <v>0</v>
      </c>
      <c r="N1261" s="310"/>
      <c r="O1261" s="310">
        <f>Criteria!G133</f>
        <v>0</v>
      </c>
      <c r="P1261" s="356"/>
      <c r="R1261" s="348" t="str">
        <f t="shared" si="47"/>
        <v>DELETE</v>
      </c>
    </row>
    <row r="1262" spans="2:18" ht="36" customHeight="1" x14ac:dyDescent="0.5">
      <c r="B1262" s="316"/>
      <c r="C1262" s="450">
        <f>Criteria!C134</f>
        <v>0</v>
      </c>
      <c r="D1262" s="459"/>
      <c r="E1262" s="450"/>
      <c r="F1262" s="450"/>
      <c r="G1262" s="450"/>
      <c r="H1262" s="450"/>
      <c r="I1262" s="450"/>
      <c r="J1262" s="450"/>
      <c r="M1262" s="310">
        <f>Criteria!F134</f>
        <v>0</v>
      </c>
      <c r="N1262" s="310"/>
      <c r="O1262" s="310">
        <f>Criteria!G134</f>
        <v>0</v>
      </c>
      <c r="P1262" s="356"/>
      <c r="R1262" s="348" t="str">
        <f t="shared" si="47"/>
        <v>DELETE</v>
      </c>
    </row>
    <row r="1263" spans="2:18" ht="36" customHeight="1" x14ac:dyDescent="0.5">
      <c r="B1263" s="316"/>
      <c r="C1263" s="450">
        <f>Criteria!C135</f>
        <v>0</v>
      </c>
      <c r="D1263" s="459"/>
      <c r="E1263" s="450"/>
      <c r="F1263" s="450"/>
      <c r="G1263" s="450"/>
      <c r="H1263" s="450"/>
      <c r="I1263" s="450"/>
      <c r="J1263" s="450"/>
      <c r="M1263" s="310">
        <f>Criteria!F135</f>
        <v>0</v>
      </c>
      <c r="N1263" s="310"/>
      <c r="O1263" s="310">
        <f>Criteria!G135</f>
        <v>0</v>
      </c>
      <c r="P1263" s="356"/>
      <c r="R1263" s="348" t="str">
        <f t="shared" si="47"/>
        <v>DELETE</v>
      </c>
    </row>
    <row r="1264" spans="2:18" ht="36" customHeight="1" x14ac:dyDescent="0.5">
      <c r="B1264" s="316"/>
      <c r="C1264" s="450">
        <f>Criteria!C136</f>
        <v>0</v>
      </c>
      <c r="D1264" s="459"/>
      <c r="E1264" s="450"/>
      <c r="F1264" s="450"/>
      <c r="G1264" s="450"/>
      <c r="H1264" s="450"/>
      <c r="I1264" s="450"/>
      <c r="J1264" s="450"/>
      <c r="M1264" s="310">
        <f>Criteria!F136</f>
        <v>0</v>
      </c>
      <c r="N1264" s="310"/>
      <c r="O1264" s="310">
        <f>Criteria!G136</f>
        <v>0</v>
      </c>
      <c r="P1264" s="356"/>
      <c r="R1264" s="348" t="str">
        <f t="shared" si="47"/>
        <v>DELETE</v>
      </c>
    </row>
    <row r="1265" spans="2:18" ht="36" customHeight="1" x14ac:dyDescent="0.5">
      <c r="B1265" s="316"/>
      <c r="C1265" s="450">
        <f>Criteria!C137</f>
        <v>0</v>
      </c>
      <c r="D1265" s="459"/>
      <c r="E1265" s="450"/>
      <c r="F1265" s="450"/>
      <c r="G1265" s="450"/>
      <c r="H1265" s="450"/>
      <c r="I1265" s="450"/>
      <c r="J1265" s="450"/>
      <c r="M1265" s="310">
        <f>Criteria!F137</f>
        <v>0</v>
      </c>
      <c r="N1265" s="310"/>
      <c r="O1265" s="310">
        <f>Criteria!G137</f>
        <v>0</v>
      </c>
      <c r="P1265" s="356"/>
      <c r="R1265" s="348" t="str">
        <f t="shared" si="47"/>
        <v>DELETE</v>
      </c>
    </row>
    <row r="1266" spans="2:18" ht="36" customHeight="1" x14ac:dyDescent="0.5">
      <c r="B1266" s="316"/>
      <c r="C1266" s="450">
        <f>Criteria!C138</f>
        <v>0</v>
      </c>
      <c r="D1266" s="459"/>
      <c r="E1266" s="450"/>
      <c r="F1266" s="450"/>
      <c r="G1266" s="450"/>
      <c r="H1266" s="450"/>
      <c r="I1266" s="450"/>
      <c r="J1266" s="450"/>
      <c r="M1266" s="310">
        <f>Criteria!F138</f>
        <v>0</v>
      </c>
      <c r="N1266" s="310"/>
      <c r="O1266" s="310">
        <f>Criteria!G138</f>
        <v>0</v>
      </c>
      <c r="P1266" s="356"/>
      <c r="R1266" s="348" t="str">
        <f t="shared" si="47"/>
        <v>DELETE</v>
      </c>
    </row>
    <row r="1267" spans="2:18" ht="36" customHeight="1" x14ac:dyDescent="0.5">
      <c r="B1267" s="316"/>
      <c r="C1267" s="450">
        <f>Criteria!C139</f>
        <v>0</v>
      </c>
      <c r="D1267" s="459"/>
      <c r="E1267" s="450"/>
      <c r="F1267" s="450"/>
      <c r="G1267" s="450"/>
      <c r="H1267" s="450"/>
      <c r="I1267" s="450"/>
      <c r="J1267" s="450"/>
      <c r="M1267" s="310">
        <f>Criteria!F139</f>
        <v>0</v>
      </c>
      <c r="N1267" s="310"/>
      <c r="O1267" s="310">
        <f>Criteria!G139</f>
        <v>0</v>
      </c>
      <c r="P1267" s="356"/>
      <c r="R1267" s="348" t="str">
        <f t="shared" si="47"/>
        <v>DELETE</v>
      </c>
    </row>
    <row r="1268" spans="2:18" ht="36" customHeight="1" x14ac:dyDescent="0.5">
      <c r="B1268" s="316"/>
      <c r="C1268" s="450">
        <f>Criteria!C140</f>
        <v>0</v>
      </c>
      <c r="D1268" s="459"/>
      <c r="E1268" s="450"/>
      <c r="F1268" s="450"/>
      <c r="G1268" s="450"/>
      <c r="H1268" s="450"/>
      <c r="I1268" s="450"/>
      <c r="J1268" s="450"/>
      <c r="M1268" s="310">
        <f>Criteria!F140</f>
        <v>0</v>
      </c>
      <c r="N1268" s="310"/>
      <c r="O1268" s="310">
        <f>Criteria!G140</f>
        <v>0</v>
      </c>
      <c r="P1268" s="356"/>
      <c r="R1268" s="348" t="str">
        <f t="shared" si="47"/>
        <v>DELETE</v>
      </c>
    </row>
    <row r="1269" spans="2:18" ht="36" customHeight="1" x14ac:dyDescent="0.5">
      <c r="B1269" s="316"/>
      <c r="C1269" s="450">
        <f>Criteria!C141</f>
        <v>0</v>
      </c>
      <c r="D1269" s="459"/>
      <c r="E1269" s="450"/>
      <c r="F1269" s="450"/>
      <c r="G1269" s="450"/>
      <c r="H1269" s="450"/>
      <c r="I1269" s="450"/>
      <c r="J1269" s="450"/>
      <c r="M1269" s="310">
        <f>Criteria!F141</f>
        <v>0</v>
      </c>
      <c r="N1269" s="310"/>
      <c r="O1269" s="310">
        <f>Criteria!G141</f>
        <v>0</v>
      </c>
      <c r="P1269" s="356"/>
      <c r="R1269" s="348" t="str">
        <f t="shared" si="47"/>
        <v>DELETE</v>
      </c>
    </row>
    <row r="1270" spans="2:18" ht="36" customHeight="1" x14ac:dyDescent="0.5">
      <c r="B1270" s="316"/>
      <c r="C1270" s="450">
        <f>Criteria!C142</f>
        <v>0</v>
      </c>
      <c r="D1270" s="459"/>
      <c r="E1270" s="450"/>
      <c r="F1270" s="450"/>
      <c r="G1270" s="450"/>
      <c r="H1270" s="450"/>
      <c r="I1270" s="450"/>
      <c r="J1270" s="450"/>
      <c r="M1270" s="310">
        <f>Criteria!F142</f>
        <v>0</v>
      </c>
      <c r="N1270" s="310"/>
      <c r="O1270" s="310">
        <f>Criteria!G142</f>
        <v>0</v>
      </c>
      <c r="P1270" s="356"/>
      <c r="R1270" s="348" t="str">
        <f t="shared" si="47"/>
        <v>DELETE</v>
      </c>
    </row>
    <row r="1271" spans="2:18" ht="36" customHeight="1" x14ac:dyDescent="0.5">
      <c r="B1271" s="316"/>
      <c r="C1271" s="450">
        <f>Criteria!C143</f>
        <v>0</v>
      </c>
      <c r="D1271" s="459"/>
      <c r="E1271" s="450"/>
      <c r="F1271" s="450"/>
      <c r="G1271" s="450"/>
      <c r="H1271" s="450"/>
      <c r="I1271" s="450"/>
      <c r="J1271" s="450"/>
      <c r="M1271" s="310">
        <f>Criteria!F143</f>
        <v>0</v>
      </c>
      <c r="N1271" s="310"/>
      <c r="O1271" s="310">
        <f>Criteria!G143</f>
        <v>0</v>
      </c>
      <c r="P1271" s="356"/>
      <c r="R1271" s="348" t="str">
        <f t="shared" si="47"/>
        <v>DELETE</v>
      </c>
    </row>
    <row r="1272" spans="2:18" ht="36" customHeight="1" x14ac:dyDescent="0.5">
      <c r="B1272" s="316"/>
      <c r="C1272" s="450">
        <f>Criteria!C144</f>
        <v>0</v>
      </c>
      <c r="D1272" s="459"/>
      <c r="E1272" s="450"/>
      <c r="F1272" s="450"/>
      <c r="G1272" s="450"/>
      <c r="H1272" s="450"/>
      <c r="I1272" s="450"/>
      <c r="J1272" s="450"/>
      <c r="M1272" s="310">
        <f>Criteria!F144</f>
        <v>0</v>
      </c>
      <c r="N1272" s="310"/>
      <c r="O1272" s="310">
        <f>Criteria!G144</f>
        <v>0</v>
      </c>
      <c r="P1272" s="356"/>
      <c r="R1272" s="348" t="str">
        <f t="shared" si="47"/>
        <v>DELETE</v>
      </c>
    </row>
    <row r="1273" spans="2:18" ht="36" customHeight="1" x14ac:dyDescent="0.5">
      <c r="B1273" s="316"/>
      <c r="C1273" s="450">
        <f>Criteria!C145</f>
        <v>0</v>
      </c>
      <c r="D1273" s="459"/>
      <c r="E1273" s="450"/>
      <c r="F1273" s="450"/>
      <c r="G1273" s="450"/>
      <c r="H1273" s="450"/>
      <c r="I1273" s="450"/>
      <c r="J1273" s="450"/>
      <c r="M1273" s="310">
        <f>Criteria!F145</f>
        <v>0</v>
      </c>
      <c r="N1273" s="310"/>
      <c r="O1273" s="310">
        <f>Criteria!G145</f>
        <v>0</v>
      </c>
      <c r="P1273" s="356"/>
      <c r="R1273" s="348" t="str">
        <f t="shared" si="47"/>
        <v>DELETE</v>
      </c>
    </row>
    <row r="1274" spans="2:18" ht="36" customHeight="1" x14ac:dyDescent="0.5">
      <c r="B1274" s="316"/>
      <c r="C1274" s="450">
        <f>Criteria!C146</f>
        <v>0</v>
      </c>
      <c r="D1274" s="459"/>
      <c r="E1274" s="450"/>
      <c r="F1274" s="450"/>
      <c r="G1274" s="450"/>
      <c r="H1274" s="450"/>
      <c r="I1274" s="450"/>
      <c r="J1274" s="450"/>
      <c r="M1274" s="310">
        <f>Criteria!F146</f>
        <v>0</v>
      </c>
      <c r="N1274" s="310"/>
      <c r="O1274" s="310">
        <f>Criteria!G146</f>
        <v>0</v>
      </c>
      <c r="P1274" s="356"/>
      <c r="R1274" s="348" t="str">
        <f t="shared" si="47"/>
        <v>DELETE</v>
      </c>
    </row>
    <row r="1275" spans="2:18" ht="36" customHeight="1" x14ac:dyDescent="0.5">
      <c r="B1275" s="316"/>
      <c r="C1275" s="450">
        <f>Criteria!C147</f>
        <v>0</v>
      </c>
      <c r="D1275" s="459"/>
      <c r="E1275" s="450"/>
      <c r="F1275" s="450"/>
      <c r="G1275" s="450"/>
      <c r="H1275" s="450"/>
      <c r="I1275" s="450"/>
      <c r="J1275" s="450"/>
      <c r="M1275" s="310">
        <f>Criteria!F147</f>
        <v>0</v>
      </c>
      <c r="N1275" s="310"/>
      <c r="O1275" s="310">
        <f>Criteria!G147</f>
        <v>0</v>
      </c>
      <c r="P1275" s="356"/>
      <c r="R1275" s="348" t="str">
        <f t="shared" si="47"/>
        <v>DELETE</v>
      </c>
    </row>
    <row r="1276" spans="2:18" ht="36" customHeight="1" x14ac:dyDescent="0.5">
      <c r="B1276" s="316"/>
      <c r="C1276" s="450">
        <f>Criteria!C148</f>
        <v>0</v>
      </c>
      <c r="D1276" s="459"/>
      <c r="E1276" s="450"/>
      <c r="F1276" s="450"/>
      <c r="G1276" s="450"/>
      <c r="H1276" s="450"/>
      <c r="I1276" s="450"/>
      <c r="J1276" s="450"/>
      <c r="M1276" s="310">
        <f>Criteria!F148</f>
        <v>0</v>
      </c>
      <c r="N1276" s="310"/>
      <c r="O1276" s="310">
        <f>Criteria!G148</f>
        <v>0</v>
      </c>
      <c r="P1276" s="356"/>
      <c r="R1276" s="348" t="str">
        <f t="shared" si="47"/>
        <v>DELETE</v>
      </c>
    </row>
    <row r="1277" spans="2:18" ht="36" customHeight="1" x14ac:dyDescent="0.5">
      <c r="B1277" s="316"/>
      <c r="C1277" s="450">
        <f>Criteria!C149</f>
        <v>0</v>
      </c>
      <c r="D1277" s="459"/>
      <c r="E1277" s="450"/>
      <c r="F1277" s="450"/>
      <c r="G1277" s="450"/>
      <c r="H1277" s="450"/>
      <c r="I1277" s="450"/>
      <c r="J1277" s="450"/>
      <c r="M1277" s="310">
        <f>Criteria!F149</f>
        <v>0</v>
      </c>
      <c r="N1277" s="310"/>
      <c r="O1277" s="310">
        <f>Criteria!G149</f>
        <v>0</v>
      </c>
      <c r="P1277" s="356"/>
      <c r="R1277" s="348" t="str">
        <f t="shared" si="47"/>
        <v>DELETE</v>
      </c>
    </row>
    <row r="1278" spans="2:18" ht="36" customHeight="1" x14ac:dyDescent="0.5">
      <c r="B1278" s="316"/>
      <c r="C1278" s="450">
        <f>Criteria!C150</f>
        <v>0</v>
      </c>
      <c r="D1278" s="459"/>
      <c r="E1278" s="450"/>
      <c r="F1278" s="450"/>
      <c r="G1278" s="450"/>
      <c r="H1278" s="450"/>
      <c r="I1278" s="450"/>
      <c r="J1278" s="450"/>
      <c r="M1278" s="310">
        <f>Criteria!F150</f>
        <v>0</v>
      </c>
      <c r="N1278" s="310"/>
      <c r="O1278" s="310">
        <f>Criteria!G150</f>
        <v>0</v>
      </c>
      <c r="P1278" s="356"/>
      <c r="R1278" s="348" t="str">
        <f t="shared" si="47"/>
        <v>DELETE</v>
      </c>
    </row>
    <row r="1279" spans="2:18" ht="36" customHeight="1" x14ac:dyDescent="0.5">
      <c r="B1279" s="316"/>
      <c r="C1279" s="450">
        <f>Criteria!C151</f>
        <v>0</v>
      </c>
      <c r="D1279" s="459"/>
      <c r="E1279" s="450"/>
      <c r="F1279" s="450"/>
      <c r="G1279" s="450"/>
      <c r="H1279" s="450"/>
      <c r="I1279" s="450"/>
      <c r="J1279" s="450"/>
      <c r="M1279" s="310">
        <f>Criteria!F151</f>
        <v>0</v>
      </c>
      <c r="N1279" s="310"/>
      <c r="O1279" s="310">
        <f>Criteria!G151</f>
        <v>0</v>
      </c>
      <c r="P1279" s="356"/>
      <c r="R1279" s="348" t="str">
        <f t="shared" si="47"/>
        <v>DELETE</v>
      </c>
    </row>
    <row r="1280" spans="2:18" ht="36" customHeight="1" x14ac:dyDescent="0.5">
      <c r="B1280" s="316"/>
      <c r="C1280" s="450">
        <f>Criteria!C152</f>
        <v>0</v>
      </c>
      <c r="D1280" s="459"/>
      <c r="E1280" s="450"/>
      <c r="F1280" s="450"/>
      <c r="G1280" s="450"/>
      <c r="H1280" s="450"/>
      <c r="I1280" s="450"/>
      <c r="J1280" s="450"/>
      <c r="M1280" s="310">
        <f>Criteria!F152</f>
        <v>0</v>
      </c>
      <c r="N1280" s="310"/>
      <c r="O1280" s="310">
        <f>Criteria!G152</f>
        <v>0</v>
      </c>
      <c r="P1280" s="356"/>
      <c r="R1280" s="348" t="str">
        <f t="shared" si="47"/>
        <v>DELETE</v>
      </c>
    </row>
    <row r="1281" spans="2:24" ht="36" customHeight="1" x14ac:dyDescent="0.5">
      <c r="B1281" s="316"/>
      <c r="C1281" s="450">
        <f>Criteria!C153</f>
        <v>0</v>
      </c>
      <c r="D1281" s="459"/>
      <c r="E1281" s="450"/>
      <c r="F1281" s="450"/>
      <c r="G1281" s="450"/>
      <c r="H1281" s="450"/>
      <c r="I1281" s="450"/>
      <c r="J1281" s="450"/>
      <c r="M1281" s="310">
        <f>Criteria!F153</f>
        <v>0</v>
      </c>
      <c r="N1281" s="310"/>
      <c r="O1281" s="310">
        <f>Criteria!G153</f>
        <v>0</v>
      </c>
      <c r="P1281" s="356"/>
      <c r="R1281" s="348" t="str">
        <f t="shared" si="47"/>
        <v>DELETE</v>
      </c>
    </row>
    <row r="1282" spans="2:24" ht="36" customHeight="1" x14ac:dyDescent="0.5">
      <c r="B1282" s="316"/>
      <c r="C1282" s="450">
        <f>Criteria!C154</f>
        <v>0</v>
      </c>
      <c r="D1282" s="459"/>
      <c r="E1282" s="450"/>
      <c r="F1282" s="450"/>
      <c r="G1282" s="450"/>
      <c r="H1282" s="450"/>
      <c r="I1282" s="450"/>
      <c r="J1282" s="450"/>
      <c r="M1282" s="310">
        <f>Criteria!F154</f>
        <v>0</v>
      </c>
      <c r="N1282" s="310"/>
      <c r="O1282" s="310">
        <f>Criteria!G154</f>
        <v>0</v>
      </c>
      <c r="P1282" s="356"/>
      <c r="R1282" s="348" t="str">
        <f t="shared" si="47"/>
        <v>DELETE</v>
      </c>
    </row>
    <row r="1283" spans="2:24" ht="36" customHeight="1" x14ac:dyDescent="0.5">
      <c r="B1283" s="316"/>
      <c r="C1283" s="450">
        <f>Criteria!C155</f>
        <v>0</v>
      </c>
      <c r="D1283" s="459"/>
      <c r="E1283" s="450"/>
      <c r="F1283" s="450"/>
      <c r="G1283" s="450"/>
      <c r="H1283" s="450"/>
      <c r="I1283" s="450"/>
      <c r="J1283" s="450"/>
      <c r="M1283" s="310">
        <f>Criteria!F155</f>
        <v>0</v>
      </c>
      <c r="N1283" s="310"/>
      <c r="O1283" s="310">
        <f>Criteria!G155</f>
        <v>0</v>
      </c>
      <c r="P1283" s="356"/>
      <c r="R1283" s="348" t="str">
        <f t="shared" si="47"/>
        <v>DELETE</v>
      </c>
    </row>
    <row r="1284" spans="2:24" ht="36" customHeight="1" x14ac:dyDescent="0.5">
      <c r="B1284" s="316"/>
      <c r="C1284" s="450">
        <f>Criteria!C156</f>
        <v>0</v>
      </c>
      <c r="D1284" s="459"/>
      <c r="E1284" s="450"/>
      <c r="F1284" s="450"/>
      <c r="G1284" s="450"/>
      <c r="H1284" s="450"/>
      <c r="I1284" s="450"/>
      <c r="J1284" s="450"/>
      <c r="M1284" s="310">
        <f>Criteria!F156</f>
        <v>0</v>
      </c>
      <c r="N1284" s="310"/>
      <c r="O1284" s="310">
        <f>Criteria!G156</f>
        <v>0</v>
      </c>
      <c r="P1284" s="356"/>
      <c r="R1284" s="348" t="str">
        <f t="shared" si="47"/>
        <v>DELETE</v>
      </c>
    </row>
    <row r="1285" spans="2:24" ht="36" customHeight="1" x14ac:dyDescent="0.5">
      <c r="B1285" s="316"/>
      <c r="C1285" s="450">
        <f>Criteria!C157</f>
        <v>0</v>
      </c>
      <c r="D1285" s="459"/>
      <c r="E1285" s="450"/>
      <c r="F1285" s="450"/>
      <c r="G1285" s="450"/>
      <c r="H1285" s="450"/>
      <c r="I1285" s="450"/>
      <c r="J1285" s="450"/>
      <c r="M1285" s="310">
        <f>Criteria!F157</f>
        <v>0</v>
      </c>
      <c r="N1285" s="310"/>
      <c r="O1285" s="310">
        <f>Criteria!G157</f>
        <v>0</v>
      </c>
      <c r="P1285" s="356"/>
      <c r="R1285" s="348" t="str">
        <f t="shared" si="47"/>
        <v>DELETE</v>
      </c>
    </row>
    <row r="1286" spans="2:24" ht="36" customHeight="1" x14ac:dyDescent="0.5">
      <c r="B1286" s="316"/>
      <c r="C1286" s="450">
        <f>Criteria!C158</f>
        <v>0</v>
      </c>
      <c r="D1286" s="459"/>
      <c r="E1286" s="450"/>
      <c r="F1286" s="450"/>
      <c r="G1286" s="450"/>
      <c r="H1286" s="450"/>
      <c r="I1286" s="450"/>
      <c r="J1286" s="450"/>
      <c r="M1286" s="310">
        <f>Criteria!F158</f>
        <v>0</v>
      </c>
      <c r="N1286" s="310"/>
      <c r="O1286" s="310">
        <f>Criteria!G158</f>
        <v>0</v>
      </c>
      <c r="P1286" s="356"/>
      <c r="R1286" s="348" t="str">
        <f t="shared" si="47"/>
        <v>DELETE</v>
      </c>
    </row>
    <row r="1287" spans="2:24" ht="36" customHeight="1" x14ac:dyDescent="0.5">
      <c r="B1287" s="316"/>
      <c r="C1287" s="450">
        <f>Criteria!C159</f>
        <v>0</v>
      </c>
      <c r="D1287" s="459"/>
      <c r="E1287" s="450"/>
      <c r="F1287" s="450"/>
      <c r="G1287" s="450"/>
      <c r="H1287" s="450"/>
      <c r="I1287" s="450"/>
      <c r="J1287" s="450"/>
      <c r="M1287" s="310">
        <f>Criteria!F159</f>
        <v>0</v>
      </c>
      <c r="N1287" s="310"/>
      <c r="O1287" s="310">
        <f>Criteria!G159</f>
        <v>0</v>
      </c>
      <c r="P1287" s="356"/>
      <c r="R1287" s="348" t="str">
        <f t="shared" si="47"/>
        <v>DELETE</v>
      </c>
    </row>
    <row r="1288" spans="2:24" ht="36" customHeight="1" x14ac:dyDescent="0.5">
      <c r="B1288" s="316"/>
      <c r="C1288" s="450">
        <f>Criteria!C160</f>
        <v>0</v>
      </c>
      <c r="D1288" s="459"/>
      <c r="E1288" s="450"/>
      <c r="F1288" s="450"/>
      <c r="G1288" s="450"/>
      <c r="H1288" s="450"/>
      <c r="I1288" s="450"/>
      <c r="J1288" s="450"/>
      <c r="M1288" s="310">
        <f>Criteria!F160</f>
        <v>0</v>
      </c>
      <c r="N1288" s="310"/>
      <c r="O1288" s="310">
        <f>Criteria!G160</f>
        <v>0</v>
      </c>
      <c r="P1288" s="356"/>
      <c r="R1288" s="348" t="str">
        <f t="shared" si="47"/>
        <v>DELETE</v>
      </c>
    </row>
    <row r="1289" spans="2:24" ht="36" customHeight="1" x14ac:dyDescent="0.5">
      <c r="B1289" s="316"/>
      <c r="C1289" s="450">
        <f>Criteria!C161</f>
        <v>0</v>
      </c>
      <c r="D1289" s="459"/>
      <c r="E1289" s="450"/>
      <c r="F1289" s="450"/>
      <c r="G1289" s="450"/>
      <c r="H1289" s="450"/>
      <c r="I1289" s="450"/>
      <c r="J1289" s="450"/>
      <c r="M1289" s="310">
        <f>Criteria!F161</f>
        <v>0</v>
      </c>
      <c r="N1289" s="310"/>
      <c r="O1289" s="310">
        <f>Criteria!G161</f>
        <v>0</v>
      </c>
      <c r="P1289" s="356"/>
      <c r="R1289" s="348" t="str">
        <f t="shared" si="47"/>
        <v>DELETE</v>
      </c>
    </row>
    <row r="1290" spans="2:24" ht="36" customHeight="1" x14ac:dyDescent="0.5">
      <c r="B1290" s="316"/>
      <c r="C1290" s="450">
        <f>Criteria!C162</f>
        <v>0</v>
      </c>
      <c r="D1290" s="459"/>
      <c r="E1290" s="450"/>
      <c r="F1290" s="450"/>
      <c r="G1290" s="450"/>
      <c r="H1290" s="450"/>
      <c r="I1290" s="450"/>
      <c r="J1290" s="450"/>
      <c r="M1290" s="310">
        <f>Criteria!F162</f>
        <v>0</v>
      </c>
      <c r="N1290" s="310"/>
      <c r="O1290" s="310">
        <f>Criteria!G162</f>
        <v>0</v>
      </c>
      <c r="P1290" s="356"/>
      <c r="R1290" s="348" t="str">
        <f t="shared" si="47"/>
        <v>DELETE</v>
      </c>
    </row>
    <row r="1291" spans="2:24" ht="36" customHeight="1" x14ac:dyDescent="0.5">
      <c r="B1291" s="316"/>
      <c r="C1291" s="450">
        <f>Criteria!C163</f>
        <v>0</v>
      </c>
      <c r="D1291" s="459"/>
      <c r="E1291" s="450"/>
      <c r="F1291" s="450"/>
      <c r="G1291" s="450"/>
      <c r="H1291" s="450"/>
      <c r="I1291" s="450"/>
      <c r="J1291" s="450"/>
      <c r="M1291" s="310">
        <f>Criteria!F163</f>
        <v>0</v>
      </c>
      <c r="N1291" s="310"/>
      <c r="O1291" s="310">
        <f>Criteria!G163</f>
        <v>0</v>
      </c>
      <c r="P1291" s="356"/>
      <c r="R1291" s="348" t="str">
        <f t="shared" si="47"/>
        <v>DELETE</v>
      </c>
    </row>
    <row r="1292" spans="2:24" ht="9" customHeight="1" x14ac:dyDescent="0.5">
      <c r="B1292" s="316"/>
      <c r="C1292" s="456"/>
      <c r="D1292" s="450"/>
      <c r="E1292" s="450"/>
      <c r="F1292" s="450"/>
      <c r="G1292" s="450"/>
      <c r="H1292" s="450"/>
      <c r="I1292" s="450"/>
      <c r="J1292" s="450"/>
      <c r="M1292" s="298"/>
      <c r="N1292" s="298"/>
      <c r="O1292" s="298"/>
      <c r="P1292" s="356"/>
      <c r="R1292" s="348" t="str">
        <f>R$1294</f>
        <v>DELETE</v>
      </c>
    </row>
    <row r="1293" spans="2:24" ht="9" customHeight="1" x14ac:dyDescent="0.5">
      <c r="B1293" s="316"/>
      <c r="C1293" s="456"/>
      <c r="D1293" s="450"/>
      <c r="E1293" s="450"/>
      <c r="F1293" s="450"/>
      <c r="G1293" s="450"/>
      <c r="H1293" s="450"/>
      <c r="I1293" s="450"/>
      <c r="J1293" s="450"/>
      <c r="M1293" s="310"/>
      <c r="N1293" s="310"/>
      <c r="O1293" s="310"/>
      <c r="P1293" s="356"/>
      <c r="R1293" s="348" t="str">
        <f>R$1294</f>
        <v>DELETE</v>
      </c>
    </row>
    <row r="1294" spans="2:24" ht="36.75" customHeight="1" x14ac:dyDescent="0.5">
      <c r="B1294" s="316"/>
      <c r="C1294" s="456"/>
      <c r="D1294" s="450"/>
      <c r="E1294" s="450"/>
      <c r="F1294" s="450"/>
      <c r="G1294" s="450"/>
      <c r="H1294" s="450"/>
      <c r="I1294" s="450"/>
      <c r="J1294" s="450"/>
      <c r="M1294" s="310">
        <f>SUM(M1254:M1292)</f>
        <v>0</v>
      </c>
      <c r="N1294" s="310"/>
      <c r="O1294" s="310">
        <f>SUM(O1254:O1292)</f>
        <v>0</v>
      </c>
      <c r="P1294" s="356"/>
      <c r="R1294" s="348" t="str">
        <f t="shared" ref="R1294" si="48">IF(M1294=0,IF(O1294=0,"DELETE"," ")," ")</f>
        <v>DELETE</v>
      </c>
      <c r="V1294" s="331" t="b">
        <f>M1294=M1232</f>
        <v>1</v>
      </c>
      <c r="X1294" s="331" t="b">
        <f>O1294=O1232</f>
        <v>1</v>
      </c>
    </row>
    <row r="1295" spans="2:24" ht="9" customHeight="1" thickBot="1" x14ac:dyDescent="0.55000000000000004">
      <c r="B1295" s="316"/>
      <c r="C1295" s="456"/>
      <c r="D1295" s="450"/>
      <c r="E1295" s="450"/>
      <c r="F1295" s="450"/>
      <c r="G1295" s="450"/>
      <c r="H1295" s="450"/>
      <c r="I1295" s="450"/>
      <c r="J1295" s="450"/>
      <c r="M1295" s="299"/>
      <c r="N1295" s="299"/>
      <c r="O1295" s="299"/>
      <c r="P1295" s="356"/>
      <c r="R1295" s="348" t="str">
        <f t="shared" ref="R1295:R1299" si="49">R$1294</f>
        <v>DELETE</v>
      </c>
    </row>
    <row r="1296" spans="2:24" ht="9" customHeight="1" thickTop="1" x14ac:dyDescent="0.5">
      <c r="B1296" s="316"/>
      <c r="C1296" s="456"/>
      <c r="D1296" s="450"/>
      <c r="E1296" s="450"/>
      <c r="F1296" s="450"/>
      <c r="G1296" s="450"/>
      <c r="H1296" s="450"/>
      <c r="I1296" s="450"/>
      <c r="J1296" s="450"/>
      <c r="M1296" s="310"/>
      <c r="N1296" s="310"/>
      <c r="O1296" s="310"/>
      <c r="P1296" s="356"/>
      <c r="R1296" s="348" t="str">
        <f t="shared" si="49"/>
        <v>DELETE</v>
      </c>
    </row>
    <row r="1297" spans="2:18" ht="36" customHeight="1" x14ac:dyDescent="0.5">
      <c r="B1297" s="316"/>
      <c r="C1297" s="456"/>
      <c r="D1297" s="450"/>
      <c r="E1297" s="450"/>
      <c r="F1297" s="450"/>
      <c r="G1297" s="450"/>
      <c r="H1297" s="450"/>
      <c r="I1297" s="450"/>
      <c r="J1297" s="450"/>
      <c r="M1297" s="310"/>
      <c r="N1297" s="310"/>
      <c r="O1297" s="310"/>
      <c r="P1297" s="356"/>
      <c r="R1297" s="348" t="str">
        <f t="shared" si="49"/>
        <v>DELETE</v>
      </c>
    </row>
    <row r="1298" spans="2:18" ht="36" customHeight="1" x14ac:dyDescent="0.5">
      <c r="B1298" s="316"/>
      <c r="C1298" s="456"/>
      <c r="D1298" s="450"/>
      <c r="E1298" s="450"/>
      <c r="F1298" s="450"/>
      <c r="G1298" s="450"/>
      <c r="H1298" s="450"/>
      <c r="I1298" s="450"/>
      <c r="J1298" s="450"/>
      <c r="M1298" s="310"/>
      <c r="N1298" s="310"/>
      <c r="O1298" s="310"/>
      <c r="P1298" s="356"/>
      <c r="R1298" s="348" t="str">
        <f t="shared" si="49"/>
        <v>DELETE</v>
      </c>
    </row>
    <row r="1299" spans="2:18" ht="36" customHeight="1" x14ac:dyDescent="0.5">
      <c r="B1299" s="316"/>
      <c r="C1299" s="456"/>
      <c r="D1299" s="450"/>
      <c r="E1299" s="450"/>
      <c r="F1299" s="450"/>
      <c r="G1299" s="450"/>
      <c r="H1299" s="450"/>
      <c r="I1299" s="450"/>
      <c r="J1299" s="450"/>
      <c r="M1299" s="296"/>
      <c r="N1299" s="296"/>
      <c r="O1299" s="296"/>
      <c r="R1299" s="348" t="str">
        <f t="shared" si="49"/>
        <v>DELETE</v>
      </c>
    </row>
    <row r="1300" spans="2:18" ht="36" customHeight="1" x14ac:dyDescent="0.5">
      <c r="B1300" s="354"/>
      <c r="C1300" s="450"/>
      <c r="D1300" s="456"/>
      <c r="E1300" s="450"/>
      <c r="F1300" s="450"/>
      <c r="G1300" s="450"/>
      <c r="H1300" s="450"/>
      <c r="I1300" s="450"/>
      <c r="J1300" s="450"/>
      <c r="M1300" s="347"/>
      <c r="O1300" s="295" t="s">
        <v>89</v>
      </c>
      <c r="Q1300" s="292">
        <f>MAX($Q$105:Q1299)+1</f>
        <v>35</v>
      </c>
      <c r="R1300" s="348" t="str">
        <f t="shared" ref="R1300:R1307" si="50">R$1308</f>
        <v>DELETE</v>
      </c>
    </row>
    <row r="1301" spans="2:18" ht="36" customHeight="1" x14ac:dyDescent="0.5">
      <c r="B1301" s="354"/>
      <c r="C1301" s="450"/>
      <c r="D1301" s="456" t="str">
        <f>Criteria!E9</f>
        <v>HOLDING COMPANY 268 (PROPRIETARY) LIMITED</v>
      </c>
      <c r="E1301" s="450"/>
      <c r="F1301" s="450"/>
      <c r="G1301" s="450"/>
      <c r="H1301" s="450"/>
      <c r="I1301" s="450"/>
      <c r="J1301" s="450"/>
      <c r="R1301" s="348" t="str">
        <f t="shared" si="50"/>
        <v>DELETE</v>
      </c>
    </row>
    <row r="1302" spans="2:18" ht="36" customHeight="1" x14ac:dyDescent="0.5">
      <c r="B1302" s="354"/>
      <c r="C1302" s="450"/>
      <c r="D1302" s="456" t="str">
        <f>Criteria!E10</f>
        <v>CONSOLIDATED FINANCIAL STATEMENTS</v>
      </c>
      <c r="E1302" s="450"/>
      <c r="F1302" s="450"/>
      <c r="G1302" s="450"/>
      <c r="H1302" s="450"/>
      <c r="I1302" s="450"/>
      <c r="J1302" s="450"/>
      <c r="R1302" s="348" t="str">
        <f>IF(R$1308="DELETE","DELETE",IF(D1302=0,"DELETE"," "))</f>
        <v>DELETE</v>
      </c>
    </row>
    <row r="1303" spans="2:18" ht="36" customHeight="1" x14ac:dyDescent="0.5">
      <c r="B1303" s="354"/>
      <c r="C1303" s="450"/>
      <c r="D1303" s="450"/>
      <c r="E1303" s="450"/>
      <c r="F1303" s="450"/>
      <c r="G1303" s="450"/>
      <c r="H1303" s="450"/>
      <c r="I1303" s="450"/>
      <c r="J1303" s="450"/>
      <c r="R1303" s="348" t="str">
        <f t="shared" si="50"/>
        <v>DELETE</v>
      </c>
    </row>
    <row r="1304" spans="2:18" ht="36" customHeight="1" x14ac:dyDescent="0.5">
      <c r="B1304" s="354"/>
      <c r="C1304" s="450"/>
      <c r="D1304" s="456" t="s">
        <v>351</v>
      </c>
      <c r="E1304" s="450"/>
      <c r="F1304" s="450"/>
      <c r="G1304" s="450"/>
      <c r="H1304" s="450"/>
      <c r="I1304" s="450"/>
      <c r="J1304" s="450"/>
      <c r="R1304" s="348" t="str">
        <f t="shared" si="50"/>
        <v>DELETE</v>
      </c>
    </row>
    <row r="1305" spans="2:18" ht="36" customHeight="1" x14ac:dyDescent="0.5">
      <c r="B1305" s="354"/>
      <c r="C1305" s="450"/>
      <c r="D1305" s="456" t="str">
        <f>Criteria!E20</f>
        <v>28 FEBRUARY 2025</v>
      </c>
      <c r="E1305" s="450"/>
      <c r="F1305" s="450"/>
      <c r="G1305" s="450"/>
      <c r="H1305" s="450"/>
      <c r="I1305" s="450"/>
      <c r="J1305" s="450" t="s">
        <v>231</v>
      </c>
      <c r="R1305" s="348" t="str">
        <f t="shared" si="50"/>
        <v>DELETE</v>
      </c>
    </row>
    <row r="1306" spans="2:18" ht="36" customHeight="1" x14ac:dyDescent="0.5">
      <c r="B1306" s="354"/>
      <c r="C1306" s="450"/>
      <c r="D1306" s="450"/>
      <c r="E1306" s="450"/>
      <c r="F1306" s="450"/>
      <c r="G1306" s="450"/>
      <c r="H1306" s="450"/>
      <c r="I1306" s="450"/>
      <c r="J1306" s="450"/>
      <c r="R1306" s="348" t="str">
        <f t="shared" si="50"/>
        <v>DELETE</v>
      </c>
    </row>
    <row r="1307" spans="2:18" ht="36" customHeight="1" x14ac:dyDescent="0.5">
      <c r="B1307" s="368"/>
      <c r="C1307" s="460"/>
      <c r="D1307" s="460"/>
      <c r="E1307" s="460"/>
      <c r="F1307" s="460"/>
      <c r="G1307" s="460"/>
      <c r="H1307" s="460"/>
      <c r="I1307" s="460"/>
      <c r="J1307" s="460"/>
      <c r="K1307" s="364"/>
      <c r="L1307" s="364"/>
      <c r="M1307" s="366"/>
      <c r="N1307" s="367"/>
      <c r="O1307" s="366"/>
      <c r="P1307" s="367"/>
      <c r="Q1307" s="364"/>
      <c r="R1307" s="348" t="str">
        <f t="shared" si="50"/>
        <v>DELETE</v>
      </c>
    </row>
    <row r="1308" spans="2:18" ht="31.5" customHeight="1" x14ac:dyDescent="0.5">
      <c r="B1308" s="316">
        <f>MAX(B$602:B1307)+1</f>
        <v>9</v>
      </c>
      <c r="C1308" s="397" t="s">
        <v>683</v>
      </c>
      <c r="D1308" s="353"/>
      <c r="E1308" s="353"/>
      <c r="F1308" s="353"/>
      <c r="G1308" s="353"/>
      <c r="H1308" s="353"/>
      <c r="I1308" s="353"/>
      <c r="J1308" s="353"/>
      <c r="R1308" s="348" t="str">
        <f>IF(O1316+O1320+O1338+O1342+O1360&gt;0," ","DELETE")</f>
        <v>DELETE</v>
      </c>
    </row>
    <row r="1309" spans="2:18" ht="31.5" customHeight="1" x14ac:dyDescent="0.5">
      <c r="B1309" s="316"/>
      <c r="C1309" s="397"/>
      <c r="D1309" s="353"/>
      <c r="E1309" s="353"/>
      <c r="F1309" s="353"/>
      <c r="G1309" s="353"/>
      <c r="H1309" s="353"/>
      <c r="I1309" s="353"/>
      <c r="J1309" s="353"/>
      <c r="R1309" s="348" t="str">
        <f>R$1308</f>
        <v>DELETE</v>
      </c>
    </row>
    <row r="1310" spans="2:18" ht="31.5" customHeight="1" x14ac:dyDescent="0.45">
      <c r="B1310" s="316"/>
      <c r="C1310" s="354">
        <f>B1308+0.1</f>
        <v>9.1</v>
      </c>
      <c r="D1310" s="397" t="s">
        <v>185</v>
      </c>
      <c r="R1310" s="348" t="str">
        <f t="shared" ref="R1310:R1341" si="51">R$1308</f>
        <v>DELETE</v>
      </c>
    </row>
    <row r="1311" spans="2:18" ht="31.5" customHeight="1" x14ac:dyDescent="0.5">
      <c r="B1311" s="316"/>
      <c r="C1311" s="350"/>
      <c r="D1311" s="350"/>
      <c r="G1311" s="347"/>
      <c r="H1311" s="426" t="str">
        <f>Criteria!G208</f>
        <v>Plant and</v>
      </c>
      <c r="I1311" s="426"/>
      <c r="J1311" s="426" t="str">
        <f>Criteria!H208</f>
        <v>Motor</v>
      </c>
      <c r="K1311" s="426" t="str">
        <f>Criteria!I208</f>
        <v>Electronic</v>
      </c>
      <c r="L1311" s="426"/>
      <c r="M1311" s="426" t="str">
        <f>Criteria!J208</f>
        <v>Furniture and</v>
      </c>
      <c r="N1311" s="426"/>
      <c r="O1311" s="426" t="s">
        <v>356</v>
      </c>
      <c r="P1311" s="295"/>
      <c r="R1311" s="348" t="str">
        <f t="shared" si="51"/>
        <v>DELETE</v>
      </c>
    </row>
    <row r="1312" spans="2:18" ht="31.5" customHeight="1" x14ac:dyDescent="0.5">
      <c r="B1312" s="316"/>
      <c r="G1312" s="347"/>
      <c r="H1312" s="426" t="str">
        <f>Criteria!G209</f>
        <v>equipment</v>
      </c>
      <c r="I1312" s="426"/>
      <c r="J1312" s="426" t="str">
        <f>Criteria!H209</f>
        <v>vehicles</v>
      </c>
      <c r="K1312" s="426" t="str">
        <f>Criteria!I209</f>
        <v>equipment</v>
      </c>
      <c r="L1312" s="426"/>
      <c r="M1312" s="426" t="str">
        <f>Criteria!J209</f>
        <v>fittings</v>
      </c>
      <c r="N1312" s="426"/>
      <c r="O1312" s="426"/>
      <c r="P1312" s="295"/>
      <c r="R1312" s="348" t="str">
        <f t="shared" si="51"/>
        <v>DELETE</v>
      </c>
    </row>
    <row r="1313" spans="2:24" ht="31.5" customHeight="1" x14ac:dyDescent="0.5">
      <c r="B1313" s="316"/>
      <c r="D1313" s="353" t="s">
        <v>1108</v>
      </c>
      <c r="E1313" s="353"/>
      <c r="F1313" s="476">
        <f>Criteria!G22</f>
        <v>44985</v>
      </c>
      <c r="G1313" s="476"/>
      <c r="H1313" s="319">
        <f>H1316-H1317</f>
        <v>0</v>
      </c>
      <c r="I1313" s="319"/>
      <c r="J1313" s="319">
        <f>J1316-J1317</f>
        <v>0</v>
      </c>
      <c r="K1313" s="319">
        <f>K1316-K1317</f>
        <v>0</v>
      </c>
      <c r="L1313" s="319"/>
      <c r="M1313" s="319">
        <f>M1316-M1317</f>
        <v>0</v>
      </c>
      <c r="N1313" s="319"/>
      <c r="O1313" s="319">
        <f>O1316-O1317</f>
        <v>0</v>
      </c>
      <c r="P1313" s="295"/>
      <c r="R1313" s="348" t="str">
        <f t="shared" si="51"/>
        <v>DELETE</v>
      </c>
      <c r="X1313" s="331" t="b">
        <f>O1313=SUM(H1313:N1313)</f>
        <v>1</v>
      </c>
    </row>
    <row r="1314" spans="2:24" ht="9" customHeight="1" x14ac:dyDescent="0.5">
      <c r="B1314" s="316"/>
      <c r="D1314" s="353"/>
      <c r="E1314" s="353"/>
      <c r="F1314" s="353"/>
      <c r="G1314" s="382"/>
      <c r="H1314" s="319"/>
      <c r="I1314" s="319"/>
      <c r="J1314" s="319"/>
      <c r="K1314" s="319"/>
      <c r="L1314" s="319"/>
      <c r="M1314" s="319"/>
      <c r="N1314" s="319"/>
      <c r="O1314" s="319"/>
      <c r="P1314" s="295"/>
      <c r="R1314" s="348" t="str">
        <f t="shared" si="51"/>
        <v>DELETE</v>
      </c>
    </row>
    <row r="1315" spans="2:24" ht="9" customHeight="1" x14ac:dyDescent="0.5">
      <c r="B1315" s="316"/>
      <c r="D1315" s="353"/>
      <c r="E1315" s="353"/>
      <c r="F1315" s="353"/>
      <c r="G1315" s="382"/>
      <c r="H1315" s="322"/>
      <c r="I1315" s="325"/>
      <c r="J1315" s="325"/>
      <c r="K1315" s="325"/>
      <c r="L1315" s="325"/>
      <c r="M1315" s="325"/>
      <c r="N1315" s="325"/>
      <c r="O1315" s="327"/>
      <c r="P1315" s="295"/>
      <c r="R1315" s="348" t="str">
        <f t="shared" si="51"/>
        <v>DELETE</v>
      </c>
    </row>
    <row r="1316" spans="2:24" ht="31.5" customHeight="1" x14ac:dyDescent="0.5">
      <c r="B1316" s="316"/>
      <c r="D1316" s="353" t="s">
        <v>352</v>
      </c>
      <c r="E1316" s="353"/>
      <c r="F1316" s="353"/>
      <c r="G1316" s="347"/>
      <c r="H1316" s="323">
        <f>TrialBalance!N252</f>
        <v>0</v>
      </c>
      <c r="I1316" s="319"/>
      <c r="J1316" s="319">
        <f>TrialBalance!N260</f>
        <v>0</v>
      </c>
      <c r="K1316" s="319">
        <f>TrialBalance!N268</f>
        <v>0</v>
      </c>
      <c r="L1316" s="319"/>
      <c r="M1316" s="319">
        <f>TrialBalance!N276</f>
        <v>0</v>
      </c>
      <c r="N1316" s="319"/>
      <c r="O1316" s="328">
        <f>SUM(H1316:M1316)</f>
        <v>0</v>
      </c>
      <c r="P1316" s="295"/>
      <c r="R1316" s="348" t="str">
        <f t="shared" si="51"/>
        <v>DELETE</v>
      </c>
    </row>
    <row r="1317" spans="2:24" ht="31.5" customHeight="1" x14ac:dyDescent="0.5">
      <c r="B1317" s="316"/>
      <c r="D1317" s="353" t="s">
        <v>1111</v>
      </c>
      <c r="E1317" s="353"/>
      <c r="F1317" s="353"/>
      <c r="G1317" s="347"/>
      <c r="H1317" s="323">
        <f>-TrialBalance!N256</f>
        <v>0</v>
      </c>
      <c r="I1317" s="319"/>
      <c r="J1317" s="319">
        <f>-TrialBalance!N264</f>
        <v>0</v>
      </c>
      <c r="K1317" s="319">
        <f>-TrialBalance!N272</f>
        <v>0</v>
      </c>
      <c r="L1317" s="319"/>
      <c r="M1317" s="319">
        <f>-TrialBalance!N280</f>
        <v>0</v>
      </c>
      <c r="N1317" s="319"/>
      <c r="O1317" s="328">
        <f>SUM(H1317:M1317)</f>
        <v>0</v>
      </c>
      <c r="P1317" s="295"/>
      <c r="R1317" s="348" t="str">
        <f t="shared" si="51"/>
        <v>DELETE</v>
      </c>
    </row>
    <row r="1318" spans="2:24" ht="9" customHeight="1" x14ac:dyDescent="0.5">
      <c r="B1318" s="316"/>
      <c r="D1318" s="353"/>
      <c r="E1318" s="353"/>
      <c r="F1318" s="353"/>
      <c r="G1318" s="347"/>
      <c r="H1318" s="324"/>
      <c r="I1318" s="320"/>
      <c r="J1318" s="320"/>
      <c r="K1318" s="320"/>
      <c r="L1318" s="320"/>
      <c r="M1318" s="320"/>
      <c r="N1318" s="320"/>
      <c r="O1318" s="329"/>
      <c r="P1318" s="295"/>
      <c r="R1318" s="348" t="str">
        <f t="shared" si="51"/>
        <v>DELETE</v>
      </c>
    </row>
    <row r="1319" spans="2:24" ht="9" customHeight="1" x14ac:dyDescent="0.5">
      <c r="B1319" s="316"/>
      <c r="D1319" s="353"/>
      <c r="E1319" s="353"/>
      <c r="F1319" s="353"/>
      <c r="G1319" s="347"/>
      <c r="H1319" s="319"/>
      <c r="I1319" s="319"/>
      <c r="J1319" s="319"/>
      <c r="K1319" s="319"/>
      <c r="L1319" s="319"/>
      <c r="M1319" s="319"/>
      <c r="N1319" s="319"/>
      <c r="O1319" s="319"/>
      <c r="P1319" s="295"/>
      <c r="R1319" s="348" t="str">
        <f t="shared" si="51"/>
        <v>DELETE</v>
      </c>
    </row>
    <row r="1320" spans="2:24" ht="31.5" customHeight="1" x14ac:dyDescent="0.5">
      <c r="B1320" s="316"/>
      <c r="D1320" s="353" t="s">
        <v>358</v>
      </c>
      <c r="E1320" s="353"/>
      <c r="F1320" s="353"/>
      <c r="G1320" s="347"/>
      <c r="H1320" s="319">
        <f>TrialBalance!N253</f>
        <v>0</v>
      </c>
      <c r="I1320" s="319"/>
      <c r="J1320" s="319">
        <f>TrialBalance!N261</f>
        <v>0</v>
      </c>
      <c r="K1320" s="319">
        <f>TrialBalance!N269</f>
        <v>0</v>
      </c>
      <c r="L1320" s="319"/>
      <c r="M1320" s="319">
        <f>+TrialBalance!N277</f>
        <v>0</v>
      </c>
      <c r="N1320" s="319"/>
      <c r="O1320" s="319">
        <f>SUM(H1320:M1320)</f>
        <v>0</v>
      </c>
      <c r="P1320" s="295"/>
      <c r="R1320" s="348" t="str">
        <f t="shared" si="51"/>
        <v>DELETE</v>
      </c>
    </row>
    <row r="1321" spans="2:24" ht="9" customHeight="1" x14ac:dyDescent="0.5">
      <c r="B1321" s="316"/>
      <c r="D1321" s="353"/>
      <c r="E1321" s="353"/>
      <c r="F1321" s="353"/>
      <c r="G1321" s="347"/>
      <c r="H1321" s="320"/>
      <c r="I1321" s="320"/>
      <c r="J1321" s="320"/>
      <c r="K1321" s="320"/>
      <c r="L1321" s="320"/>
      <c r="M1321" s="320"/>
      <c r="N1321" s="320"/>
      <c r="O1321" s="320"/>
      <c r="P1321" s="295"/>
      <c r="R1321" s="348" t="str">
        <f t="shared" si="51"/>
        <v>DELETE</v>
      </c>
    </row>
    <row r="1322" spans="2:24" ht="9" customHeight="1" x14ac:dyDescent="0.5">
      <c r="B1322" s="316"/>
      <c r="D1322" s="353"/>
      <c r="E1322" s="353"/>
      <c r="F1322" s="353"/>
      <c r="G1322" s="347"/>
      <c r="H1322" s="319"/>
      <c r="I1322" s="319"/>
      <c r="J1322" s="319"/>
      <c r="K1322" s="319"/>
      <c r="L1322" s="319"/>
      <c r="M1322" s="319"/>
      <c r="N1322" s="319"/>
      <c r="O1322" s="319"/>
      <c r="P1322" s="295"/>
      <c r="R1322" s="348" t="str">
        <f t="shared" si="51"/>
        <v>DELETE</v>
      </c>
    </row>
    <row r="1323" spans="2:24" ht="31.5" customHeight="1" x14ac:dyDescent="0.5">
      <c r="B1323" s="316"/>
      <c r="D1323" s="353"/>
      <c r="E1323" s="353"/>
      <c r="F1323" s="353"/>
      <c r="G1323" s="347"/>
      <c r="H1323" s="319">
        <f>H1313+H1320</f>
        <v>0</v>
      </c>
      <c r="I1323" s="319"/>
      <c r="J1323" s="319">
        <f>J1313+J1320</f>
        <v>0</v>
      </c>
      <c r="K1323" s="319">
        <f>K1313+K1320</f>
        <v>0</v>
      </c>
      <c r="L1323" s="319"/>
      <c r="M1323" s="319">
        <f>M1313+M1320</f>
        <v>0</v>
      </c>
      <c r="N1323" s="319"/>
      <c r="O1323" s="319">
        <f>O1313+O1320</f>
        <v>0</v>
      </c>
      <c r="P1323" s="295"/>
      <c r="R1323" s="348" t="str">
        <f t="shared" si="51"/>
        <v>DELETE</v>
      </c>
    </row>
    <row r="1324" spans="2:24" ht="31.5" customHeight="1" x14ac:dyDescent="0.5">
      <c r="B1324" s="316"/>
      <c r="D1324" s="353" t="s">
        <v>149</v>
      </c>
      <c r="E1324" s="353"/>
      <c r="F1324" s="353"/>
      <c r="G1324" s="347"/>
      <c r="H1324" s="319">
        <f>H1327-H1328</f>
        <v>0</v>
      </c>
      <c r="I1324" s="319"/>
      <c r="J1324" s="319">
        <f>J1327-J1328</f>
        <v>0</v>
      </c>
      <c r="K1324" s="319">
        <f>K1327-K1328</f>
        <v>0</v>
      </c>
      <c r="L1324" s="319"/>
      <c r="M1324" s="319">
        <f>M1327-M1328</f>
        <v>0</v>
      </c>
      <c r="N1324" s="319"/>
      <c r="O1324" s="319">
        <f>O1327-O1328</f>
        <v>0</v>
      </c>
      <c r="P1324" s="295"/>
      <c r="R1324" s="348" t="str">
        <f t="shared" si="51"/>
        <v>DELETE</v>
      </c>
    </row>
    <row r="1325" spans="2:24" ht="9" customHeight="1" x14ac:dyDescent="0.5">
      <c r="B1325" s="316"/>
      <c r="D1325" s="353"/>
      <c r="E1325" s="353"/>
      <c r="F1325" s="353"/>
      <c r="G1325" s="347"/>
      <c r="H1325" s="319"/>
      <c r="I1325" s="319"/>
      <c r="J1325" s="319"/>
      <c r="K1325" s="319"/>
      <c r="L1325" s="319"/>
      <c r="M1325" s="319"/>
      <c r="N1325" s="319"/>
      <c r="O1325" s="319"/>
      <c r="P1325" s="295"/>
      <c r="R1325" s="348" t="str">
        <f t="shared" si="51"/>
        <v>DELETE</v>
      </c>
    </row>
    <row r="1326" spans="2:24" ht="9" customHeight="1" x14ac:dyDescent="0.5">
      <c r="B1326" s="316"/>
      <c r="D1326" s="353"/>
      <c r="E1326" s="353"/>
      <c r="F1326" s="353"/>
      <c r="G1326" s="347"/>
      <c r="H1326" s="322"/>
      <c r="I1326" s="325"/>
      <c r="J1326" s="325"/>
      <c r="K1326" s="325"/>
      <c r="L1326" s="325"/>
      <c r="M1326" s="325"/>
      <c r="N1326" s="325"/>
      <c r="O1326" s="327"/>
      <c r="P1326" s="295"/>
      <c r="R1326" s="348" t="str">
        <f t="shared" si="51"/>
        <v>DELETE</v>
      </c>
    </row>
    <row r="1327" spans="2:24" ht="31.5" customHeight="1" x14ac:dyDescent="0.5">
      <c r="B1327" s="316"/>
      <c r="D1327" s="353" t="s">
        <v>352</v>
      </c>
      <c r="E1327" s="353"/>
      <c r="F1327" s="353"/>
      <c r="G1327" s="347"/>
      <c r="H1327" s="323">
        <f>-TrialBalance!N254</f>
        <v>0</v>
      </c>
      <c r="I1327" s="319"/>
      <c r="J1327" s="319">
        <f>-TrialBalance!N262</f>
        <v>0</v>
      </c>
      <c r="K1327" s="319">
        <f>-TrialBalance!N270</f>
        <v>0</v>
      </c>
      <c r="L1327" s="319"/>
      <c r="M1327" s="319">
        <f>-TrialBalance!N278</f>
        <v>0</v>
      </c>
      <c r="N1327" s="319"/>
      <c r="O1327" s="328">
        <f>SUM(H1327:M1327)</f>
        <v>0</v>
      </c>
      <c r="P1327" s="295"/>
      <c r="R1327" s="348" t="str">
        <f t="shared" si="51"/>
        <v>DELETE</v>
      </c>
    </row>
    <row r="1328" spans="2:24" ht="31.5" customHeight="1" x14ac:dyDescent="0.5">
      <c r="B1328" s="316"/>
      <c r="D1328" s="353" t="s">
        <v>1111</v>
      </c>
      <c r="E1328" s="353"/>
      <c r="F1328" s="353"/>
      <c r="G1328" s="347"/>
      <c r="H1328" s="323">
        <f>TrialBalance!N258</f>
        <v>0</v>
      </c>
      <c r="I1328" s="319"/>
      <c r="J1328" s="319">
        <f>TrialBalance!N266</f>
        <v>0</v>
      </c>
      <c r="K1328" s="319">
        <f>TrialBalance!N274</f>
        <v>0</v>
      </c>
      <c r="L1328" s="319"/>
      <c r="M1328" s="319">
        <f>+TrialBalance!N282</f>
        <v>0</v>
      </c>
      <c r="N1328" s="319"/>
      <c r="O1328" s="328">
        <f>SUM(H1328:M1328)</f>
        <v>0</v>
      </c>
      <c r="P1328" s="295"/>
      <c r="R1328" s="348" t="str">
        <f t="shared" si="51"/>
        <v>DELETE</v>
      </c>
    </row>
    <row r="1329" spans="2:24" ht="9" customHeight="1" x14ac:dyDescent="0.5">
      <c r="B1329" s="316"/>
      <c r="D1329" s="353"/>
      <c r="E1329" s="353"/>
      <c r="F1329" s="353"/>
      <c r="G1329" s="347"/>
      <c r="H1329" s="324"/>
      <c r="I1329" s="320"/>
      <c r="J1329" s="320"/>
      <c r="K1329" s="320"/>
      <c r="L1329" s="320"/>
      <c r="M1329" s="320"/>
      <c r="N1329" s="320"/>
      <c r="O1329" s="329"/>
      <c r="P1329" s="295"/>
      <c r="R1329" s="348" t="str">
        <f t="shared" si="51"/>
        <v>DELETE</v>
      </c>
    </row>
    <row r="1330" spans="2:24" ht="9" customHeight="1" x14ac:dyDescent="0.5">
      <c r="B1330" s="316"/>
      <c r="D1330" s="353"/>
      <c r="E1330" s="353"/>
      <c r="F1330" s="353"/>
      <c r="G1330" s="347"/>
      <c r="H1330" s="319"/>
      <c r="I1330" s="319"/>
      <c r="J1330" s="319"/>
      <c r="K1330" s="319"/>
      <c r="L1330" s="319"/>
      <c r="M1330" s="319"/>
      <c r="N1330" s="319"/>
      <c r="O1330" s="319"/>
      <c r="P1330" s="295"/>
      <c r="R1330" s="348" t="str">
        <f t="shared" si="51"/>
        <v>DELETE</v>
      </c>
    </row>
    <row r="1331" spans="2:24" ht="31.5" customHeight="1" x14ac:dyDescent="0.5">
      <c r="B1331" s="316"/>
      <c r="D1331" s="353" t="s">
        <v>252</v>
      </c>
      <c r="E1331" s="353"/>
      <c r="F1331" s="353"/>
      <c r="G1331" s="347"/>
      <c r="H1331" s="319">
        <f>TrialBalance!N257</f>
        <v>0</v>
      </c>
      <c r="I1331" s="319"/>
      <c r="J1331" s="319">
        <f>TrialBalance!N265</f>
        <v>0</v>
      </c>
      <c r="K1331" s="319">
        <f>TrialBalance!N273</f>
        <v>0</v>
      </c>
      <c r="L1331" s="319"/>
      <c r="M1331" s="319">
        <f>+TrialBalance!N281</f>
        <v>0</v>
      </c>
      <c r="N1331" s="319"/>
      <c r="O1331" s="319">
        <f>SUM(H1331:M1331)</f>
        <v>0</v>
      </c>
      <c r="P1331" s="295"/>
      <c r="R1331" s="348" t="str">
        <f t="shared" si="51"/>
        <v>DELETE</v>
      </c>
    </row>
    <row r="1332" spans="2:24" ht="9" customHeight="1" x14ac:dyDescent="0.5">
      <c r="B1332" s="316"/>
      <c r="D1332" s="353"/>
      <c r="E1332" s="353"/>
      <c r="F1332" s="353"/>
      <c r="G1332" s="347"/>
      <c r="H1332" s="320"/>
      <c r="I1332" s="320"/>
      <c r="J1332" s="320"/>
      <c r="K1332" s="320"/>
      <c r="L1332" s="320"/>
      <c r="M1332" s="320"/>
      <c r="N1332" s="320"/>
      <c r="O1332" s="320"/>
      <c r="P1332" s="295"/>
      <c r="R1332" s="348" t="str">
        <f t="shared" si="51"/>
        <v>DELETE</v>
      </c>
    </row>
    <row r="1333" spans="2:24" ht="9" customHeight="1" x14ac:dyDescent="0.5">
      <c r="B1333" s="316"/>
      <c r="D1333" s="353"/>
      <c r="E1333" s="353"/>
      <c r="F1333" s="353"/>
      <c r="G1333" s="347"/>
      <c r="H1333" s="319"/>
      <c r="I1333" s="319"/>
      <c r="J1333" s="319"/>
      <c r="K1333" s="319"/>
      <c r="L1333" s="319"/>
      <c r="M1333" s="319"/>
      <c r="N1333" s="319"/>
      <c r="O1333" s="319"/>
      <c r="P1333" s="295"/>
      <c r="R1333" s="348" t="str">
        <f t="shared" si="51"/>
        <v>DELETE</v>
      </c>
    </row>
    <row r="1334" spans="2:24" ht="31.5" customHeight="1" x14ac:dyDescent="0.5">
      <c r="B1334" s="316"/>
      <c r="D1334" s="353" t="s">
        <v>1108</v>
      </c>
      <c r="E1334" s="353"/>
      <c r="F1334" s="476">
        <f>Criteria!G21</f>
        <v>45351</v>
      </c>
      <c r="G1334" s="476"/>
      <c r="H1334" s="319">
        <f>H1313+H1320-H1324+H1331</f>
        <v>0</v>
      </c>
      <c r="I1334" s="319"/>
      <c r="J1334" s="319">
        <f>J1313+J1320-J1324+J1331</f>
        <v>0</v>
      </c>
      <c r="K1334" s="319">
        <f>K1313+K1320-K1324+K1331</f>
        <v>0</v>
      </c>
      <c r="L1334" s="319"/>
      <c r="M1334" s="319">
        <f>M1313+M1320-M1324+M1331</f>
        <v>0</v>
      </c>
      <c r="N1334" s="319"/>
      <c r="O1334" s="319">
        <f>O1313+O1320-O1324+O1331</f>
        <v>0</v>
      </c>
      <c r="P1334" s="295"/>
      <c r="R1334" s="348" t="str">
        <f t="shared" si="51"/>
        <v>DELETE</v>
      </c>
      <c r="X1334" s="331" t="b">
        <f>O1334=SUM(H1334:N1334)</f>
        <v>1</v>
      </c>
    </row>
    <row r="1335" spans="2:24" ht="9" customHeight="1" thickBot="1" x14ac:dyDescent="0.55000000000000004">
      <c r="B1335" s="316"/>
      <c r="D1335" s="353"/>
      <c r="E1335" s="353"/>
      <c r="F1335" s="353"/>
      <c r="G1335" s="382"/>
      <c r="H1335" s="321"/>
      <c r="I1335" s="321"/>
      <c r="J1335" s="321"/>
      <c r="K1335" s="321"/>
      <c r="L1335" s="321"/>
      <c r="M1335" s="321"/>
      <c r="N1335" s="321"/>
      <c r="O1335" s="321"/>
      <c r="P1335" s="295"/>
      <c r="R1335" s="348" t="str">
        <f t="shared" si="51"/>
        <v>DELETE</v>
      </c>
    </row>
    <row r="1336" spans="2:24" ht="9" customHeight="1" thickTop="1" x14ac:dyDescent="0.5">
      <c r="B1336" s="316"/>
      <c r="D1336" s="353"/>
      <c r="E1336" s="353"/>
      <c r="F1336" s="353"/>
      <c r="G1336" s="382"/>
      <c r="H1336" s="319"/>
      <c r="I1336" s="319"/>
      <c r="J1336" s="319"/>
      <c r="K1336" s="319"/>
      <c r="L1336" s="319"/>
      <c r="M1336" s="319"/>
      <c r="N1336" s="319"/>
      <c r="O1336" s="319"/>
      <c r="P1336" s="295"/>
      <c r="R1336" s="348" t="str">
        <f t="shared" si="51"/>
        <v>DELETE</v>
      </c>
    </row>
    <row r="1337" spans="2:24" ht="9" customHeight="1" x14ac:dyDescent="0.5">
      <c r="B1337" s="316"/>
      <c r="D1337" s="353"/>
      <c r="E1337" s="353"/>
      <c r="F1337" s="353"/>
      <c r="G1337" s="382"/>
      <c r="H1337" s="322"/>
      <c r="I1337" s="325"/>
      <c r="J1337" s="325"/>
      <c r="K1337" s="325"/>
      <c r="L1337" s="325"/>
      <c r="M1337" s="325"/>
      <c r="N1337" s="325"/>
      <c r="O1337" s="327"/>
      <c r="P1337" s="295"/>
      <c r="R1337" s="348" t="str">
        <f t="shared" si="51"/>
        <v>DELETE</v>
      </c>
    </row>
    <row r="1338" spans="2:24" ht="31.5" customHeight="1" x14ac:dyDescent="0.5">
      <c r="B1338" s="316"/>
      <c r="D1338" s="353" t="s">
        <v>352</v>
      </c>
      <c r="E1338" s="353"/>
      <c r="F1338" s="353"/>
      <c r="G1338" s="347"/>
      <c r="H1338" s="323">
        <f>H1316+H1320-H1327</f>
        <v>0</v>
      </c>
      <c r="I1338" s="326"/>
      <c r="J1338" s="326">
        <f>J1316+J1320-J1327</f>
        <v>0</v>
      </c>
      <c r="K1338" s="326">
        <f>K1316+K1320-K1327</f>
        <v>0</v>
      </c>
      <c r="L1338" s="326"/>
      <c r="M1338" s="326">
        <f>M1316+M1320-M1327</f>
        <v>0</v>
      </c>
      <c r="N1338" s="326"/>
      <c r="O1338" s="328">
        <f>O1316+O1320-O1327</f>
        <v>0</v>
      </c>
      <c r="P1338" s="295"/>
      <c r="R1338" s="348" t="str">
        <f t="shared" si="51"/>
        <v>DELETE</v>
      </c>
      <c r="X1338" s="331" t="b">
        <f>O1338=SUM(H1338:N1338)</f>
        <v>1</v>
      </c>
    </row>
    <row r="1339" spans="2:24" ht="31.5" customHeight="1" x14ac:dyDescent="0.5">
      <c r="B1339" s="316"/>
      <c r="D1339" s="353" t="s">
        <v>1111</v>
      </c>
      <c r="E1339" s="353"/>
      <c r="F1339" s="353"/>
      <c r="G1339" s="347"/>
      <c r="H1339" s="323">
        <f>H1317-H1328-H1331</f>
        <v>0</v>
      </c>
      <c r="I1339" s="326"/>
      <c r="J1339" s="326">
        <f>J1317-J1328-J1331</f>
        <v>0</v>
      </c>
      <c r="K1339" s="326">
        <f>K1317-K1328-K1331</f>
        <v>0</v>
      </c>
      <c r="L1339" s="326"/>
      <c r="M1339" s="326">
        <f>M1317-M1328-M1331</f>
        <v>0</v>
      </c>
      <c r="N1339" s="326"/>
      <c r="O1339" s="328">
        <f>O1317-O1328-O1331</f>
        <v>0</v>
      </c>
      <c r="P1339" s="295"/>
      <c r="R1339" s="348" t="str">
        <f t="shared" si="51"/>
        <v>DELETE</v>
      </c>
      <c r="X1339" s="331" t="b">
        <f>O1339=SUM(H1339:N1339)</f>
        <v>1</v>
      </c>
    </row>
    <row r="1340" spans="2:24" ht="9" customHeight="1" x14ac:dyDescent="0.5">
      <c r="B1340" s="316"/>
      <c r="D1340" s="353"/>
      <c r="E1340" s="353"/>
      <c r="F1340" s="353"/>
      <c r="G1340" s="347"/>
      <c r="H1340" s="324"/>
      <c r="I1340" s="320"/>
      <c r="J1340" s="320"/>
      <c r="K1340" s="320"/>
      <c r="L1340" s="320"/>
      <c r="M1340" s="320"/>
      <c r="N1340" s="320"/>
      <c r="O1340" s="329"/>
      <c r="P1340" s="295"/>
      <c r="R1340" s="348" t="str">
        <f t="shared" si="51"/>
        <v>DELETE</v>
      </c>
    </row>
    <row r="1341" spans="2:24" ht="9" customHeight="1" x14ac:dyDescent="0.5">
      <c r="B1341" s="316"/>
      <c r="D1341" s="353"/>
      <c r="E1341" s="353"/>
      <c r="F1341" s="353"/>
      <c r="G1341" s="347"/>
      <c r="H1341" s="319"/>
      <c r="I1341" s="319"/>
      <c r="J1341" s="319"/>
      <c r="K1341" s="319"/>
      <c r="L1341" s="319"/>
      <c r="M1341" s="319"/>
      <c r="N1341" s="319"/>
      <c r="O1341" s="319"/>
      <c r="P1341" s="295"/>
      <c r="R1341" s="348" t="str">
        <f t="shared" si="51"/>
        <v>DELETE</v>
      </c>
    </row>
    <row r="1342" spans="2:24" ht="31.5" customHeight="1" x14ac:dyDescent="0.5">
      <c r="B1342" s="316"/>
      <c r="D1342" s="353" t="s">
        <v>358</v>
      </c>
      <c r="E1342" s="353"/>
      <c r="F1342" s="353"/>
      <c r="G1342" s="347"/>
      <c r="H1342" s="319">
        <f>TrialBalance!L253</f>
        <v>0</v>
      </c>
      <c r="I1342" s="319"/>
      <c r="J1342" s="319">
        <f>TrialBalance!L261</f>
        <v>0</v>
      </c>
      <c r="K1342" s="319">
        <f>TrialBalance!L269</f>
        <v>0</v>
      </c>
      <c r="L1342" s="319"/>
      <c r="M1342" s="319">
        <f>+TrialBalance!L277</f>
        <v>0</v>
      </c>
      <c r="N1342" s="319"/>
      <c r="O1342" s="319">
        <f>SUM(H1342:M1342)</f>
        <v>0</v>
      </c>
      <c r="P1342" s="295"/>
      <c r="R1342" s="348" t="str">
        <f t="shared" ref="R1342:R1363" si="52">R$1308</f>
        <v>DELETE</v>
      </c>
      <c r="X1342" s="331" t="b">
        <f>O1334=O1338-O1339</f>
        <v>1</v>
      </c>
    </row>
    <row r="1343" spans="2:24" ht="9" customHeight="1" x14ac:dyDescent="0.5">
      <c r="B1343" s="316"/>
      <c r="D1343" s="353"/>
      <c r="E1343" s="353"/>
      <c r="F1343" s="353"/>
      <c r="G1343" s="347"/>
      <c r="H1343" s="320"/>
      <c r="I1343" s="320"/>
      <c r="J1343" s="320"/>
      <c r="K1343" s="320"/>
      <c r="L1343" s="320"/>
      <c r="M1343" s="320"/>
      <c r="N1343" s="320"/>
      <c r="O1343" s="320"/>
      <c r="P1343" s="295"/>
      <c r="R1343" s="348" t="str">
        <f t="shared" si="52"/>
        <v>DELETE</v>
      </c>
    </row>
    <row r="1344" spans="2:24" ht="9" customHeight="1" x14ac:dyDescent="0.5">
      <c r="B1344" s="316"/>
      <c r="D1344" s="353"/>
      <c r="E1344" s="353"/>
      <c r="F1344" s="353"/>
      <c r="G1344" s="347"/>
      <c r="H1344" s="319"/>
      <c r="I1344" s="319"/>
      <c r="J1344" s="319"/>
      <c r="K1344" s="319"/>
      <c r="L1344" s="319"/>
      <c r="M1344" s="319"/>
      <c r="N1344" s="319"/>
      <c r="O1344" s="319"/>
      <c r="P1344" s="295"/>
      <c r="R1344" s="348" t="str">
        <f t="shared" si="52"/>
        <v>DELETE</v>
      </c>
    </row>
    <row r="1345" spans="2:22" ht="31.5" customHeight="1" x14ac:dyDescent="0.5">
      <c r="B1345" s="316"/>
      <c r="D1345" s="353"/>
      <c r="E1345" s="353"/>
      <c r="F1345" s="353"/>
      <c r="G1345" s="347"/>
      <c r="H1345" s="319">
        <f>+H1334+H1342</f>
        <v>0</v>
      </c>
      <c r="I1345" s="319"/>
      <c r="J1345" s="319">
        <f>+J1334+J1342</f>
        <v>0</v>
      </c>
      <c r="K1345" s="319">
        <f>+K1334+K1342</f>
        <v>0</v>
      </c>
      <c r="L1345" s="319"/>
      <c r="M1345" s="319">
        <f>+M1334+M1342</f>
        <v>0</v>
      </c>
      <c r="N1345" s="319"/>
      <c r="O1345" s="319">
        <f>+O1334+O1342</f>
        <v>0</v>
      </c>
      <c r="P1345" s="295"/>
      <c r="R1345" s="348" t="str">
        <f t="shared" si="52"/>
        <v>DELETE</v>
      </c>
    </row>
    <row r="1346" spans="2:22" ht="31.5" customHeight="1" x14ac:dyDescent="0.5">
      <c r="B1346" s="316"/>
      <c r="D1346" s="353" t="s">
        <v>149</v>
      </c>
      <c r="E1346" s="353"/>
      <c r="F1346" s="353"/>
      <c r="G1346" s="347"/>
      <c r="H1346" s="319">
        <f>H1349-H1350</f>
        <v>0</v>
      </c>
      <c r="I1346" s="319"/>
      <c r="J1346" s="319">
        <f>J1349-J1350</f>
        <v>0</v>
      </c>
      <c r="K1346" s="319">
        <f>K1349-K1350</f>
        <v>0</v>
      </c>
      <c r="L1346" s="319"/>
      <c r="M1346" s="319">
        <f>M1349-M1350</f>
        <v>0</v>
      </c>
      <c r="N1346" s="319"/>
      <c r="O1346" s="319">
        <f>O1349-O1350</f>
        <v>0</v>
      </c>
      <c r="P1346" s="295"/>
      <c r="R1346" s="348" t="str">
        <f t="shared" si="52"/>
        <v>DELETE</v>
      </c>
    </row>
    <row r="1347" spans="2:22" ht="9" customHeight="1" x14ac:dyDescent="0.5">
      <c r="B1347" s="316"/>
      <c r="D1347" s="353"/>
      <c r="E1347" s="353"/>
      <c r="F1347" s="353"/>
      <c r="G1347" s="347"/>
      <c r="H1347" s="319"/>
      <c r="I1347" s="319"/>
      <c r="J1347" s="319"/>
      <c r="K1347" s="319"/>
      <c r="L1347" s="319"/>
      <c r="M1347" s="319"/>
      <c r="N1347" s="319"/>
      <c r="O1347" s="319"/>
      <c r="P1347" s="295"/>
      <c r="R1347" s="348" t="str">
        <f t="shared" si="52"/>
        <v>DELETE</v>
      </c>
    </row>
    <row r="1348" spans="2:22" ht="9" customHeight="1" x14ac:dyDescent="0.5">
      <c r="B1348" s="316"/>
      <c r="D1348" s="353"/>
      <c r="E1348" s="353"/>
      <c r="F1348" s="353"/>
      <c r="G1348" s="347"/>
      <c r="H1348" s="322"/>
      <c r="I1348" s="325"/>
      <c r="J1348" s="325"/>
      <c r="K1348" s="325"/>
      <c r="L1348" s="325"/>
      <c r="M1348" s="325"/>
      <c r="N1348" s="325"/>
      <c r="O1348" s="327"/>
      <c r="P1348" s="295"/>
      <c r="R1348" s="348" t="str">
        <f t="shared" si="52"/>
        <v>DELETE</v>
      </c>
    </row>
    <row r="1349" spans="2:22" ht="31.5" customHeight="1" x14ac:dyDescent="0.5">
      <c r="B1349" s="316"/>
      <c r="D1349" s="353" t="s">
        <v>352</v>
      </c>
      <c r="E1349" s="353"/>
      <c r="F1349" s="353"/>
      <c r="G1349" s="347"/>
      <c r="H1349" s="323">
        <f>-TrialBalance!L254</f>
        <v>0</v>
      </c>
      <c r="I1349" s="319"/>
      <c r="J1349" s="319">
        <f>-TrialBalance!L262</f>
        <v>0</v>
      </c>
      <c r="K1349" s="319">
        <f>-TrialBalance!L270</f>
        <v>0</v>
      </c>
      <c r="L1349" s="319"/>
      <c r="M1349" s="319">
        <f>-TrialBalance!L278</f>
        <v>0</v>
      </c>
      <c r="N1349" s="319"/>
      <c r="O1349" s="328">
        <f>SUM(H1349:M1349)</f>
        <v>0</v>
      </c>
      <c r="P1349" s="295"/>
      <c r="R1349" s="348" t="str">
        <f t="shared" si="52"/>
        <v>DELETE</v>
      </c>
    </row>
    <row r="1350" spans="2:22" ht="31.5" customHeight="1" x14ac:dyDescent="0.5">
      <c r="B1350" s="316"/>
      <c r="D1350" s="353" t="s">
        <v>1111</v>
      </c>
      <c r="E1350" s="353"/>
      <c r="F1350" s="353"/>
      <c r="G1350" s="347"/>
      <c r="H1350" s="323">
        <f>TrialBalance!L258</f>
        <v>0</v>
      </c>
      <c r="I1350" s="319"/>
      <c r="J1350" s="319">
        <f>TrialBalance!L266</f>
        <v>0</v>
      </c>
      <c r="K1350" s="319">
        <f>TrialBalance!L274</f>
        <v>0</v>
      </c>
      <c r="L1350" s="319"/>
      <c r="M1350" s="319">
        <f>+TrialBalance!L282</f>
        <v>0</v>
      </c>
      <c r="N1350" s="319"/>
      <c r="O1350" s="328">
        <f>SUM(H1350:M1350)</f>
        <v>0</v>
      </c>
      <c r="P1350" s="295"/>
      <c r="R1350" s="348" t="str">
        <f t="shared" si="52"/>
        <v>DELETE</v>
      </c>
    </row>
    <row r="1351" spans="2:22" ht="9" customHeight="1" x14ac:dyDescent="0.5">
      <c r="B1351" s="316"/>
      <c r="D1351" s="353"/>
      <c r="E1351" s="353"/>
      <c r="F1351" s="353"/>
      <c r="G1351" s="347"/>
      <c r="H1351" s="324"/>
      <c r="I1351" s="320"/>
      <c r="J1351" s="320"/>
      <c r="K1351" s="320"/>
      <c r="L1351" s="320"/>
      <c r="M1351" s="320"/>
      <c r="N1351" s="320"/>
      <c r="O1351" s="329"/>
      <c r="P1351" s="295"/>
      <c r="R1351" s="348" t="str">
        <f t="shared" si="52"/>
        <v>DELETE</v>
      </c>
    </row>
    <row r="1352" spans="2:22" ht="9" customHeight="1" x14ac:dyDescent="0.5">
      <c r="B1352" s="316"/>
      <c r="D1352" s="353"/>
      <c r="E1352" s="353"/>
      <c r="F1352" s="353"/>
      <c r="G1352" s="347"/>
      <c r="H1352" s="319"/>
      <c r="I1352" s="319"/>
      <c r="J1352" s="319"/>
      <c r="K1352" s="319"/>
      <c r="L1352" s="319"/>
      <c r="M1352" s="319"/>
      <c r="N1352" s="319"/>
      <c r="O1352" s="319"/>
      <c r="P1352" s="295"/>
      <c r="R1352" s="348" t="str">
        <f t="shared" si="52"/>
        <v>DELETE</v>
      </c>
    </row>
    <row r="1353" spans="2:22" ht="31.5" customHeight="1" x14ac:dyDescent="0.5">
      <c r="B1353" s="316"/>
      <c r="D1353" s="353" t="s">
        <v>252</v>
      </c>
      <c r="E1353" s="353"/>
      <c r="F1353" s="353"/>
      <c r="G1353" s="347"/>
      <c r="H1353" s="319">
        <f>TrialBalance!L257</f>
        <v>0</v>
      </c>
      <c r="I1353" s="319"/>
      <c r="J1353" s="319">
        <f>TrialBalance!L265</f>
        <v>0</v>
      </c>
      <c r="K1353" s="319">
        <f>TrialBalance!L273</f>
        <v>0</v>
      </c>
      <c r="L1353" s="319"/>
      <c r="M1353" s="319">
        <f>+TrialBalance!L281</f>
        <v>0</v>
      </c>
      <c r="N1353" s="319"/>
      <c r="O1353" s="319">
        <f>SUM(H1353:M1353)</f>
        <v>0</v>
      </c>
      <c r="P1353" s="295"/>
      <c r="R1353" s="348" t="str">
        <f t="shared" si="52"/>
        <v>DELETE</v>
      </c>
    </row>
    <row r="1354" spans="2:22" ht="9" customHeight="1" x14ac:dyDescent="0.5">
      <c r="B1354" s="316"/>
      <c r="D1354" s="353"/>
      <c r="E1354" s="353"/>
      <c r="F1354" s="353"/>
      <c r="G1354" s="347"/>
      <c r="H1354" s="320"/>
      <c r="I1354" s="320"/>
      <c r="J1354" s="320"/>
      <c r="K1354" s="320"/>
      <c r="L1354" s="320"/>
      <c r="M1354" s="320"/>
      <c r="N1354" s="320"/>
      <c r="O1354" s="320"/>
      <c r="P1354" s="295"/>
      <c r="R1354" s="348" t="str">
        <f t="shared" si="52"/>
        <v>DELETE</v>
      </c>
    </row>
    <row r="1355" spans="2:22" ht="9" customHeight="1" x14ac:dyDescent="0.5">
      <c r="B1355" s="316"/>
      <c r="D1355" s="353"/>
      <c r="E1355" s="353"/>
      <c r="F1355" s="353"/>
      <c r="G1355" s="347"/>
      <c r="H1355" s="319"/>
      <c r="I1355" s="319"/>
      <c r="J1355" s="319"/>
      <c r="K1355" s="319"/>
      <c r="L1355" s="319"/>
      <c r="M1355" s="319"/>
      <c r="N1355" s="319"/>
      <c r="O1355" s="319"/>
      <c r="P1355" s="295"/>
      <c r="R1355" s="348" t="str">
        <f t="shared" si="52"/>
        <v>DELETE</v>
      </c>
    </row>
    <row r="1356" spans="2:22" ht="31.5" customHeight="1" x14ac:dyDescent="0.5">
      <c r="B1356" s="316"/>
      <c r="D1356" s="353" t="s">
        <v>1108</v>
      </c>
      <c r="E1356" s="353"/>
      <c r="F1356" s="476">
        <f>Criteria!G20</f>
        <v>45716</v>
      </c>
      <c r="G1356" s="476"/>
      <c r="H1356" s="319">
        <f>+H1334+H1342-H1346+H1353</f>
        <v>0</v>
      </c>
      <c r="I1356" s="319"/>
      <c r="J1356" s="319">
        <f>+J1334+J1342-J1346+J1353</f>
        <v>0</v>
      </c>
      <c r="K1356" s="319">
        <f>+K1334+K1342-K1346+K1353</f>
        <v>0</v>
      </c>
      <c r="L1356" s="319"/>
      <c r="M1356" s="319">
        <f>+M1334+M1342-M1346+M1353</f>
        <v>0</v>
      </c>
      <c r="N1356" s="319"/>
      <c r="O1356" s="319">
        <f>+O1334+O1342-O1346+O1353</f>
        <v>0</v>
      </c>
      <c r="P1356" s="293"/>
      <c r="R1356" s="348" t="str">
        <f t="shared" si="52"/>
        <v>DELETE</v>
      </c>
      <c r="V1356" s="331" t="b">
        <f>O1356=SUM(H1356:N1356)</f>
        <v>1</v>
      </c>
    </row>
    <row r="1357" spans="2:22" ht="9" customHeight="1" thickBot="1" x14ac:dyDescent="0.55000000000000004">
      <c r="B1357" s="316"/>
      <c r="D1357" s="353"/>
      <c r="E1357" s="353"/>
      <c r="F1357" s="353"/>
      <c r="G1357" s="382"/>
      <c r="H1357" s="321"/>
      <c r="I1357" s="321"/>
      <c r="J1357" s="321"/>
      <c r="K1357" s="321"/>
      <c r="L1357" s="321"/>
      <c r="M1357" s="321"/>
      <c r="N1357" s="321"/>
      <c r="O1357" s="321"/>
      <c r="P1357" s="295"/>
      <c r="R1357" s="348" t="str">
        <f t="shared" si="52"/>
        <v>DELETE</v>
      </c>
    </row>
    <row r="1358" spans="2:22" ht="9" customHeight="1" thickTop="1" x14ac:dyDescent="0.5">
      <c r="B1358" s="316"/>
      <c r="D1358" s="353"/>
      <c r="E1358" s="353"/>
      <c r="F1358" s="353"/>
      <c r="G1358" s="382"/>
      <c r="H1358" s="319"/>
      <c r="I1358" s="319"/>
      <c r="J1358" s="319"/>
      <c r="K1358" s="319"/>
      <c r="L1358" s="319"/>
      <c r="M1358" s="319"/>
      <c r="N1358" s="319"/>
      <c r="O1358" s="319"/>
      <c r="P1358" s="295"/>
      <c r="R1358" s="348" t="str">
        <f t="shared" si="52"/>
        <v>DELETE</v>
      </c>
    </row>
    <row r="1359" spans="2:22" ht="9" customHeight="1" x14ac:dyDescent="0.5">
      <c r="B1359" s="316"/>
      <c r="D1359" s="353"/>
      <c r="E1359" s="353"/>
      <c r="F1359" s="353"/>
      <c r="G1359" s="382"/>
      <c r="H1359" s="322"/>
      <c r="I1359" s="325"/>
      <c r="J1359" s="325"/>
      <c r="K1359" s="325"/>
      <c r="L1359" s="325"/>
      <c r="M1359" s="325"/>
      <c r="N1359" s="325"/>
      <c r="O1359" s="327"/>
      <c r="P1359" s="295"/>
      <c r="R1359" s="348" t="str">
        <f t="shared" si="52"/>
        <v>DELETE</v>
      </c>
    </row>
    <row r="1360" spans="2:22" ht="31.5" customHeight="1" x14ac:dyDescent="0.5">
      <c r="B1360" s="316"/>
      <c r="D1360" s="353" t="s">
        <v>352</v>
      </c>
      <c r="E1360" s="353"/>
      <c r="F1360" s="353"/>
      <c r="G1360" s="347"/>
      <c r="H1360" s="323">
        <f>H1338+H1342-H1349</f>
        <v>0</v>
      </c>
      <c r="I1360" s="326"/>
      <c r="J1360" s="326">
        <f>J1338+J1342-J1349</f>
        <v>0</v>
      </c>
      <c r="K1360" s="326">
        <f>K1338+K1342-K1349</f>
        <v>0</v>
      </c>
      <c r="L1360" s="326"/>
      <c r="M1360" s="326">
        <f>M1338+M1342-M1349</f>
        <v>0</v>
      </c>
      <c r="N1360" s="326"/>
      <c r="O1360" s="328">
        <f>O1338+O1342-O1349</f>
        <v>0</v>
      </c>
      <c r="P1360" s="295"/>
      <c r="R1360" s="348" t="str">
        <f t="shared" si="52"/>
        <v>DELETE</v>
      </c>
      <c r="V1360" s="331" t="b">
        <f>O1360=SUM(H1360:N1360)</f>
        <v>1</v>
      </c>
    </row>
    <row r="1361" spans="2:22" ht="31.5" customHeight="1" x14ac:dyDescent="0.5">
      <c r="B1361" s="316"/>
      <c r="D1361" s="353" t="s">
        <v>1111</v>
      </c>
      <c r="E1361" s="353"/>
      <c r="F1361" s="353"/>
      <c r="G1361" s="347"/>
      <c r="H1361" s="323">
        <f>H1339-H1350-H1353</f>
        <v>0</v>
      </c>
      <c r="I1361" s="326"/>
      <c r="J1361" s="326">
        <f>J1339-J1350-J1353</f>
        <v>0</v>
      </c>
      <c r="K1361" s="326">
        <f>K1339-K1350-K1353</f>
        <v>0</v>
      </c>
      <c r="L1361" s="326"/>
      <c r="M1361" s="326">
        <f>M1339-M1350-M1353</f>
        <v>0</v>
      </c>
      <c r="N1361" s="326"/>
      <c r="O1361" s="328">
        <f>O1339-O1350-O1353</f>
        <v>0</v>
      </c>
      <c r="P1361" s="295"/>
      <c r="R1361" s="348" t="str">
        <f t="shared" si="52"/>
        <v>DELETE</v>
      </c>
      <c r="V1361" s="331" t="b">
        <f>O1361=SUM(H1361:N1361)</f>
        <v>1</v>
      </c>
    </row>
    <row r="1362" spans="2:22" ht="9" customHeight="1" x14ac:dyDescent="0.5">
      <c r="B1362" s="316"/>
      <c r="D1362" s="353"/>
      <c r="E1362" s="353"/>
      <c r="F1362" s="353"/>
      <c r="G1362" s="347"/>
      <c r="H1362" s="324"/>
      <c r="I1362" s="320"/>
      <c r="J1362" s="320"/>
      <c r="K1362" s="320"/>
      <c r="L1362" s="320"/>
      <c r="M1362" s="320"/>
      <c r="N1362" s="320"/>
      <c r="O1362" s="329"/>
      <c r="P1362" s="295"/>
      <c r="R1362" s="348" t="str">
        <f t="shared" si="52"/>
        <v>DELETE</v>
      </c>
    </row>
    <row r="1363" spans="2:22" ht="31.5" customHeight="1" x14ac:dyDescent="0.5">
      <c r="B1363" s="316"/>
      <c r="D1363" s="353"/>
      <c r="E1363" s="353"/>
      <c r="F1363" s="353"/>
      <c r="G1363" s="347"/>
      <c r="H1363" s="319"/>
      <c r="I1363" s="319"/>
      <c r="J1363" s="319"/>
      <c r="K1363" s="319"/>
      <c r="L1363" s="319"/>
      <c r="M1363" s="319"/>
      <c r="N1363" s="319"/>
      <c r="O1363" s="319"/>
      <c r="P1363" s="295"/>
      <c r="R1363" s="348" t="str">
        <f t="shared" si="52"/>
        <v>DELETE</v>
      </c>
    </row>
    <row r="1364" spans="2:22" ht="31.5" customHeight="1" x14ac:dyDescent="0.45">
      <c r="B1364" s="316"/>
      <c r="G1364" s="347"/>
      <c r="H1364" s="296"/>
      <c r="I1364" s="296"/>
      <c r="J1364" s="296"/>
      <c r="K1364" s="296"/>
      <c r="L1364" s="296"/>
      <c r="M1364" s="319"/>
      <c r="N1364" s="296"/>
      <c r="O1364" s="319"/>
      <c r="P1364" s="295"/>
      <c r="R1364" s="348" t="str">
        <f t="shared" ref="R1364:R1367" si="53">R$1308</f>
        <v>DELETE</v>
      </c>
    </row>
    <row r="1365" spans="2:22" ht="31.5" customHeight="1" x14ac:dyDescent="0.45">
      <c r="B1365" s="316"/>
      <c r="G1365" s="347"/>
      <c r="H1365" s="296"/>
      <c r="I1365" s="296"/>
      <c r="J1365" s="296"/>
      <c r="K1365" s="296"/>
      <c r="L1365" s="296"/>
      <c r="M1365" s="319"/>
      <c r="N1365" s="296"/>
      <c r="O1365" s="319"/>
      <c r="P1365" s="295"/>
      <c r="R1365" s="348" t="str">
        <f t="shared" si="53"/>
        <v>DELETE</v>
      </c>
    </row>
    <row r="1366" spans="2:22" ht="31.5" customHeight="1" x14ac:dyDescent="0.45">
      <c r="B1366" s="316"/>
      <c r="H1366" s="380"/>
      <c r="I1366" s="380"/>
      <c r="J1366" s="380"/>
      <c r="K1366" s="380"/>
      <c r="L1366" s="380"/>
      <c r="M1366" s="363"/>
      <c r="N1366" s="371"/>
      <c r="O1366" s="363"/>
      <c r="P1366" s="356"/>
      <c r="R1366" s="348" t="str">
        <f t="shared" si="53"/>
        <v>DELETE</v>
      </c>
    </row>
    <row r="1367" spans="2:22" ht="31.5" customHeight="1" x14ac:dyDescent="0.45">
      <c r="B1367" s="316"/>
      <c r="R1367" s="348" t="str">
        <f t="shared" si="53"/>
        <v>DELETE</v>
      </c>
    </row>
    <row r="1368" spans="2:22" ht="36" customHeight="1" x14ac:dyDescent="0.5">
      <c r="B1368" s="354"/>
      <c r="D1368" s="450"/>
      <c r="E1368" s="450"/>
      <c r="F1368" s="450"/>
      <c r="G1368" s="450"/>
      <c r="H1368" s="450"/>
      <c r="I1368" s="450"/>
      <c r="J1368" s="450"/>
      <c r="O1368" s="295" t="s">
        <v>89</v>
      </c>
      <c r="Q1368" s="292">
        <f>MAX($Q$105:Q1367)+1</f>
        <v>36</v>
      </c>
      <c r="R1368" s="348" t="str">
        <f>R$1376</f>
        <v>DELETE</v>
      </c>
    </row>
    <row r="1369" spans="2:22" ht="36" customHeight="1" x14ac:dyDescent="0.5">
      <c r="B1369" s="354"/>
      <c r="D1369" s="456" t="str">
        <f>Criteria!E9</f>
        <v>HOLDING COMPANY 268 (PROPRIETARY) LIMITED</v>
      </c>
      <c r="E1369" s="450"/>
      <c r="F1369" s="450"/>
      <c r="G1369" s="450"/>
      <c r="H1369" s="450"/>
      <c r="I1369" s="450"/>
      <c r="J1369" s="450"/>
      <c r="R1369" s="348" t="str">
        <f t="shared" ref="R1369:R1377" si="54">R$1376</f>
        <v>DELETE</v>
      </c>
    </row>
    <row r="1370" spans="2:22" ht="36" customHeight="1" x14ac:dyDescent="0.5">
      <c r="B1370" s="354"/>
      <c r="D1370" s="456" t="str">
        <f>Criteria!E10</f>
        <v>CONSOLIDATED FINANCIAL STATEMENTS</v>
      </c>
      <c r="E1370" s="450"/>
      <c r="F1370" s="450"/>
      <c r="G1370" s="450"/>
      <c r="H1370" s="450"/>
      <c r="I1370" s="450"/>
      <c r="J1370" s="450"/>
      <c r="R1370" s="348" t="str">
        <f>IF(R$1376="DELETE","DELETE",IF(D1370=0,"DELETE"," "))</f>
        <v>DELETE</v>
      </c>
    </row>
    <row r="1371" spans="2:22" ht="36" customHeight="1" x14ac:dyDescent="0.5">
      <c r="B1371" s="354"/>
      <c r="D1371" s="450"/>
      <c r="E1371" s="450"/>
      <c r="F1371" s="450"/>
      <c r="G1371" s="450"/>
      <c r="H1371" s="450"/>
      <c r="I1371" s="450"/>
      <c r="J1371" s="450"/>
      <c r="R1371" s="348" t="str">
        <f t="shared" si="54"/>
        <v>DELETE</v>
      </c>
    </row>
    <row r="1372" spans="2:22" ht="36" customHeight="1" x14ac:dyDescent="0.5">
      <c r="B1372" s="354"/>
      <c r="D1372" s="456" t="s">
        <v>351</v>
      </c>
      <c r="E1372" s="450"/>
      <c r="F1372" s="450"/>
      <c r="G1372" s="450"/>
      <c r="H1372" s="450"/>
      <c r="I1372" s="450"/>
      <c r="J1372" s="450"/>
      <c r="R1372" s="348" t="str">
        <f t="shared" si="54"/>
        <v>DELETE</v>
      </c>
    </row>
    <row r="1373" spans="2:22" ht="36" customHeight="1" x14ac:dyDescent="0.5">
      <c r="B1373" s="354"/>
      <c r="D1373" s="456" t="str">
        <f>Criteria!E20</f>
        <v>28 FEBRUARY 2025</v>
      </c>
      <c r="E1373" s="450"/>
      <c r="F1373" s="450"/>
      <c r="G1373" s="450"/>
      <c r="H1373" s="450"/>
      <c r="I1373" s="450"/>
      <c r="J1373" s="450" t="s">
        <v>231</v>
      </c>
      <c r="R1373" s="348" t="str">
        <f t="shared" si="54"/>
        <v>DELETE</v>
      </c>
    </row>
    <row r="1374" spans="2:22" ht="36" customHeight="1" x14ac:dyDescent="0.5">
      <c r="B1374" s="354"/>
      <c r="D1374" s="450"/>
      <c r="E1374" s="450"/>
      <c r="F1374" s="450"/>
      <c r="G1374" s="450"/>
      <c r="H1374" s="450"/>
      <c r="I1374" s="450"/>
      <c r="J1374" s="450"/>
      <c r="R1374" s="348" t="str">
        <f t="shared" si="54"/>
        <v>DELETE</v>
      </c>
    </row>
    <row r="1375" spans="2:22" ht="36" customHeight="1" x14ac:dyDescent="0.5">
      <c r="B1375" s="368"/>
      <c r="C1375" s="364"/>
      <c r="D1375" s="460"/>
      <c r="E1375" s="460"/>
      <c r="F1375" s="460"/>
      <c r="G1375" s="460"/>
      <c r="H1375" s="460"/>
      <c r="I1375" s="460"/>
      <c r="J1375" s="460"/>
      <c r="K1375" s="364"/>
      <c r="L1375" s="364"/>
      <c r="M1375" s="366"/>
      <c r="N1375" s="367"/>
      <c r="O1375" s="366"/>
      <c r="P1375" s="367"/>
      <c r="Q1375" s="364"/>
      <c r="R1375" s="348" t="str">
        <f t="shared" si="54"/>
        <v>DELETE</v>
      </c>
    </row>
    <row r="1376" spans="2:22" ht="31.5" customHeight="1" x14ac:dyDescent="0.5">
      <c r="B1376" s="316"/>
      <c r="C1376" s="354">
        <f>MAX(C1310:C1375)+0.1</f>
        <v>9.1999999999999993</v>
      </c>
      <c r="D1376" s="397" t="s">
        <v>1064</v>
      </c>
      <c r="E1376" s="353"/>
      <c r="F1376" s="353"/>
      <c r="G1376" s="353"/>
      <c r="H1376" s="353"/>
      <c r="I1376" s="353"/>
      <c r="J1376" s="353"/>
      <c r="R1376" s="348" t="str">
        <f>IF(Criteria!J216+Criteria!J223=0,"DELETE"," ")</f>
        <v>DELETE</v>
      </c>
    </row>
    <row r="1377" spans="2:18" ht="31.5" customHeight="1" x14ac:dyDescent="0.5">
      <c r="B1377" s="316"/>
      <c r="C1377" s="354"/>
      <c r="D1377" s="397"/>
      <c r="E1377" s="353"/>
      <c r="F1377" s="353"/>
      <c r="G1377" s="353"/>
      <c r="H1377" s="353"/>
      <c r="I1377" s="353"/>
      <c r="J1377" s="353"/>
      <c r="R1377" s="348" t="str">
        <f t="shared" si="54"/>
        <v>DELETE</v>
      </c>
    </row>
    <row r="1378" spans="2:18" ht="31.5" customHeight="1" x14ac:dyDescent="0.5">
      <c r="B1378" s="316"/>
      <c r="H1378" s="426" t="str">
        <f>Criteria!G208</f>
        <v>Plant and</v>
      </c>
      <c r="I1378" s="426"/>
      <c r="J1378" s="426" t="str">
        <f>Criteria!H208</f>
        <v>Motor</v>
      </c>
      <c r="K1378" s="426" t="str">
        <f>Criteria!I208</f>
        <v>Electronic</v>
      </c>
      <c r="L1378" s="426"/>
      <c r="M1378" s="426" t="str">
        <f>Criteria!J208</f>
        <v>Furniture and</v>
      </c>
      <c r="N1378" s="426"/>
      <c r="O1378" s="426" t="s">
        <v>356</v>
      </c>
      <c r="R1378" s="348" t="str">
        <f>R$1376</f>
        <v>DELETE</v>
      </c>
    </row>
    <row r="1379" spans="2:18" ht="31.5" customHeight="1" x14ac:dyDescent="0.5">
      <c r="B1379" s="316"/>
      <c r="H1379" s="426" t="str">
        <f>Criteria!G209</f>
        <v>equipment</v>
      </c>
      <c r="I1379" s="426"/>
      <c r="J1379" s="426" t="str">
        <f>Criteria!H209</f>
        <v>vehicles</v>
      </c>
      <c r="K1379" s="426" t="str">
        <f>Criteria!I209</f>
        <v>equipment</v>
      </c>
      <c r="L1379" s="426"/>
      <c r="M1379" s="426" t="str">
        <f>Criteria!J209</f>
        <v>fittings</v>
      </c>
      <c r="N1379" s="426"/>
      <c r="O1379" s="426"/>
      <c r="R1379" s="348" t="str">
        <f>R$1376</f>
        <v>DELETE</v>
      </c>
    </row>
    <row r="1380" spans="2:18" ht="31.5" customHeight="1" x14ac:dyDescent="0.5">
      <c r="B1380" s="316"/>
      <c r="D1380" s="353" t="s">
        <v>1108</v>
      </c>
      <c r="E1380" s="353"/>
      <c r="F1380" s="476">
        <f>Criteria!G21</f>
        <v>45351</v>
      </c>
      <c r="G1380" s="476"/>
      <c r="H1380" s="319">
        <f>H1383-H1384</f>
        <v>0</v>
      </c>
      <c r="I1380" s="319"/>
      <c r="J1380" s="319">
        <f>J1383-J1384</f>
        <v>0</v>
      </c>
      <c r="K1380" s="319">
        <f>K1383-K1384</f>
        <v>0</v>
      </c>
      <c r="L1380" s="319"/>
      <c r="M1380" s="319">
        <f>M1383-M1384</f>
        <v>0</v>
      </c>
      <c r="N1380" s="319"/>
      <c r="O1380" s="319">
        <f>O1383-O1384</f>
        <v>0</v>
      </c>
      <c r="P1380" s="351"/>
      <c r="R1380" s="348" t="str">
        <f t="shared" ref="R1380:R1397" si="55">R$1376</f>
        <v>DELETE</v>
      </c>
    </row>
    <row r="1381" spans="2:18" ht="9" customHeight="1" x14ac:dyDescent="0.5">
      <c r="B1381" s="316"/>
      <c r="D1381" s="353"/>
      <c r="E1381" s="353"/>
      <c r="F1381" s="353"/>
      <c r="G1381" s="312"/>
      <c r="H1381" s="319"/>
      <c r="I1381" s="319"/>
      <c r="J1381" s="319"/>
      <c r="K1381" s="319"/>
      <c r="L1381" s="319"/>
      <c r="M1381" s="319"/>
      <c r="N1381" s="319"/>
      <c r="O1381" s="319"/>
      <c r="P1381" s="351"/>
      <c r="R1381" s="348" t="str">
        <f t="shared" si="55"/>
        <v>DELETE</v>
      </c>
    </row>
    <row r="1382" spans="2:18" ht="9" customHeight="1" x14ac:dyDescent="0.5">
      <c r="B1382" s="316"/>
      <c r="D1382" s="353"/>
      <c r="E1382" s="353"/>
      <c r="F1382" s="353"/>
      <c r="G1382" s="312"/>
      <c r="H1382" s="322"/>
      <c r="I1382" s="325"/>
      <c r="J1382" s="325"/>
      <c r="K1382" s="325"/>
      <c r="L1382" s="325"/>
      <c r="M1382" s="325"/>
      <c r="N1382" s="325"/>
      <c r="O1382" s="327"/>
      <c r="P1382" s="351"/>
      <c r="R1382" s="348" t="str">
        <f t="shared" si="55"/>
        <v>DELETE</v>
      </c>
    </row>
    <row r="1383" spans="2:18" ht="31.5" customHeight="1" x14ac:dyDescent="0.5">
      <c r="B1383" s="316"/>
      <c r="D1383" s="353" t="s">
        <v>352</v>
      </c>
      <c r="E1383" s="353"/>
      <c r="F1383" s="353"/>
      <c r="G1383" s="295"/>
      <c r="H1383" s="323">
        <f>Criteria!F219</f>
        <v>0</v>
      </c>
      <c r="I1383" s="319"/>
      <c r="J1383" s="319">
        <f>Criteria!G219</f>
        <v>0</v>
      </c>
      <c r="K1383" s="319">
        <f>Criteria!H219</f>
        <v>0</v>
      </c>
      <c r="L1383" s="319"/>
      <c r="M1383" s="319">
        <f>Criteria!I219</f>
        <v>0</v>
      </c>
      <c r="N1383" s="319"/>
      <c r="O1383" s="328">
        <f>SUM(H1383:M1383)</f>
        <v>0</v>
      </c>
      <c r="P1383" s="351"/>
      <c r="R1383" s="348" t="str">
        <f t="shared" si="55"/>
        <v>DELETE</v>
      </c>
    </row>
    <row r="1384" spans="2:18" ht="31.5" customHeight="1" x14ac:dyDescent="0.5">
      <c r="B1384" s="316"/>
      <c r="D1384" s="353" t="s">
        <v>1111</v>
      </c>
      <c r="E1384" s="353"/>
      <c r="F1384" s="353"/>
      <c r="G1384" s="295"/>
      <c r="H1384" s="323">
        <f>Criteria!F220</f>
        <v>0</v>
      </c>
      <c r="I1384" s="319"/>
      <c r="J1384" s="319">
        <f>Criteria!G220</f>
        <v>0</v>
      </c>
      <c r="K1384" s="319">
        <f>Criteria!H220</f>
        <v>0</v>
      </c>
      <c r="L1384" s="319"/>
      <c r="M1384" s="319">
        <f>Criteria!I220</f>
        <v>0</v>
      </c>
      <c r="N1384" s="319"/>
      <c r="O1384" s="328">
        <f>SUM(H1384:M1384)</f>
        <v>0</v>
      </c>
      <c r="P1384" s="351"/>
      <c r="R1384" s="348" t="str">
        <f t="shared" si="55"/>
        <v>DELETE</v>
      </c>
    </row>
    <row r="1385" spans="2:18" ht="9" customHeight="1" x14ac:dyDescent="0.5">
      <c r="B1385" s="316"/>
      <c r="D1385" s="353"/>
      <c r="E1385" s="353"/>
      <c r="F1385" s="353"/>
      <c r="G1385" s="295"/>
      <c r="H1385" s="324"/>
      <c r="I1385" s="320"/>
      <c r="J1385" s="320"/>
      <c r="K1385" s="320"/>
      <c r="L1385" s="320"/>
      <c r="M1385" s="320"/>
      <c r="N1385" s="320"/>
      <c r="O1385" s="329"/>
      <c r="P1385" s="351"/>
      <c r="R1385" s="348" t="str">
        <f t="shared" si="55"/>
        <v>DELETE</v>
      </c>
    </row>
    <row r="1386" spans="2:18" ht="9" customHeight="1" x14ac:dyDescent="0.5">
      <c r="B1386" s="316"/>
      <c r="D1386" s="353"/>
      <c r="E1386" s="353"/>
      <c r="F1386" s="353"/>
      <c r="G1386" s="295"/>
      <c r="H1386" s="319"/>
      <c r="I1386" s="319"/>
      <c r="J1386" s="319"/>
      <c r="K1386" s="319"/>
      <c r="L1386" s="319"/>
      <c r="M1386" s="319"/>
      <c r="N1386" s="319"/>
      <c r="O1386" s="319"/>
      <c r="P1386" s="351"/>
      <c r="R1386" s="348" t="str">
        <f t="shared" si="55"/>
        <v>DELETE</v>
      </c>
    </row>
    <row r="1387" spans="2:18" ht="31.5" customHeight="1" x14ac:dyDescent="0.5">
      <c r="B1387" s="316"/>
      <c r="D1387" s="353" t="s">
        <v>1108</v>
      </c>
      <c r="E1387" s="353"/>
      <c r="F1387" s="476">
        <f>Criteria!G20</f>
        <v>45716</v>
      </c>
      <c r="G1387" s="476"/>
      <c r="H1387" s="319">
        <f>H1390-H1391</f>
        <v>0</v>
      </c>
      <c r="I1387" s="319"/>
      <c r="J1387" s="319">
        <f>J1390-J1391</f>
        <v>0</v>
      </c>
      <c r="K1387" s="319">
        <f>K1390-K1391</f>
        <v>0</v>
      </c>
      <c r="L1387" s="319"/>
      <c r="M1387" s="319">
        <f>M1390-M1391</f>
        <v>0</v>
      </c>
      <c r="N1387" s="319"/>
      <c r="O1387" s="319">
        <f>O1390-O1391</f>
        <v>0</v>
      </c>
      <c r="P1387" s="351"/>
      <c r="R1387" s="348" t="str">
        <f t="shared" si="55"/>
        <v>DELETE</v>
      </c>
    </row>
    <row r="1388" spans="2:18" ht="9" customHeight="1" x14ac:dyDescent="0.5">
      <c r="B1388" s="316"/>
      <c r="D1388" s="353"/>
      <c r="E1388" s="353"/>
      <c r="F1388" s="353"/>
      <c r="G1388" s="312"/>
      <c r="H1388" s="319"/>
      <c r="I1388" s="319"/>
      <c r="J1388" s="319"/>
      <c r="K1388" s="319"/>
      <c r="L1388" s="319"/>
      <c r="M1388" s="319"/>
      <c r="N1388" s="319"/>
      <c r="O1388" s="319"/>
      <c r="P1388" s="351"/>
      <c r="R1388" s="348" t="str">
        <f t="shared" si="55"/>
        <v>DELETE</v>
      </c>
    </row>
    <row r="1389" spans="2:18" ht="9" customHeight="1" x14ac:dyDescent="0.5">
      <c r="B1389" s="316"/>
      <c r="D1389" s="353"/>
      <c r="E1389" s="353"/>
      <c r="F1389" s="353"/>
      <c r="G1389" s="312"/>
      <c r="H1389" s="322"/>
      <c r="I1389" s="325"/>
      <c r="J1389" s="325"/>
      <c r="K1389" s="325"/>
      <c r="L1389" s="325"/>
      <c r="M1389" s="325"/>
      <c r="N1389" s="325"/>
      <c r="O1389" s="327"/>
      <c r="P1389" s="351"/>
      <c r="R1389" s="348" t="str">
        <f t="shared" si="55"/>
        <v>DELETE</v>
      </c>
    </row>
    <row r="1390" spans="2:18" ht="31.5" customHeight="1" x14ac:dyDescent="0.5">
      <c r="B1390" s="316"/>
      <c r="D1390" s="353" t="s">
        <v>352</v>
      </c>
      <c r="E1390" s="353"/>
      <c r="F1390" s="353"/>
      <c r="G1390" s="295"/>
      <c r="H1390" s="323">
        <f>Criteria!F226</f>
        <v>0</v>
      </c>
      <c r="I1390" s="319"/>
      <c r="J1390" s="319">
        <f>Criteria!G226</f>
        <v>0</v>
      </c>
      <c r="K1390" s="319">
        <f>Criteria!H226</f>
        <v>0</v>
      </c>
      <c r="L1390" s="319"/>
      <c r="M1390" s="319">
        <f>Criteria!I226</f>
        <v>0</v>
      </c>
      <c r="N1390" s="319"/>
      <c r="O1390" s="328">
        <f>SUM(H1390:M1390)</f>
        <v>0</v>
      </c>
      <c r="P1390" s="351"/>
      <c r="R1390" s="348" t="str">
        <f t="shared" si="55"/>
        <v>DELETE</v>
      </c>
    </row>
    <row r="1391" spans="2:18" ht="31.5" customHeight="1" x14ac:dyDescent="0.5">
      <c r="B1391" s="316"/>
      <c r="D1391" s="353" t="s">
        <v>1111</v>
      </c>
      <c r="E1391" s="353"/>
      <c r="F1391" s="353"/>
      <c r="G1391" s="295"/>
      <c r="H1391" s="323">
        <f>Criteria!F227</f>
        <v>0</v>
      </c>
      <c r="I1391" s="319"/>
      <c r="J1391" s="319">
        <f>Criteria!G227</f>
        <v>0</v>
      </c>
      <c r="K1391" s="319">
        <f>Criteria!H227</f>
        <v>0</v>
      </c>
      <c r="L1391" s="319"/>
      <c r="M1391" s="319">
        <f>Criteria!I227</f>
        <v>0</v>
      </c>
      <c r="N1391" s="319"/>
      <c r="O1391" s="328">
        <f>SUM(H1391:M1391)</f>
        <v>0</v>
      </c>
      <c r="P1391" s="351"/>
      <c r="R1391" s="348" t="str">
        <f t="shared" si="55"/>
        <v>DELETE</v>
      </c>
    </row>
    <row r="1392" spans="2:18" ht="9" customHeight="1" x14ac:dyDescent="0.5">
      <c r="B1392" s="316"/>
      <c r="D1392" s="353"/>
      <c r="E1392" s="353"/>
      <c r="F1392" s="353"/>
      <c r="G1392" s="295"/>
      <c r="H1392" s="324"/>
      <c r="I1392" s="320"/>
      <c r="J1392" s="320"/>
      <c r="K1392" s="320"/>
      <c r="L1392" s="320"/>
      <c r="M1392" s="320"/>
      <c r="N1392" s="320"/>
      <c r="O1392" s="329"/>
      <c r="P1392" s="351"/>
      <c r="R1392" s="348" t="str">
        <f t="shared" si="55"/>
        <v>DELETE</v>
      </c>
    </row>
    <row r="1393" spans="2:18" ht="9" customHeight="1" x14ac:dyDescent="0.5">
      <c r="B1393" s="316"/>
      <c r="D1393" s="353"/>
      <c r="E1393" s="353"/>
      <c r="F1393" s="353"/>
      <c r="H1393" s="354"/>
      <c r="I1393" s="354"/>
      <c r="J1393" s="354"/>
      <c r="K1393" s="354"/>
      <c r="L1393" s="354"/>
      <c r="N1393" s="346"/>
      <c r="R1393" s="348" t="str">
        <f t="shared" si="55"/>
        <v>DELETE</v>
      </c>
    </row>
    <row r="1394" spans="2:18" ht="31.5" customHeight="1" x14ac:dyDescent="0.45">
      <c r="B1394" s="316"/>
      <c r="D1394" s="412"/>
      <c r="E1394" s="412"/>
      <c r="R1394" s="348" t="str">
        <f t="shared" si="55"/>
        <v>DELETE</v>
      </c>
    </row>
    <row r="1395" spans="2:18" ht="31.5" customHeight="1" x14ac:dyDescent="0.45">
      <c r="B1395" s="316"/>
      <c r="R1395" s="348" t="str">
        <f t="shared" si="55"/>
        <v>DELETE</v>
      </c>
    </row>
    <row r="1396" spans="2:18" ht="31.5" customHeight="1" x14ac:dyDescent="0.45">
      <c r="B1396" s="316"/>
      <c r="M1396" s="355"/>
      <c r="N1396" s="356"/>
      <c r="O1396" s="355"/>
      <c r="P1396" s="356"/>
      <c r="R1396" s="348" t="str">
        <f t="shared" si="55"/>
        <v>DELETE</v>
      </c>
    </row>
    <row r="1397" spans="2:18" ht="31.5" customHeight="1" x14ac:dyDescent="0.45">
      <c r="B1397" s="354"/>
      <c r="R1397" s="348" t="str">
        <f t="shared" si="55"/>
        <v>DELETE</v>
      </c>
    </row>
    <row r="1398" spans="2:18" ht="36" customHeight="1" x14ac:dyDescent="0.5">
      <c r="B1398" s="354"/>
      <c r="C1398" s="450"/>
      <c r="D1398" s="450"/>
      <c r="E1398" s="450"/>
      <c r="F1398" s="450"/>
      <c r="G1398" s="450"/>
      <c r="H1398" s="450"/>
      <c r="I1398" s="450"/>
      <c r="J1398" s="450"/>
      <c r="M1398" s="347"/>
      <c r="O1398" s="295" t="s">
        <v>89</v>
      </c>
      <c r="Q1398" s="292">
        <f>MAX($Q$105:Q1397)+1</f>
        <v>37</v>
      </c>
      <c r="R1398" s="348" t="str">
        <f>R$1408</f>
        <v>DELETE</v>
      </c>
    </row>
    <row r="1399" spans="2:18" ht="36" customHeight="1" x14ac:dyDescent="0.5">
      <c r="B1399" s="354"/>
      <c r="C1399" s="450"/>
      <c r="D1399" s="456" t="str">
        <f>Criteria!E9</f>
        <v>HOLDING COMPANY 268 (PROPRIETARY) LIMITED</v>
      </c>
      <c r="E1399" s="450"/>
      <c r="F1399" s="450"/>
      <c r="G1399" s="450"/>
      <c r="H1399" s="450"/>
      <c r="I1399" s="450"/>
      <c r="J1399" s="450"/>
      <c r="M1399" s="347"/>
      <c r="O1399" s="347"/>
      <c r="R1399" s="348" t="str">
        <f t="shared" ref="R1399:R1452" si="56">R$1408</f>
        <v>DELETE</v>
      </c>
    </row>
    <row r="1400" spans="2:18" ht="36" customHeight="1" x14ac:dyDescent="0.5">
      <c r="B1400" s="354"/>
      <c r="C1400" s="450"/>
      <c r="D1400" s="456" t="str">
        <f>Criteria!E10</f>
        <v>CONSOLIDATED FINANCIAL STATEMENTS</v>
      </c>
      <c r="E1400" s="450"/>
      <c r="F1400" s="450"/>
      <c r="G1400" s="450"/>
      <c r="H1400" s="450"/>
      <c r="I1400" s="450"/>
      <c r="J1400" s="450"/>
      <c r="M1400" s="347"/>
      <c r="O1400" s="347"/>
      <c r="R1400" s="348" t="str">
        <f>IF(R$1408="DELETE","DELETE",IF(D1400=0,"DELETE"," "))</f>
        <v>DELETE</v>
      </c>
    </row>
    <row r="1401" spans="2:18" ht="36" customHeight="1" x14ac:dyDescent="0.5">
      <c r="B1401" s="354"/>
      <c r="C1401" s="450"/>
      <c r="D1401" s="450"/>
      <c r="E1401" s="450"/>
      <c r="F1401" s="450"/>
      <c r="G1401" s="450"/>
      <c r="H1401" s="450"/>
      <c r="I1401" s="450"/>
      <c r="J1401" s="450"/>
      <c r="M1401" s="347"/>
      <c r="O1401" s="347"/>
      <c r="R1401" s="348" t="str">
        <f t="shared" si="56"/>
        <v>DELETE</v>
      </c>
    </row>
    <row r="1402" spans="2:18" ht="36" customHeight="1" x14ac:dyDescent="0.5">
      <c r="B1402" s="354"/>
      <c r="C1402" s="450"/>
      <c r="D1402" s="456" t="s">
        <v>351</v>
      </c>
      <c r="E1402" s="450"/>
      <c r="F1402" s="450"/>
      <c r="G1402" s="450"/>
      <c r="H1402" s="450"/>
      <c r="I1402" s="450"/>
      <c r="J1402" s="450"/>
      <c r="M1402" s="347"/>
      <c r="O1402" s="347"/>
      <c r="R1402" s="348" t="str">
        <f t="shared" si="56"/>
        <v>DELETE</v>
      </c>
    </row>
    <row r="1403" spans="2:18" ht="36" customHeight="1" x14ac:dyDescent="0.5">
      <c r="B1403" s="354"/>
      <c r="C1403" s="450"/>
      <c r="D1403" s="456" t="str">
        <f>Criteria!E20</f>
        <v>28 FEBRUARY 2025</v>
      </c>
      <c r="E1403" s="450"/>
      <c r="F1403" s="450"/>
      <c r="G1403" s="450"/>
      <c r="H1403" s="450"/>
      <c r="I1403" s="450"/>
      <c r="J1403" s="450" t="s">
        <v>231</v>
      </c>
      <c r="M1403" s="347"/>
      <c r="O1403" s="347"/>
      <c r="R1403" s="348" t="str">
        <f t="shared" si="56"/>
        <v>DELETE</v>
      </c>
    </row>
    <row r="1404" spans="2:18" ht="36" customHeight="1" x14ac:dyDescent="0.5">
      <c r="B1404" s="354"/>
      <c r="C1404" s="450"/>
      <c r="D1404" s="450"/>
      <c r="E1404" s="450"/>
      <c r="F1404" s="450"/>
      <c r="G1404" s="450"/>
      <c r="H1404" s="450"/>
      <c r="I1404" s="450"/>
      <c r="J1404" s="450"/>
      <c r="M1404" s="347"/>
      <c r="O1404" s="347"/>
      <c r="R1404" s="348" t="str">
        <f t="shared" si="56"/>
        <v>DELETE</v>
      </c>
    </row>
    <row r="1405" spans="2:18" ht="36" customHeight="1" x14ac:dyDescent="0.5">
      <c r="B1405" s="368"/>
      <c r="C1405" s="460"/>
      <c r="D1405" s="460"/>
      <c r="E1405" s="460"/>
      <c r="F1405" s="460"/>
      <c r="G1405" s="460"/>
      <c r="H1405" s="460"/>
      <c r="I1405" s="460"/>
      <c r="J1405" s="460"/>
      <c r="K1405" s="364"/>
      <c r="L1405" s="364"/>
      <c r="M1405" s="367"/>
      <c r="N1405" s="367"/>
      <c r="O1405" s="367"/>
      <c r="P1405" s="367"/>
      <c r="Q1405" s="364"/>
      <c r="R1405" s="348" t="str">
        <f t="shared" si="56"/>
        <v>DELETE</v>
      </c>
    </row>
    <row r="1406" spans="2:18" ht="36" customHeight="1" x14ac:dyDescent="0.5">
      <c r="B1406" s="354"/>
      <c r="C1406" s="450"/>
      <c r="D1406" s="450"/>
      <c r="E1406" s="450"/>
      <c r="F1406" s="450"/>
      <c r="G1406" s="450"/>
      <c r="H1406" s="450"/>
      <c r="I1406" s="450"/>
      <c r="J1406" s="450"/>
      <c r="M1406" s="294">
        <f>Criteria!E22</f>
        <v>2025</v>
      </c>
      <c r="N1406" s="294"/>
      <c r="O1406" s="294">
        <f>Criteria!E27</f>
        <v>2024</v>
      </c>
      <c r="P1406" s="356"/>
      <c r="R1406" s="348" t="str">
        <f t="shared" si="56"/>
        <v>DELETE</v>
      </c>
    </row>
    <row r="1407" spans="2:18" ht="36" customHeight="1" x14ac:dyDescent="0.5">
      <c r="B1407" s="354"/>
      <c r="C1407" s="450"/>
      <c r="D1407" s="450"/>
      <c r="E1407" s="450"/>
      <c r="F1407" s="450"/>
      <c r="G1407" s="450"/>
      <c r="H1407" s="450"/>
      <c r="I1407" s="450"/>
      <c r="J1407" s="450"/>
      <c r="M1407" s="356"/>
      <c r="N1407" s="356"/>
      <c r="O1407" s="356"/>
      <c r="P1407" s="356"/>
      <c r="R1407" s="348" t="str">
        <f t="shared" si="56"/>
        <v>DELETE</v>
      </c>
    </row>
    <row r="1408" spans="2:18" ht="36" customHeight="1" x14ac:dyDescent="0.5">
      <c r="B1408" s="316">
        <f>MAX(B$602:B1407)+1</f>
        <v>10</v>
      </c>
      <c r="C1408" s="456" t="s">
        <v>937</v>
      </c>
      <c r="D1408" s="450"/>
      <c r="E1408" s="450"/>
      <c r="F1408" s="450"/>
      <c r="G1408" s="450"/>
      <c r="H1408" s="450"/>
      <c r="I1408" s="450"/>
      <c r="J1408" s="450"/>
      <c r="M1408" s="356"/>
      <c r="N1408" s="356"/>
      <c r="O1408" s="356"/>
      <c r="P1408" s="356"/>
      <c r="R1408" s="348" t="str">
        <f>IF(TrialBalance!N241+TrialBalance!N242+TrialBalance!N244+TrialBalance!L241+TrialBalance!L242+TrialBalance!L244=0,"DELETE"," ")</f>
        <v>DELETE</v>
      </c>
    </row>
    <row r="1409" spans="2:22" ht="36" customHeight="1" x14ac:dyDescent="0.5">
      <c r="B1409" s="316"/>
      <c r="C1409" s="456"/>
      <c r="D1409" s="450"/>
      <c r="E1409" s="450"/>
      <c r="F1409" s="450"/>
      <c r="G1409" s="450"/>
      <c r="H1409" s="450"/>
      <c r="I1409" s="450"/>
      <c r="J1409" s="450"/>
      <c r="M1409" s="356"/>
      <c r="N1409" s="356"/>
      <c r="O1409" s="356"/>
      <c r="P1409" s="356"/>
      <c r="R1409" s="348" t="str">
        <f t="shared" si="56"/>
        <v>DELETE</v>
      </c>
    </row>
    <row r="1410" spans="2:22" ht="36" customHeight="1" x14ac:dyDescent="0.5">
      <c r="B1410" s="354"/>
      <c r="C1410" s="450" t="s">
        <v>917</v>
      </c>
      <c r="D1410" s="450"/>
      <c r="E1410" s="450"/>
      <c r="F1410" s="459"/>
      <c r="G1410" s="450"/>
      <c r="H1410" s="459"/>
      <c r="I1410" s="450"/>
      <c r="J1410" s="459"/>
      <c r="K1410" s="379"/>
      <c r="M1410" s="296">
        <f>M1413+M1414</f>
        <v>0</v>
      </c>
      <c r="N1410" s="296"/>
      <c r="O1410" s="296">
        <f>O1413+O1414</f>
        <v>0</v>
      </c>
      <c r="P1410" s="356"/>
      <c r="R1410" s="348" t="str">
        <f t="shared" si="56"/>
        <v>DELETE</v>
      </c>
      <c r="V1410" s="331" t="b">
        <f>M1410=O1439</f>
        <v>1</v>
      </c>
    </row>
    <row r="1411" spans="2:22" ht="9" customHeight="1" x14ac:dyDescent="0.5">
      <c r="B1411" s="354"/>
      <c r="C1411" s="450"/>
      <c r="D1411" s="450"/>
      <c r="E1411" s="450"/>
      <c r="F1411" s="459"/>
      <c r="G1411" s="450"/>
      <c r="H1411" s="450"/>
      <c r="I1411" s="450"/>
      <c r="J1411" s="450"/>
      <c r="M1411" s="296"/>
      <c r="N1411" s="296"/>
      <c r="O1411" s="296"/>
      <c r="P1411" s="356"/>
      <c r="R1411" s="348" t="str">
        <f t="shared" si="56"/>
        <v>DELETE</v>
      </c>
    </row>
    <row r="1412" spans="2:22" ht="9" customHeight="1" x14ac:dyDescent="0.5">
      <c r="B1412" s="354"/>
      <c r="C1412" s="450"/>
      <c r="D1412" s="450"/>
      <c r="E1412" s="450"/>
      <c r="F1412" s="459"/>
      <c r="G1412" s="450"/>
      <c r="H1412" s="450"/>
      <c r="I1412" s="450"/>
      <c r="J1412" s="450"/>
      <c r="M1412" s="398"/>
      <c r="N1412" s="297"/>
      <c r="O1412" s="399"/>
      <c r="P1412" s="356"/>
      <c r="R1412" s="348" t="str">
        <f t="shared" si="56"/>
        <v>DELETE</v>
      </c>
    </row>
    <row r="1413" spans="2:22" ht="36" customHeight="1" x14ac:dyDescent="0.5">
      <c r="B1413" s="354"/>
      <c r="C1413" s="450" t="s">
        <v>352</v>
      </c>
      <c r="D1413" s="450"/>
      <c r="E1413" s="450"/>
      <c r="F1413" s="459"/>
      <c r="G1413" s="450"/>
      <c r="H1413" s="450"/>
      <c r="I1413" s="450"/>
      <c r="J1413" s="450"/>
      <c r="M1413" s="400">
        <f>TrialBalance!L241</f>
        <v>0</v>
      </c>
      <c r="N1413" s="310"/>
      <c r="O1413" s="401">
        <f>TrialBalance!N241</f>
        <v>0</v>
      </c>
      <c r="P1413" s="356"/>
      <c r="R1413" s="348" t="str">
        <f t="shared" si="56"/>
        <v>DELETE</v>
      </c>
      <c r="S1413" s="333">
        <f>M1413</f>
        <v>0</v>
      </c>
      <c r="U1413" s="333">
        <f>O1413</f>
        <v>0</v>
      </c>
      <c r="V1413" s="331" t="b">
        <f>M1413=O1443</f>
        <v>1</v>
      </c>
    </row>
    <row r="1414" spans="2:22" ht="36" customHeight="1" x14ac:dyDescent="0.5">
      <c r="B1414" s="354"/>
      <c r="C1414" s="450" t="s">
        <v>1112</v>
      </c>
      <c r="D1414" s="450"/>
      <c r="E1414" s="450"/>
      <c r="F1414" s="459"/>
      <c r="G1414" s="450"/>
      <c r="H1414" s="450"/>
      <c r="I1414" s="450"/>
      <c r="J1414" s="450"/>
      <c r="M1414" s="400">
        <f>TrialBalance!L247</f>
        <v>0</v>
      </c>
      <c r="N1414" s="310"/>
      <c r="O1414" s="401">
        <f>TrialBalance!N247</f>
        <v>0</v>
      </c>
      <c r="P1414" s="356"/>
      <c r="R1414" s="348" t="str">
        <f t="shared" si="56"/>
        <v>DELETE</v>
      </c>
      <c r="S1414" s="333">
        <f>M1414</f>
        <v>0</v>
      </c>
      <c r="U1414" s="333">
        <f>O1414</f>
        <v>0</v>
      </c>
      <c r="V1414" s="331" t="b">
        <f>M1414=O1444</f>
        <v>1</v>
      </c>
    </row>
    <row r="1415" spans="2:22" ht="9" customHeight="1" x14ac:dyDescent="0.5">
      <c r="B1415" s="354"/>
      <c r="C1415" s="450"/>
      <c r="D1415" s="450"/>
      <c r="E1415" s="450"/>
      <c r="F1415" s="459"/>
      <c r="G1415" s="450"/>
      <c r="H1415" s="450"/>
      <c r="I1415" s="450"/>
      <c r="J1415" s="450"/>
      <c r="M1415" s="402"/>
      <c r="N1415" s="298"/>
      <c r="O1415" s="403"/>
      <c r="P1415" s="356"/>
      <c r="R1415" s="348" t="str">
        <f t="shared" si="56"/>
        <v>DELETE</v>
      </c>
    </row>
    <row r="1416" spans="2:22" ht="9" customHeight="1" x14ac:dyDescent="0.5">
      <c r="B1416" s="354"/>
      <c r="C1416" s="450"/>
      <c r="D1416" s="450"/>
      <c r="E1416" s="450"/>
      <c r="F1416" s="459"/>
      <c r="G1416" s="450"/>
      <c r="H1416" s="450"/>
      <c r="I1416" s="450"/>
      <c r="J1416" s="450"/>
      <c r="M1416" s="296"/>
      <c r="N1416" s="296"/>
      <c r="O1416" s="296"/>
      <c r="P1416" s="356"/>
      <c r="R1416" s="348" t="str">
        <f t="shared" si="56"/>
        <v>DELETE</v>
      </c>
    </row>
    <row r="1417" spans="2:22" ht="36.75" customHeight="1" x14ac:dyDescent="0.5">
      <c r="B1417" s="354"/>
      <c r="C1417" s="450" t="s">
        <v>358</v>
      </c>
      <c r="D1417" s="450"/>
      <c r="E1417" s="450"/>
      <c r="F1417" s="459"/>
      <c r="G1417" s="450"/>
      <c r="H1417" s="450"/>
      <c r="I1417" s="450"/>
      <c r="J1417" s="450"/>
      <c r="M1417" s="296">
        <f>TrialBalance!L242</f>
        <v>0</v>
      </c>
      <c r="N1417" s="296"/>
      <c r="O1417" s="296">
        <f>TrialBalance!N242</f>
        <v>0</v>
      </c>
      <c r="P1417" s="356"/>
      <c r="R1417" s="348" t="str">
        <f t="shared" si="56"/>
        <v>DELETE</v>
      </c>
      <c r="S1417" s="333">
        <f>M1417</f>
        <v>0</v>
      </c>
      <c r="U1417" s="333">
        <f>O1417</f>
        <v>0</v>
      </c>
    </row>
    <row r="1418" spans="2:22" ht="9" customHeight="1" x14ac:dyDescent="0.5">
      <c r="B1418" s="354"/>
      <c r="C1418" s="450"/>
      <c r="D1418" s="450"/>
      <c r="E1418" s="450"/>
      <c r="F1418" s="459"/>
      <c r="G1418" s="450"/>
      <c r="H1418" s="450"/>
      <c r="I1418" s="450"/>
      <c r="J1418" s="450"/>
      <c r="M1418" s="298"/>
      <c r="N1418" s="298"/>
      <c r="O1418" s="298"/>
      <c r="P1418" s="356"/>
      <c r="R1418" s="348" t="str">
        <f t="shared" si="56"/>
        <v>DELETE</v>
      </c>
    </row>
    <row r="1419" spans="2:22" ht="9" customHeight="1" x14ac:dyDescent="0.5">
      <c r="B1419" s="354"/>
      <c r="C1419" s="450"/>
      <c r="D1419" s="450"/>
      <c r="E1419" s="450"/>
      <c r="F1419" s="459"/>
      <c r="G1419" s="450"/>
      <c r="H1419" s="450"/>
      <c r="I1419" s="450"/>
      <c r="J1419" s="450"/>
      <c r="M1419" s="296"/>
      <c r="N1419" s="296"/>
      <c r="O1419" s="296"/>
      <c r="P1419" s="356"/>
      <c r="R1419" s="348" t="str">
        <f t="shared" si="56"/>
        <v>DELETE</v>
      </c>
    </row>
    <row r="1420" spans="2:22" ht="36" customHeight="1" x14ac:dyDescent="0.5">
      <c r="B1420" s="354"/>
      <c r="C1420" s="450"/>
      <c r="D1420" s="450"/>
      <c r="E1420" s="450"/>
      <c r="F1420" s="459"/>
      <c r="G1420" s="450"/>
      <c r="H1420" s="450"/>
      <c r="I1420" s="450"/>
      <c r="J1420" s="450"/>
      <c r="M1420" s="296">
        <f>M1410+M1417</f>
        <v>0</v>
      </c>
      <c r="N1420" s="296"/>
      <c r="O1420" s="296">
        <f>O1410+O1417</f>
        <v>0</v>
      </c>
      <c r="P1420" s="356"/>
      <c r="R1420" s="348" t="str">
        <f t="shared" si="56"/>
        <v>DELETE</v>
      </c>
    </row>
    <row r="1421" spans="2:22" ht="36" customHeight="1" x14ac:dyDescent="0.5">
      <c r="B1421" s="354"/>
      <c r="C1421" s="450" t="s">
        <v>945</v>
      </c>
      <c r="D1421" s="450"/>
      <c r="E1421" s="450"/>
      <c r="F1421" s="459"/>
      <c r="G1421" s="450"/>
      <c r="H1421" s="450"/>
      <c r="I1421" s="450"/>
      <c r="J1421" s="450"/>
      <c r="M1421" s="296">
        <f>TrialBalance!L244</f>
        <v>0</v>
      </c>
      <c r="N1421" s="296"/>
      <c r="O1421" s="296">
        <f>TrialBalance!N244</f>
        <v>0</v>
      </c>
      <c r="P1421" s="356"/>
      <c r="R1421" s="348" t="str">
        <f>IF(M1421+O1421=0,"DELETE"," ")</f>
        <v>DELETE</v>
      </c>
      <c r="S1421" s="333">
        <f>M1421</f>
        <v>0</v>
      </c>
      <c r="U1421" s="333">
        <f>O1421</f>
        <v>0</v>
      </c>
    </row>
    <row r="1422" spans="2:22" ht="36" customHeight="1" x14ac:dyDescent="0.5">
      <c r="B1422" s="354"/>
      <c r="C1422" s="450" t="s">
        <v>946</v>
      </c>
      <c r="D1422" s="450"/>
      <c r="E1422" s="450"/>
      <c r="F1422" s="459"/>
      <c r="G1422" s="450"/>
      <c r="H1422" s="450"/>
      <c r="I1422" s="450"/>
      <c r="J1422" s="450"/>
      <c r="M1422" s="296">
        <f>TrialBalance!L248</f>
        <v>0</v>
      </c>
      <c r="N1422" s="296"/>
      <c r="O1422" s="296">
        <f>TrialBalance!N248</f>
        <v>0</v>
      </c>
      <c r="P1422" s="356"/>
      <c r="R1422" s="348" t="str">
        <f>IF(M1422+O1422=0,"DELETE"," ")</f>
        <v>DELETE</v>
      </c>
      <c r="S1422" s="333">
        <f>M1422</f>
        <v>0</v>
      </c>
      <c r="U1422" s="333">
        <f>O1422</f>
        <v>0</v>
      </c>
    </row>
    <row r="1423" spans="2:22" ht="36" customHeight="1" x14ac:dyDescent="0.5">
      <c r="B1423" s="354"/>
      <c r="C1423" s="450" t="s">
        <v>149</v>
      </c>
      <c r="D1423" s="450"/>
      <c r="E1423" s="450"/>
      <c r="F1423" s="459"/>
      <c r="G1423" s="450"/>
      <c r="H1423" s="450"/>
      <c r="I1423" s="450"/>
      <c r="J1423" s="450"/>
      <c r="M1423" s="296">
        <f>-SUM(S1425:S1428)</f>
        <v>0</v>
      </c>
      <c r="N1423" s="296"/>
      <c r="O1423" s="296">
        <f>-SUM(U1425:U1428)</f>
        <v>0</v>
      </c>
      <c r="P1423" s="356"/>
      <c r="R1423" s="348" t="str">
        <f>IF(M1423+O1423=0,"DELETE"," ")</f>
        <v>DELETE</v>
      </c>
    </row>
    <row r="1424" spans="2:22" ht="9" customHeight="1" x14ac:dyDescent="0.5">
      <c r="B1424" s="354"/>
      <c r="C1424" s="450"/>
      <c r="D1424" s="450"/>
      <c r="E1424" s="450"/>
      <c r="F1424" s="459"/>
      <c r="G1424" s="450"/>
      <c r="H1424" s="450"/>
      <c r="I1424" s="450"/>
      <c r="J1424" s="450"/>
      <c r="M1424" s="296"/>
      <c r="N1424" s="296"/>
      <c r="O1424" s="296"/>
      <c r="P1424" s="356"/>
      <c r="R1424" s="348" t="str">
        <f>R$1423</f>
        <v>DELETE</v>
      </c>
    </row>
    <row r="1425" spans="2:24" ht="9" customHeight="1" x14ac:dyDescent="0.5">
      <c r="B1425" s="354"/>
      <c r="C1425" s="450"/>
      <c r="D1425" s="450"/>
      <c r="E1425" s="450"/>
      <c r="F1425" s="459"/>
      <c r="G1425" s="450"/>
      <c r="H1425" s="450"/>
      <c r="I1425" s="450"/>
      <c r="J1425" s="450"/>
      <c r="M1425" s="398"/>
      <c r="N1425" s="297"/>
      <c r="O1425" s="399"/>
      <c r="P1425" s="356"/>
      <c r="R1425" s="348" t="str">
        <f>R$1423</f>
        <v>DELETE</v>
      </c>
    </row>
    <row r="1426" spans="2:24" ht="36" customHeight="1" x14ac:dyDescent="0.5">
      <c r="B1426" s="354"/>
      <c r="C1426" s="450" t="s">
        <v>352</v>
      </c>
      <c r="D1426" s="450"/>
      <c r="E1426" s="450"/>
      <c r="F1426" s="459"/>
      <c r="G1426" s="450"/>
      <c r="H1426" s="450"/>
      <c r="I1426" s="450"/>
      <c r="J1426" s="450"/>
      <c r="M1426" s="400">
        <f>-TrialBalance!L243</f>
        <v>0</v>
      </c>
      <c r="N1426" s="310"/>
      <c r="O1426" s="401">
        <f>-TrialBalance!N243</f>
        <v>0</v>
      </c>
      <c r="P1426" s="356"/>
      <c r="R1426" s="348" t="str">
        <f t="shared" ref="R1426:R1427" si="57">IF(M1426+O1426=0,"DELETE"," ")</f>
        <v>DELETE</v>
      </c>
      <c r="S1426" s="333">
        <f>-M1426</f>
        <v>0</v>
      </c>
      <c r="U1426" s="333">
        <f>-O1426</f>
        <v>0</v>
      </c>
    </row>
    <row r="1427" spans="2:24" ht="36" customHeight="1" x14ac:dyDescent="0.5">
      <c r="B1427" s="354"/>
      <c r="C1427" s="450" t="s">
        <v>1112</v>
      </c>
      <c r="D1427" s="450"/>
      <c r="E1427" s="450"/>
      <c r="F1427" s="459"/>
      <c r="G1427" s="450"/>
      <c r="H1427" s="450"/>
      <c r="I1427" s="450"/>
      <c r="J1427" s="450"/>
      <c r="M1427" s="400">
        <f>-TrialBalance!L249</f>
        <v>0</v>
      </c>
      <c r="N1427" s="310"/>
      <c r="O1427" s="401">
        <f>-TrialBalance!N249</f>
        <v>0</v>
      </c>
      <c r="P1427" s="356"/>
      <c r="R1427" s="348" t="str">
        <f t="shared" si="57"/>
        <v>DELETE</v>
      </c>
      <c r="S1427" s="333">
        <f>-M1427</f>
        <v>0</v>
      </c>
      <c r="U1427" s="333">
        <f>-O1427</f>
        <v>0</v>
      </c>
    </row>
    <row r="1428" spans="2:24" ht="9" customHeight="1" x14ac:dyDescent="0.5">
      <c r="B1428" s="354"/>
      <c r="C1428" s="450"/>
      <c r="D1428" s="450"/>
      <c r="E1428" s="450"/>
      <c r="F1428" s="459"/>
      <c r="G1428" s="450"/>
      <c r="H1428" s="450"/>
      <c r="I1428" s="450"/>
      <c r="J1428" s="450"/>
      <c r="M1428" s="402"/>
      <c r="N1428" s="298"/>
      <c r="O1428" s="403"/>
      <c r="P1428" s="356"/>
      <c r="R1428" s="348" t="str">
        <f t="shared" ref="R1428:R1429" si="58">R$1423</f>
        <v>DELETE</v>
      </c>
    </row>
    <row r="1429" spans="2:24" ht="9" customHeight="1" x14ac:dyDescent="0.5">
      <c r="B1429" s="354"/>
      <c r="C1429" s="450"/>
      <c r="D1429" s="450"/>
      <c r="E1429" s="450"/>
      <c r="F1429" s="459"/>
      <c r="G1429" s="450"/>
      <c r="H1429" s="450"/>
      <c r="I1429" s="450"/>
      <c r="J1429" s="450"/>
      <c r="M1429" s="310"/>
      <c r="N1429" s="310"/>
      <c r="O1429" s="310"/>
      <c r="P1429" s="356"/>
      <c r="R1429" s="348" t="str">
        <f t="shared" si="58"/>
        <v>DELETE</v>
      </c>
    </row>
    <row r="1430" spans="2:24" ht="36.75" customHeight="1" x14ac:dyDescent="0.5">
      <c r="B1430" s="354"/>
      <c r="C1430" s="450" t="s">
        <v>947</v>
      </c>
      <c r="D1430" s="450"/>
      <c r="E1430" s="450"/>
      <c r="F1430" s="459"/>
      <c r="G1430" s="450"/>
      <c r="H1430" s="450"/>
      <c r="I1430" s="450"/>
      <c r="J1430" s="450"/>
      <c r="M1430" s="296">
        <f>-SUM(S1432:S1435)</f>
        <v>0</v>
      </c>
      <c r="N1430" s="296"/>
      <c r="O1430" s="296">
        <f>-SUM(U1432:U1435)</f>
        <v>0</v>
      </c>
      <c r="P1430" s="356"/>
      <c r="R1430" s="348" t="str">
        <f>IF(M1430+O1430=0,"DELETE"," ")</f>
        <v>DELETE</v>
      </c>
    </row>
    <row r="1431" spans="2:24" ht="9" customHeight="1" x14ac:dyDescent="0.5">
      <c r="B1431" s="354"/>
      <c r="C1431" s="450"/>
      <c r="D1431" s="450"/>
      <c r="E1431" s="450"/>
      <c r="F1431" s="459"/>
      <c r="G1431" s="450"/>
      <c r="H1431" s="450"/>
      <c r="I1431" s="450"/>
      <c r="J1431" s="450"/>
      <c r="M1431" s="296"/>
      <c r="N1431" s="296"/>
      <c r="O1431" s="296"/>
      <c r="P1431" s="356"/>
      <c r="R1431" s="348" t="str">
        <f>R$1430</f>
        <v>DELETE</v>
      </c>
    </row>
    <row r="1432" spans="2:24" ht="9" customHeight="1" x14ac:dyDescent="0.5">
      <c r="B1432" s="354"/>
      <c r="C1432" s="450"/>
      <c r="D1432" s="450"/>
      <c r="E1432" s="450"/>
      <c r="F1432" s="459"/>
      <c r="G1432" s="450"/>
      <c r="H1432" s="450"/>
      <c r="I1432" s="450"/>
      <c r="J1432" s="450"/>
      <c r="M1432" s="398"/>
      <c r="N1432" s="297"/>
      <c r="O1432" s="399"/>
      <c r="P1432" s="356"/>
      <c r="R1432" s="348" t="str">
        <f>R$1430</f>
        <v>DELETE</v>
      </c>
    </row>
    <row r="1433" spans="2:24" ht="36" customHeight="1" x14ac:dyDescent="0.5">
      <c r="B1433" s="354"/>
      <c r="C1433" s="450" t="s">
        <v>352</v>
      </c>
      <c r="D1433" s="450"/>
      <c r="E1433" s="450"/>
      <c r="F1433" s="459"/>
      <c r="G1433" s="450"/>
      <c r="H1433" s="450"/>
      <c r="I1433" s="450"/>
      <c r="J1433" s="450"/>
      <c r="M1433" s="400">
        <f>-TrialBalance!L245</f>
        <v>0</v>
      </c>
      <c r="N1433" s="310"/>
      <c r="O1433" s="401">
        <f>-TrialBalance!N245</f>
        <v>0</v>
      </c>
      <c r="P1433" s="356"/>
      <c r="R1433" s="348" t="str">
        <f t="shared" ref="R1433:R1434" si="59">IF(M1433+O1433=0,"DELETE"," ")</f>
        <v>DELETE</v>
      </c>
      <c r="S1433" s="333">
        <f>-M1433</f>
        <v>0</v>
      </c>
      <c r="U1433" s="333">
        <f>-O1433</f>
        <v>0</v>
      </c>
    </row>
    <row r="1434" spans="2:24" ht="36" customHeight="1" x14ac:dyDescent="0.5">
      <c r="B1434" s="354"/>
      <c r="C1434" s="450" t="s">
        <v>1112</v>
      </c>
      <c r="D1434" s="450"/>
      <c r="E1434" s="450"/>
      <c r="F1434" s="459"/>
      <c r="G1434" s="450"/>
      <c r="H1434" s="450"/>
      <c r="I1434" s="450"/>
      <c r="J1434" s="450"/>
      <c r="M1434" s="400">
        <f>-TrialBalance!L250</f>
        <v>0</v>
      </c>
      <c r="N1434" s="310"/>
      <c r="O1434" s="401">
        <f>-TrialBalance!N250</f>
        <v>0</v>
      </c>
      <c r="P1434" s="356"/>
      <c r="R1434" s="348" t="str">
        <f t="shared" si="59"/>
        <v>DELETE</v>
      </c>
      <c r="S1434" s="333">
        <f>-M1434</f>
        <v>0</v>
      </c>
      <c r="U1434" s="333">
        <f>-O1434</f>
        <v>0</v>
      </c>
    </row>
    <row r="1435" spans="2:24" ht="9" customHeight="1" x14ac:dyDescent="0.5">
      <c r="B1435" s="354"/>
      <c r="C1435" s="450"/>
      <c r="D1435" s="450"/>
      <c r="E1435" s="450"/>
      <c r="F1435" s="459"/>
      <c r="G1435" s="450"/>
      <c r="H1435" s="450"/>
      <c r="I1435" s="450"/>
      <c r="J1435" s="450"/>
      <c r="M1435" s="402"/>
      <c r="N1435" s="298"/>
      <c r="O1435" s="403"/>
      <c r="P1435" s="356"/>
      <c r="R1435" s="348" t="str">
        <f t="shared" ref="R1435:R1436" si="60">R$1430</f>
        <v>DELETE</v>
      </c>
    </row>
    <row r="1436" spans="2:24" ht="9" customHeight="1" x14ac:dyDescent="0.5">
      <c r="B1436" s="354"/>
      <c r="C1436" s="450"/>
      <c r="D1436" s="450"/>
      <c r="E1436" s="450"/>
      <c r="F1436" s="459"/>
      <c r="G1436" s="450"/>
      <c r="H1436" s="450"/>
      <c r="I1436" s="450"/>
      <c r="J1436" s="450"/>
      <c r="M1436" s="310"/>
      <c r="N1436" s="310"/>
      <c r="O1436" s="310"/>
      <c r="P1436" s="356"/>
      <c r="R1436" s="348" t="str">
        <f t="shared" si="60"/>
        <v>DELETE</v>
      </c>
    </row>
    <row r="1437" spans="2:24" ht="9" customHeight="1" x14ac:dyDescent="0.5">
      <c r="B1437" s="354"/>
      <c r="C1437" s="450"/>
      <c r="D1437" s="450"/>
      <c r="E1437" s="450"/>
      <c r="F1437" s="459"/>
      <c r="G1437" s="450"/>
      <c r="H1437" s="450"/>
      <c r="I1437" s="450"/>
      <c r="J1437" s="450"/>
      <c r="M1437" s="298"/>
      <c r="N1437" s="298"/>
      <c r="O1437" s="298"/>
      <c r="P1437" s="356"/>
      <c r="R1437" s="348" t="str">
        <f t="shared" si="56"/>
        <v>DELETE</v>
      </c>
    </row>
    <row r="1438" spans="2:24" ht="9" customHeight="1" x14ac:dyDescent="0.5">
      <c r="B1438" s="354"/>
      <c r="C1438" s="450"/>
      <c r="D1438" s="450"/>
      <c r="E1438" s="450"/>
      <c r="F1438" s="459"/>
      <c r="G1438" s="450"/>
      <c r="H1438" s="450"/>
      <c r="I1438" s="450"/>
      <c r="J1438" s="450"/>
      <c r="M1438" s="310"/>
      <c r="N1438" s="310"/>
      <c r="O1438" s="310"/>
      <c r="P1438" s="356"/>
      <c r="R1438" s="348" t="str">
        <f t="shared" si="56"/>
        <v>DELETE</v>
      </c>
    </row>
    <row r="1439" spans="2:24" ht="36.75" customHeight="1" x14ac:dyDescent="0.5">
      <c r="B1439" s="354"/>
      <c r="C1439" s="450" t="s">
        <v>920</v>
      </c>
      <c r="D1439" s="450"/>
      <c r="E1439" s="450"/>
      <c r="F1439" s="459"/>
      <c r="G1439" s="450"/>
      <c r="H1439" s="450"/>
      <c r="I1439" s="450"/>
      <c r="J1439" s="450"/>
      <c r="K1439" s="380"/>
      <c r="M1439" s="296">
        <f>SUM(S1412:S1435)</f>
        <v>0</v>
      </c>
      <c r="N1439" s="296"/>
      <c r="O1439" s="296">
        <f>SUM(U1412:U1435)</f>
        <v>0</v>
      </c>
      <c r="P1439" s="356"/>
      <c r="R1439" s="348" t="str">
        <f t="shared" si="56"/>
        <v>DELETE</v>
      </c>
      <c r="V1439" s="331" t="b">
        <f>M1439=M1443+M1444</f>
        <v>1</v>
      </c>
      <c r="X1439" s="331" t="b">
        <f>O1439=O1443+O1444</f>
        <v>1</v>
      </c>
    </row>
    <row r="1440" spans="2:24" ht="9" customHeight="1" thickBot="1" x14ac:dyDescent="0.55000000000000004">
      <c r="B1440" s="354"/>
      <c r="C1440" s="450"/>
      <c r="D1440" s="450"/>
      <c r="E1440" s="450"/>
      <c r="F1440" s="459"/>
      <c r="G1440" s="450"/>
      <c r="H1440" s="450"/>
      <c r="I1440" s="450"/>
      <c r="J1440" s="450"/>
      <c r="M1440" s="299"/>
      <c r="N1440" s="299"/>
      <c r="O1440" s="299"/>
      <c r="P1440" s="356"/>
      <c r="R1440" s="348" t="str">
        <f t="shared" si="56"/>
        <v>DELETE</v>
      </c>
    </row>
    <row r="1441" spans="2:18" ht="9" customHeight="1" thickTop="1" x14ac:dyDescent="0.5">
      <c r="B1441" s="354"/>
      <c r="C1441" s="450"/>
      <c r="D1441" s="450"/>
      <c r="E1441" s="450"/>
      <c r="F1441" s="459"/>
      <c r="G1441" s="450"/>
      <c r="H1441" s="450"/>
      <c r="I1441" s="450"/>
      <c r="J1441" s="450"/>
      <c r="M1441" s="296"/>
      <c r="N1441" s="296"/>
      <c r="O1441" s="296"/>
      <c r="P1441" s="356"/>
      <c r="R1441" s="348" t="str">
        <f t="shared" si="56"/>
        <v>DELETE</v>
      </c>
    </row>
    <row r="1442" spans="2:18" ht="9" customHeight="1" x14ac:dyDescent="0.5">
      <c r="B1442" s="354"/>
      <c r="C1442" s="450"/>
      <c r="D1442" s="450"/>
      <c r="E1442" s="450"/>
      <c r="F1442" s="459"/>
      <c r="G1442" s="450"/>
      <c r="H1442" s="450"/>
      <c r="I1442" s="450"/>
      <c r="J1442" s="450"/>
      <c r="M1442" s="398"/>
      <c r="N1442" s="297"/>
      <c r="O1442" s="399"/>
      <c r="P1442" s="356"/>
      <c r="R1442" s="348" t="str">
        <f t="shared" si="56"/>
        <v>DELETE</v>
      </c>
    </row>
    <row r="1443" spans="2:18" ht="36" customHeight="1" x14ac:dyDescent="0.5">
      <c r="B1443" s="354"/>
      <c r="C1443" s="450" t="s">
        <v>352</v>
      </c>
      <c r="D1443" s="450"/>
      <c r="E1443" s="450"/>
      <c r="F1443" s="459"/>
      <c r="G1443" s="450"/>
      <c r="H1443" s="450"/>
      <c r="I1443" s="450"/>
      <c r="J1443" s="450"/>
      <c r="M1443" s="400">
        <f>SUM(TrialBalance!L241:L245)</f>
        <v>0</v>
      </c>
      <c r="N1443" s="310"/>
      <c r="O1443" s="401">
        <f>SUM(TrialBalance!N241:N245)</f>
        <v>0</v>
      </c>
      <c r="P1443" s="356"/>
      <c r="R1443" s="348" t="str">
        <f t="shared" si="56"/>
        <v>DELETE</v>
      </c>
    </row>
    <row r="1444" spans="2:18" ht="36" customHeight="1" x14ac:dyDescent="0.5">
      <c r="B1444" s="354"/>
      <c r="C1444" s="450" t="s">
        <v>1112</v>
      </c>
      <c r="D1444" s="450"/>
      <c r="E1444" s="450"/>
      <c r="F1444" s="459"/>
      <c r="G1444" s="450"/>
      <c r="H1444" s="450"/>
      <c r="I1444" s="450"/>
      <c r="J1444" s="450"/>
      <c r="M1444" s="400">
        <f>SUM(TrialBalance!L247:L250)</f>
        <v>0</v>
      </c>
      <c r="N1444" s="310"/>
      <c r="O1444" s="401">
        <f>SUM(TrialBalance!N247:N250)</f>
        <v>0</v>
      </c>
      <c r="P1444" s="356"/>
      <c r="R1444" s="348" t="str">
        <f t="shared" si="56"/>
        <v>DELETE</v>
      </c>
    </row>
    <row r="1445" spans="2:18" ht="9" customHeight="1" x14ac:dyDescent="0.5">
      <c r="B1445" s="354"/>
      <c r="C1445" s="450"/>
      <c r="D1445" s="450"/>
      <c r="E1445" s="450"/>
      <c r="F1445" s="450"/>
      <c r="G1445" s="450"/>
      <c r="H1445" s="450"/>
      <c r="I1445" s="450"/>
      <c r="J1445" s="450"/>
      <c r="M1445" s="402"/>
      <c r="N1445" s="298"/>
      <c r="O1445" s="403"/>
      <c r="P1445" s="356"/>
      <c r="R1445" s="348" t="str">
        <f t="shared" si="56"/>
        <v>DELETE</v>
      </c>
    </row>
    <row r="1446" spans="2:18" ht="9" customHeight="1" x14ac:dyDescent="0.5">
      <c r="B1446" s="354"/>
      <c r="C1446" s="450"/>
      <c r="D1446" s="450"/>
      <c r="E1446" s="450"/>
      <c r="F1446" s="450"/>
      <c r="G1446" s="450"/>
      <c r="H1446" s="450"/>
      <c r="I1446" s="450"/>
      <c r="J1446" s="450"/>
      <c r="M1446" s="296"/>
      <c r="N1446" s="296"/>
      <c r="O1446" s="296"/>
      <c r="P1446" s="356"/>
      <c r="R1446" s="348" t="str">
        <f t="shared" si="56"/>
        <v>DELETE</v>
      </c>
    </row>
    <row r="1447" spans="2:18" ht="36" customHeight="1" x14ac:dyDescent="0.5">
      <c r="B1447" s="354"/>
      <c r="C1447" s="450"/>
      <c r="D1447" s="450"/>
      <c r="E1447" s="450"/>
      <c r="F1447" s="450"/>
      <c r="G1447" s="450"/>
      <c r="H1447" s="450"/>
      <c r="I1447" s="450"/>
      <c r="J1447" s="450"/>
      <c r="M1447" s="356"/>
      <c r="N1447" s="356"/>
      <c r="O1447" s="356"/>
      <c r="P1447" s="356"/>
      <c r="R1447" s="348" t="str">
        <f t="shared" si="56"/>
        <v>DELETE</v>
      </c>
    </row>
    <row r="1448" spans="2:18" ht="36" customHeight="1" x14ac:dyDescent="0.5">
      <c r="B1448" s="354"/>
      <c r="C1448" s="450" t="str">
        <f>IF(SUM(TrialBalance!L241:L245)=0," ",IF(Criteria!F121="Yes",CONCATENATE("Investment property is pledged as security - See note ",FS!B1923)," "))</f>
        <v xml:space="preserve"> </v>
      </c>
      <c r="D1448" s="459"/>
      <c r="E1448" s="450"/>
      <c r="F1448" s="450"/>
      <c r="G1448" s="450"/>
      <c r="H1448" s="450"/>
      <c r="I1448" s="450"/>
      <c r="J1448" s="450"/>
      <c r="M1448" s="356"/>
      <c r="N1448" s="356"/>
      <c r="O1448" s="356"/>
      <c r="P1448" s="356"/>
      <c r="R1448" s="348" t="str">
        <f>IF(R$1408="DELETE","DELETE",IF(C1448=" ","DELETE"," "))</f>
        <v>DELETE</v>
      </c>
    </row>
    <row r="1449" spans="2:18" ht="36" customHeight="1" x14ac:dyDescent="0.5">
      <c r="B1449" s="354"/>
      <c r="C1449" s="450"/>
      <c r="D1449" s="450"/>
      <c r="E1449" s="450"/>
      <c r="F1449" s="450"/>
      <c r="G1449" s="450"/>
      <c r="H1449" s="450"/>
      <c r="I1449" s="450"/>
      <c r="J1449" s="450"/>
      <c r="M1449" s="356"/>
      <c r="N1449" s="356"/>
      <c r="O1449" s="356"/>
      <c r="P1449" s="356"/>
      <c r="R1449" s="348" t="str">
        <f t="shared" si="56"/>
        <v>DELETE</v>
      </c>
    </row>
    <row r="1450" spans="2:18" ht="36" customHeight="1" x14ac:dyDescent="0.5">
      <c r="B1450" s="354"/>
      <c r="C1450" s="450"/>
      <c r="D1450" s="450"/>
      <c r="E1450" s="450"/>
      <c r="F1450" s="450"/>
      <c r="G1450" s="450"/>
      <c r="H1450" s="450"/>
      <c r="I1450" s="450"/>
      <c r="J1450" s="450"/>
      <c r="M1450" s="356"/>
      <c r="N1450" s="356"/>
      <c r="O1450" s="356"/>
      <c r="P1450" s="356"/>
      <c r="R1450" s="348" t="str">
        <f t="shared" si="56"/>
        <v>DELETE</v>
      </c>
    </row>
    <row r="1451" spans="2:18" ht="36" customHeight="1" x14ac:dyDescent="0.5">
      <c r="B1451" s="354"/>
      <c r="C1451" s="450"/>
      <c r="D1451" s="450"/>
      <c r="E1451" s="450"/>
      <c r="F1451" s="450"/>
      <c r="G1451" s="450"/>
      <c r="H1451" s="450"/>
      <c r="I1451" s="450"/>
      <c r="J1451" s="450"/>
      <c r="M1451" s="356"/>
      <c r="N1451" s="356"/>
      <c r="O1451" s="356"/>
      <c r="P1451" s="356"/>
      <c r="R1451" s="348" t="str">
        <f t="shared" si="56"/>
        <v>DELETE</v>
      </c>
    </row>
    <row r="1452" spans="2:18" ht="36" customHeight="1" x14ac:dyDescent="0.5">
      <c r="B1452" s="354"/>
      <c r="C1452" s="450"/>
      <c r="D1452" s="450"/>
      <c r="E1452" s="450"/>
      <c r="F1452" s="450"/>
      <c r="G1452" s="450"/>
      <c r="H1452" s="450"/>
      <c r="I1452" s="450"/>
      <c r="J1452" s="450"/>
      <c r="M1452" s="347"/>
      <c r="O1452" s="347"/>
      <c r="R1452" s="348" t="str">
        <f t="shared" si="56"/>
        <v>DELETE</v>
      </c>
    </row>
    <row r="1453" spans="2:18" ht="36" customHeight="1" x14ac:dyDescent="0.5">
      <c r="B1453" s="354"/>
      <c r="C1453" s="450"/>
      <c r="D1453" s="450"/>
      <c r="E1453" s="450"/>
      <c r="F1453" s="450"/>
      <c r="G1453" s="450"/>
      <c r="H1453" s="450"/>
      <c r="I1453" s="450"/>
      <c r="J1453" s="450"/>
      <c r="M1453" s="347"/>
      <c r="O1453" s="295" t="s">
        <v>89</v>
      </c>
      <c r="Q1453" s="292">
        <f>MAX($Q$105:Q1452)+1</f>
        <v>38</v>
      </c>
      <c r="R1453" s="348" t="str">
        <f t="shared" ref="R1453:R1464" si="61">R$1505</f>
        <v>DELETE</v>
      </c>
    </row>
    <row r="1454" spans="2:18" ht="36" customHeight="1" x14ac:dyDescent="0.5">
      <c r="B1454" s="354"/>
      <c r="C1454" s="450"/>
      <c r="D1454" s="456" t="str">
        <f>Criteria!E9</f>
        <v>HOLDING COMPANY 268 (PROPRIETARY) LIMITED</v>
      </c>
      <c r="E1454" s="450"/>
      <c r="F1454" s="450"/>
      <c r="G1454" s="450"/>
      <c r="H1454" s="450"/>
      <c r="I1454" s="450"/>
      <c r="J1454" s="450"/>
      <c r="M1454" s="347"/>
      <c r="O1454" s="347"/>
      <c r="R1454" s="348" t="str">
        <f t="shared" si="61"/>
        <v>DELETE</v>
      </c>
    </row>
    <row r="1455" spans="2:18" ht="36" customHeight="1" x14ac:dyDescent="0.5">
      <c r="B1455" s="354"/>
      <c r="C1455" s="450"/>
      <c r="D1455" s="456" t="str">
        <f>Criteria!E10</f>
        <v>CONSOLIDATED FINANCIAL STATEMENTS</v>
      </c>
      <c r="E1455" s="450"/>
      <c r="F1455" s="450"/>
      <c r="G1455" s="450"/>
      <c r="H1455" s="450"/>
      <c r="I1455" s="450"/>
      <c r="J1455" s="450"/>
      <c r="M1455" s="347"/>
      <c r="O1455" s="347"/>
      <c r="R1455" s="348" t="str">
        <f>IF(R$1505="DELETE","DELETE",IF(D1455=0,"DELETE"," "))</f>
        <v>DELETE</v>
      </c>
    </row>
    <row r="1456" spans="2:18" ht="36" customHeight="1" x14ac:dyDescent="0.5">
      <c r="B1456" s="354"/>
      <c r="C1456" s="450"/>
      <c r="D1456" s="450"/>
      <c r="E1456" s="450"/>
      <c r="F1456" s="450"/>
      <c r="G1456" s="450"/>
      <c r="H1456" s="450"/>
      <c r="I1456" s="450"/>
      <c r="J1456" s="450"/>
      <c r="M1456" s="347"/>
      <c r="O1456" s="347"/>
      <c r="R1456" s="348" t="str">
        <f t="shared" si="61"/>
        <v>DELETE</v>
      </c>
    </row>
    <row r="1457" spans="2:18" ht="36" customHeight="1" x14ac:dyDescent="0.5">
      <c r="B1457" s="354"/>
      <c r="C1457" s="450"/>
      <c r="D1457" s="456" t="s">
        <v>351</v>
      </c>
      <c r="E1457" s="450"/>
      <c r="F1457" s="450"/>
      <c r="G1457" s="450"/>
      <c r="H1457" s="450"/>
      <c r="I1457" s="450"/>
      <c r="J1457" s="450"/>
      <c r="M1457" s="347"/>
      <c r="O1457" s="347"/>
      <c r="R1457" s="348" t="str">
        <f t="shared" si="61"/>
        <v>DELETE</v>
      </c>
    </row>
    <row r="1458" spans="2:18" ht="36" customHeight="1" x14ac:dyDescent="0.5">
      <c r="B1458" s="354"/>
      <c r="C1458" s="450"/>
      <c r="D1458" s="456" t="str">
        <f>Criteria!E20</f>
        <v>28 FEBRUARY 2025</v>
      </c>
      <c r="E1458" s="450"/>
      <c r="F1458" s="450"/>
      <c r="G1458" s="450"/>
      <c r="H1458" s="450"/>
      <c r="I1458" s="450"/>
      <c r="J1458" s="450" t="s">
        <v>231</v>
      </c>
      <c r="M1458" s="347"/>
      <c r="O1458" s="347"/>
      <c r="R1458" s="348" t="str">
        <f t="shared" si="61"/>
        <v>DELETE</v>
      </c>
    </row>
    <row r="1459" spans="2:18" ht="36" customHeight="1" x14ac:dyDescent="0.5">
      <c r="B1459" s="354"/>
      <c r="C1459" s="450"/>
      <c r="D1459" s="450"/>
      <c r="E1459" s="450"/>
      <c r="F1459" s="450"/>
      <c r="G1459" s="450"/>
      <c r="H1459" s="450"/>
      <c r="I1459" s="450"/>
      <c r="J1459" s="450"/>
      <c r="M1459" s="347"/>
      <c r="O1459" s="347"/>
      <c r="R1459" s="348" t="str">
        <f t="shared" si="61"/>
        <v>DELETE</v>
      </c>
    </row>
    <row r="1460" spans="2:18" ht="36" customHeight="1" x14ac:dyDescent="0.5">
      <c r="B1460" s="368"/>
      <c r="C1460" s="460"/>
      <c r="D1460" s="460"/>
      <c r="E1460" s="460"/>
      <c r="F1460" s="460"/>
      <c r="G1460" s="460"/>
      <c r="H1460" s="460"/>
      <c r="I1460" s="460"/>
      <c r="J1460" s="460"/>
      <c r="K1460" s="364"/>
      <c r="L1460" s="364"/>
      <c r="M1460" s="367"/>
      <c r="N1460" s="367"/>
      <c r="O1460" s="367"/>
      <c r="P1460" s="367"/>
      <c r="Q1460" s="364"/>
      <c r="R1460" s="348" t="str">
        <f t="shared" si="61"/>
        <v>DELETE</v>
      </c>
    </row>
    <row r="1461" spans="2:18" ht="36" customHeight="1" x14ac:dyDescent="0.5">
      <c r="B1461" s="354"/>
      <c r="C1461" s="450"/>
      <c r="D1461" s="450"/>
      <c r="E1461" s="450"/>
      <c r="F1461" s="450"/>
      <c r="G1461" s="450"/>
      <c r="H1461" s="450"/>
      <c r="I1461" s="450"/>
      <c r="J1461" s="450"/>
      <c r="M1461" s="294">
        <f>Criteria!E22</f>
        <v>2025</v>
      </c>
      <c r="N1461" s="294"/>
      <c r="O1461" s="294">
        <f>Criteria!E27</f>
        <v>2024</v>
      </c>
      <c r="P1461" s="356"/>
      <c r="R1461" s="348" t="str">
        <f t="shared" si="61"/>
        <v>DELETE</v>
      </c>
    </row>
    <row r="1462" spans="2:18" ht="36" customHeight="1" x14ac:dyDescent="0.5">
      <c r="B1462" s="354"/>
      <c r="C1462" s="450"/>
      <c r="D1462" s="450"/>
      <c r="E1462" s="450"/>
      <c r="F1462" s="450"/>
      <c r="G1462" s="450"/>
      <c r="H1462" s="450"/>
      <c r="I1462" s="450"/>
      <c r="J1462" s="450"/>
      <c r="M1462" s="356"/>
      <c r="N1462" s="356"/>
      <c r="O1462" s="356"/>
      <c r="P1462" s="356"/>
      <c r="R1462" s="348" t="str">
        <f t="shared" si="61"/>
        <v>DELETE</v>
      </c>
    </row>
    <row r="1463" spans="2:18" ht="36" customHeight="1" x14ac:dyDescent="0.5">
      <c r="B1463" s="354"/>
      <c r="C1463" s="450" t="s">
        <v>1020</v>
      </c>
      <c r="D1463" s="450"/>
      <c r="E1463" s="450"/>
      <c r="F1463" s="450"/>
      <c r="G1463" s="450"/>
      <c r="H1463" s="450"/>
      <c r="I1463" s="450"/>
      <c r="J1463" s="450"/>
      <c r="M1463" s="356"/>
      <c r="N1463" s="356"/>
      <c r="O1463" s="356"/>
      <c r="P1463" s="356"/>
      <c r="R1463" s="348" t="str">
        <f t="shared" si="61"/>
        <v>DELETE</v>
      </c>
    </row>
    <row r="1464" spans="2:18" ht="36" customHeight="1" x14ac:dyDescent="0.5">
      <c r="B1464" s="354"/>
      <c r="C1464" s="450"/>
      <c r="D1464" s="450"/>
      <c r="E1464" s="450"/>
      <c r="F1464" s="450"/>
      <c r="G1464" s="450"/>
      <c r="H1464" s="450"/>
      <c r="I1464" s="450"/>
      <c r="J1464" s="450"/>
      <c r="M1464" s="356"/>
      <c r="N1464" s="356"/>
      <c r="O1464" s="356"/>
      <c r="P1464" s="356"/>
      <c r="R1464" s="348" t="str">
        <f t="shared" si="61"/>
        <v>DELETE</v>
      </c>
    </row>
    <row r="1465" spans="2:18" ht="36" customHeight="1" x14ac:dyDescent="0.5">
      <c r="B1465" s="354"/>
      <c r="C1465" s="450">
        <f>Criteria!C168</f>
        <v>0</v>
      </c>
      <c r="D1465" s="459"/>
      <c r="E1465" s="450"/>
      <c r="F1465" s="450"/>
      <c r="G1465" s="450"/>
      <c r="H1465" s="450"/>
      <c r="I1465" s="450"/>
      <c r="J1465" s="450"/>
      <c r="M1465" s="371">
        <f>Criteria!F168</f>
        <v>0</v>
      </c>
      <c r="N1465" s="371"/>
      <c r="O1465" s="371">
        <f>Criteria!G168</f>
        <v>0</v>
      </c>
      <c r="P1465" s="356"/>
      <c r="R1465" s="348" t="str">
        <f t="shared" ref="R1465:R1502" si="62">IF(M1465=0,IF(O1465=0,"DELETE"," ")," ")</f>
        <v>DELETE</v>
      </c>
    </row>
    <row r="1466" spans="2:18" ht="36" customHeight="1" x14ac:dyDescent="0.5">
      <c r="B1466" s="354"/>
      <c r="C1466" s="450">
        <f>Criteria!C169</f>
        <v>0</v>
      </c>
      <c r="D1466" s="459"/>
      <c r="E1466" s="450"/>
      <c r="F1466" s="450"/>
      <c r="G1466" s="450"/>
      <c r="H1466" s="450"/>
      <c r="I1466" s="450"/>
      <c r="J1466" s="450"/>
      <c r="M1466" s="371">
        <f>Criteria!F169</f>
        <v>0</v>
      </c>
      <c r="N1466" s="371"/>
      <c r="O1466" s="371">
        <f>Criteria!G169</f>
        <v>0</v>
      </c>
      <c r="P1466" s="356"/>
      <c r="R1466" s="348" t="str">
        <f t="shared" si="62"/>
        <v>DELETE</v>
      </c>
    </row>
    <row r="1467" spans="2:18" ht="36" customHeight="1" x14ac:dyDescent="0.5">
      <c r="B1467" s="354"/>
      <c r="C1467" s="450">
        <f>Criteria!C170</f>
        <v>0</v>
      </c>
      <c r="D1467" s="459"/>
      <c r="E1467" s="450"/>
      <c r="F1467" s="450"/>
      <c r="G1467" s="450"/>
      <c r="H1467" s="450"/>
      <c r="I1467" s="450"/>
      <c r="J1467" s="450"/>
      <c r="M1467" s="371">
        <f>Criteria!F170</f>
        <v>0</v>
      </c>
      <c r="N1467" s="371"/>
      <c r="O1467" s="371">
        <f>Criteria!G170</f>
        <v>0</v>
      </c>
      <c r="P1467" s="356"/>
      <c r="R1467" s="348" t="str">
        <f t="shared" si="62"/>
        <v>DELETE</v>
      </c>
    </row>
    <row r="1468" spans="2:18" ht="36" customHeight="1" x14ac:dyDescent="0.5">
      <c r="B1468" s="354"/>
      <c r="C1468" s="450">
        <f>Criteria!C171</f>
        <v>0</v>
      </c>
      <c r="D1468" s="459"/>
      <c r="E1468" s="450"/>
      <c r="F1468" s="450"/>
      <c r="G1468" s="450"/>
      <c r="H1468" s="450"/>
      <c r="I1468" s="450"/>
      <c r="J1468" s="450"/>
      <c r="M1468" s="371">
        <f>Criteria!F171</f>
        <v>0</v>
      </c>
      <c r="N1468" s="371"/>
      <c r="O1468" s="371">
        <f>Criteria!G171</f>
        <v>0</v>
      </c>
      <c r="P1468" s="356"/>
      <c r="R1468" s="348" t="str">
        <f t="shared" si="62"/>
        <v>DELETE</v>
      </c>
    </row>
    <row r="1469" spans="2:18" ht="36" customHeight="1" x14ac:dyDescent="0.5">
      <c r="B1469" s="354"/>
      <c r="C1469" s="450">
        <f>Criteria!C172</f>
        <v>0</v>
      </c>
      <c r="D1469" s="459"/>
      <c r="E1469" s="450"/>
      <c r="F1469" s="450"/>
      <c r="G1469" s="450"/>
      <c r="H1469" s="450"/>
      <c r="I1469" s="450"/>
      <c r="J1469" s="450"/>
      <c r="M1469" s="371">
        <f>Criteria!F172</f>
        <v>0</v>
      </c>
      <c r="N1469" s="371"/>
      <c r="O1469" s="371">
        <f>Criteria!G172</f>
        <v>0</v>
      </c>
      <c r="P1469" s="356"/>
      <c r="R1469" s="348" t="str">
        <f t="shared" si="62"/>
        <v>DELETE</v>
      </c>
    </row>
    <row r="1470" spans="2:18" ht="36" customHeight="1" x14ac:dyDescent="0.5">
      <c r="B1470" s="354"/>
      <c r="C1470" s="450">
        <f>Criteria!C173</f>
        <v>0</v>
      </c>
      <c r="D1470" s="459"/>
      <c r="E1470" s="450"/>
      <c r="F1470" s="450"/>
      <c r="G1470" s="450"/>
      <c r="H1470" s="450"/>
      <c r="I1470" s="450"/>
      <c r="J1470" s="450"/>
      <c r="M1470" s="371">
        <f>Criteria!F173</f>
        <v>0</v>
      </c>
      <c r="N1470" s="371"/>
      <c r="O1470" s="371">
        <f>Criteria!G173</f>
        <v>0</v>
      </c>
      <c r="P1470" s="356"/>
      <c r="R1470" s="348" t="str">
        <f t="shared" si="62"/>
        <v>DELETE</v>
      </c>
    </row>
    <row r="1471" spans="2:18" ht="36" customHeight="1" x14ac:dyDescent="0.5">
      <c r="B1471" s="354"/>
      <c r="C1471" s="450">
        <f>Criteria!C174</f>
        <v>0</v>
      </c>
      <c r="D1471" s="459"/>
      <c r="E1471" s="450"/>
      <c r="F1471" s="450"/>
      <c r="G1471" s="450"/>
      <c r="H1471" s="450"/>
      <c r="I1471" s="450"/>
      <c r="J1471" s="450"/>
      <c r="M1471" s="371">
        <f>Criteria!F174</f>
        <v>0</v>
      </c>
      <c r="N1471" s="371"/>
      <c r="O1471" s="371">
        <f>Criteria!G174</f>
        <v>0</v>
      </c>
      <c r="P1471" s="356"/>
      <c r="R1471" s="348" t="str">
        <f t="shared" si="62"/>
        <v>DELETE</v>
      </c>
    </row>
    <row r="1472" spans="2:18" ht="36" customHeight="1" x14ac:dyDescent="0.5">
      <c r="B1472" s="354"/>
      <c r="C1472" s="450">
        <f>Criteria!C175</f>
        <v>0</v>
      </c>
      <c r="D1472" s="459"/>
      <c r="E1472" s="450"/>
      <c r="F1472" s="450"/>
      <c r="G1472" s="450"/>
      <c r="H1472" s="450"/>
      <c r="I1472" s="450"/>
      <c r="J1472" s="450"/>
      <c r="M1472" s="371">
        <f>Criteria!F175</f>
        <v>0</v>
      </c>
      <c r="N1472" s="371"/>
      <c r="O1472" s="371">
        <f>Criteria!G175</f>
        <v>0</v>
      </c>
      <c r="P1472" s="356"/>
      <c r="R1472" s="348" t="str">
        <f t="shared" si="62"/>
        <v>DELETE</v>
      </c>
    </row>
    <row r="1473" spans="2:18" ht="36" customHeight="1" x14ac:dyDescent="0.5">
      <c r="B1473" s="354"/>
      <c r="C1473" s="450">
        <f>Criteria!C176</f>
        <v>0</v>
      </c>
      <c r="D1473" s="459"/>
      <c r="E1473" s="450"/>
      <c r="F1473" s="450"/>
      <c r="G1473" s="450"/>
      <c r="H1473" s="450"/>
      <c r="I1473" s="450"/>
      <c r="J1473" s="450"/>
      <c r="M1473" s="371">
        <f>Criteria!F176</f>
        <v>0</v>
      </c>
      <c r="N1473" s="371"/>
      <c r="O1473" s="371">
        <f>Criteria!G176</f>
        <v>0</v>
      </c>
      <c r="P1473" s="356"/>
      <c r="R1473" s="348" t="str">
        <f t="shared" si="62"/>
        <v>DELETE</v>
      </c>
    </row>
    <row r="1474" spans="2:18" ht="36" customHeight="1" x14ac:dyDescent="0.5">
      <c r="B1474" s="354"/>
      <c r="C1474" s="450">
        <f>Criteria!C177</f>
        <v>0</v>
      </c>
      <c r="D1474" s="459"/>
      <c r="E1474" s="450"/>
      <c r="F1474" s="450"/>
      <c r="G1474" s="450"/>
      <c r="H1474" s="450"/>
      <c r="I1474" s="450"/>
      <c r="J1474" s="450"/>
      <c r="M1474" s="371">
        <f>Criteria!F177</f>
        <v>0</v>
      </c>
      <c r="N1474" s="371"/>
      <c r="O1474" s="371">
        <f>Criteria!G177</f>
        <v>0</v>
      </c>
      <c r="P1474" s="356"/>
      <c r="R1474" s="348" t="str">
        <f t="shared" si="62"/>
        <v>DELETE</v>
      </c>
    </row>
    <row r="1475" spans="2:18" ht="36" customHeight="1" x14ac:dyDescent="0.5">
      <c r="B1475" s="354"/>
      <c r="C1475" s="450">
        <f>Criteria!C178</f>
        <v>0</v>
      </c>
      <c r="D1475" s="459"/>
      <c r="E1475" s="450"/>
      <c r="F1475" s="450"/>
      <c r="G1475" s="450"/>
      <c r="H1475" s="450"/>
      <c r="I1475" s="450"/>
      <c r="J1475" s="450"/>
      <c r="M1475" s="371">
        <f>Criteria!F178</f>
        <v>0</v>
      </c>
      <c r="N1475" s="371"/>
      <c r="O1475" s="371">
        <f>Criteria!G178</f>
        <v>0</v>
      </c>
      <c r="P1475" s="356"/>
      <c r="R1475" s="348" t="str">
        <f t="shared" si="62"/>
        <v>DELETE</v>
      </c>
    </row>
    <row r="1476" spans="2:18" ht="36" customHeight="1" x14ac:dyDescent="0.5">
      <c r="B1476" s="354"/>
      <c r="C1476" s="450">
        <f>Criteria!C179</f>
        <v>0</v>
      </c>
      <c r="D1476" s="459"/>
      <c r="E1476" s="450"/>
      <c r="F1476" s="450"/>
      <c r="G1476" s="450"/>
      <c r="H1476" s="450"/>
      <c r="I1476" s="450"/>
      <c r="J1476" s="450"/>
      <c r="M1476" s="371">
        <f>Criteria!F179</f>
        <v>0</v>
      </c>
      <c r="N1476" s="371"/>
      <c r="O1476" s="371">
        <f>Criteria!G179</f>
        <v>0</v>
      </c>
      <c r="P1476" s="356"/>
      <c r="R1476" s="348" t="str">
        <f t="shared" si="62"/>
        <v>DELETE</v>
      </c>
    </row>
    <row r="1477" spans="2:18" ht="36" customHeight="1" x14ac:dyDescent="0.5">
      <c r="B1477" s="354"/>
      <c r="C1477" s="450">
        <f>Criteria!C180</f>
        <v>0</v>
      </c>
      <c r="D1477" s="459"/>
      <c r="E1477" s="450"/>
      <c r="F1477" s="450"/>
      <c r="G1477" s="450"/>
      <c r="H1477" s="450"/>
      <c r="I1477" s="450"/>
      <c r="J1477" s="450"/>
      <c r="M1477" s="371">
        <f>Criteria!F180</f>
        <v>0</v>
      </c>
      <c r="N1477" s="371"/>
      <c r="O1477" s="371">
        <f>Criteria!G180</f>
        <v>0</v>
      </c>
      <c r="P1477" s="356"/>
      <c r="R1477" s="348" t="str">
        <f t="shared" si="62"/>
        <v>DELETE</v>
      </c>
    </row>
    <row r="1478" spans="2:18" ht="36" customHeight="1" x14ac:dyDescent="0.5">
      <c r="B1478" s="354"/>
      <c r="C1478" s="450">
        <f>Criteria!C181</f>
        <v>0</v>
      </c>
      <c r="D1478" s="459"/>
      <c r="E1478" s="450"/>
      <c r="F1478" s="450"/>
      <c r="G1478" s="450"/>
      <c r="H1478" s="450"/>
      <c r="I1478" s="450"/>
      <c r="J1478" s="450"/>
      <c r="M1478" s="371">
        <f>Criteria!F181</f>
        <v>0</v>
      </c>
      <c r="N1478" s="371"/>
      <c r="O1478" s="371">
        <f>Criteria!G181</f>
        <v>0</v>
      </c>
      <c r="P1478" s="356"/>
      <c r="R1478" s="348" t="str">
        <f t="shared" si="62"/>
        <v>DELETE</v>
      </c>
    </row>
    <row r="1479" spans="2:18" ht="36" customHeight="1" x14ac:dyDescent="0.5">
      <c r="B1479" s="354"/>
      <c r="C1479" s="450">
        <f>Criteria!C182</f>
        <v>0</v>
      </c>
      <c r="D1479" s="459"/>
      <c r="E1479" s="450"/>
      <c r="F1479" s="450"/>
      <c r="G1479" s="450"/>
      <c r="H1479" s="450"/>
      <c r="I1479" s="450"/>
      <c r="J1479" s="450"/>
      <c r="M1479" s="371">
        <f>Criteria!F182</f>
        <v>0</v>
      </c>
      <c r="N1479" s="371"/>
      <c r="O1479" s="371">
        <f>Criteria!G182</f>
        <v>0</v>
      </c>
      <c r="P1479" s="356"/>
      <c r="R1479" s="348" t="str">
        <f t="shared" si="62"/>
        <v>DELETE</v>
      </c>
    </row>
    <row r="1480" spans="2:18" ht="36" customHeight="1" x14ac:dyDescent="0.5">
      <c r="B1480" s="354"/>
      <c r="C1480" s="450">
        <f>Criteria!C183</f>
        <v>0</v>
      </c>
      <c r="D1480" s="459"/>
      <c r="E1480" s="450"/>
      <c r="F1480" s="450"/>
      <c r="G1480" s="450"/>
      <c r="H1480" s="450"/>
      <c r="I1480" s="450"/>
      <c r="J1480" s="450"/>
      <c r="M1480" s="371">
        <f>Criteria!F183</f>
        <v>0</v>
      </c>
      <c r="N1480" s="371"/>
      <c r="O1480" s="371">
        <f>Criteria!G183</f>
        <v>0</v>
      </c>
      <c r="P1480" s="356"/>
      <c r="R1480" s="348" t="str">
        <f t="shared" si="62"/>
        <v>DELETE</v>
      </c>
    </row>
    <row r="1481" spans="2:18" ht="36" customHeight="1" x14ac:dyDescent="0.5">
      <c r="B1481" s="354"/>
      <c r="C1481" s="450">
        <f>Criteria!C184</f>
        <v>0</v>
      </c>
      <c r="D1481" s="459"/>
      <c r="E1481" s="450"/>
      <c r="F1481" s="450"/>
      <c r="G1481" s="450"/>
      <c r="H1481" s="450"/>
      <c r="I1481" s="450"/>
      <c r="J1481" s="450"/>
      <c r="M1481" s="371">
        <f>Criteria!F184</f>
        <v>0</v>
      </c>
      <c r="N1481" s="371"/>
      <c r="O1481" s="371">
        <f>Criteria!G184</f>
        <v>0</v>
      </c>
      <c r="P1481" s="356"/>
      <c r="R1481" s="348" t="str">
        <f t="shared" si="62"/>
        <v>DELETE</v>
      </c>
    </row>
    <row r="1482" spans="2:18" ht="36" customHeight="1" x14ac:dyDescent="0.5">
      <c r="B1482" s="354"/>
      <c r="C1482" s="450">
        <f>Criteria!C185</f>
        <v>0</v>
      </c>
      <c r="D1482" s="459"/>
      <c r="E1482" s="450"/>
      <c r="F1482" s="450"/>
      <c r="G1482" s="450"/>
      <c r="H1482" s="450"/>
      <c r="I1482" s="450"/>
      <c r="J1482" s="450"/>
      <c r="M1482" s="371">
        <f>Criteria!F185</f>
        <v>0</v>
      </c>
      <c r="N1482" s="371"/>
      <c r="O1482" s="371">
        <f>Criteria!G185</f>
        <v>0</v>
      </c>
      <c r="P1482" s="356"/>
      <c r="R1482" s="348" t="str">
        <f t="shared" si="62"/>
        <v>DELETE</v>
      </c>
    </row>
    <row r="1483" spans="2:18" ht="36" customHeight="1" x14ac:dyDescent="0.5">
      <c r="B1483" s="354"/>
      <c r="C1483" s="450">
        <f>Criteria!C186</f>
        <v>0</v>
      </c>
      <c r="D1483" s="459"/>
      <c r="E1483" s="450"/>
      <c r="F1483" s="450"/>
      <c r="G1483" s="450"/>
      <c r="H1483" s="450"/>
      <c r="I1483" s="450"/>
      <c r="J1483" s="450"/>
      <c r="M1483" s="371">
        <f>Criteria!F186</f>
        <v>0</v>
      </c>
      <c r="N1483" s="371"/>
      <c r="O1483" s="371">
        <f>Criteria!G186</f>
        <v>0</v>
      </c>
      <c r="P1483" s="356"/>
      <c r="R1483" s="348" t="str">
        <f t="shared" si="62"/>
        <v>DELETE</v>
      </c>
    </row>
    <row r="1484" spans="2:18" ht="36" customHeight="1" x14ac:dyDescent="0.5">
      <c r="B1484" s="354"/>
      <c r="C1484" s="450">
        <f>Criteria!C187</f>
        <v>0</v>
      </c>
      <c r="D1484" s="459"/>
      <c r="E1484" s="450"/>
      <c r="F1484" s="450"/>
      <c r="G1484" s="450"/>
      <c r="H1484" s="450"/>
      <c r="I1484" s="450"/>
      <c r="J1484" s="450"/>
      <c r="M1484" s="371">
        <f>Criteria!F187</f>
        <v>0</v>
      </c>
      <c r="N1484" s="371"/>
      <c r="O1484" s="371">
        <f>Criteria!G187</f>
        <v>0</v>
      </c>
      <c r="P1484" s="356"/>
      <c r="R1484" s="348" t="str">
        <f t="shared" si="62"/>
        <v>DELETE</v>
      </c>
    </row>
    <row r="1485" spans="2:18" ht="36" customHeight="1" x14ac:dyDescent="0.5">
      <c r="B1485" s="354"/>
      <c r="C1485" s="450">
        <f>Criteria!C188</f>
        <v>0</v>
      </c>
      <c r="D1485" s="459"/>
      <c r="E1485" s="450"/>
      <c r="F1485" s="450"/>
      <c r="G1485" s="450"/>
      <c r="H1485" s="450"/>
      <c r="I1485" s="450"/>
      <c r="J1485" s="450"/>
      <c r="M1485" s="371">
        <f>Criteria!F188</f>
        <v>0</v>
      </c>
      <c r="N1485" s="371"/>
      <c r="O1485" s="371">
        <f>Criteria!G188</f>
        <v>0</v>
      </c>
      <c r="P1485" s="356"/>
      <c r="R1485" s="348" t="str">
        <f t="shared" si="62"/>
        <v>DELETE</v>
      </c>
    </row>
    <row r="1486" spans="2:18" ht="36" customHeight="1" x14ac:dyDescent="0.5">
      <c r="B1486" s="354"/>
      <c r="C1486" s="450">
        <f>Criteria!C189</f>
        <v>0</v>
      </c>
      <c r="D1486" s="459"/>
      <c r="E1486" s="450"/>
      <c r="F1486" s="450"/>
      <c r="G1486" s="450"/>
      <c r="H1486" s="450"/>
      <c r="I1486" s="450"/>
      <c r="J1486" s="450"/>
      <c r="M1486" s="371">
        <f>Criteria!F189</f>
        <v>0</v>
      </c>
      <c r="N1486" s="371"/>
      <c r="O1486" s="371">
        <f>Criteria!G189</f>
        <v>0</v>
      </c>
      <c r="P1486" s="356"/>
      <c r="R1486" s="348" t="str">
        <f t="shared" si="62"/>
        <v>DELETE</v>
      </c>
    </row>
    <row r="1487" spans="2:18" ht="36" customHeight="1" x14ac:dyDescent="0.5">
      <c r="B1487" s="354"/>
      <c r="C1487" s="450">
        <f>Criteria!C190</f>
        <v>0</v>
      </c>
      <c r="D1487" s="459"/>
      <c r="E1487" s="450"/>
      <c r="F1487" s="450"/>
      <c r="G1487" s="450"/>
      <c r="H1487" s="450"/>
      <c r="I1487" s="450"/>
      <c r="J1487" s="450"/>
      <c r="M1487" s="371">
        <f>Criteria!F190</f>
        <v>0</v>
      </c>
      <c r="N1487" s="371"/>
      <c r="O1487" s="371">
        <f>Criteria!G190</f>
        <v>0</v>
      </c>
      <c r="P1487" s="356"/>
      <c r="R1487" s="348" t="str">
        <f t="shared" si="62"/>
        <v>DELETE</v>
      </c>
    </row>
    <row r="1488" spans="2:18" ht="36" customHeight="1" x14ac:dyDescent="0.5">
      <c r="B1488" s="354"/>
      <c r="C1488" s="450">
        <f>Criteria!C191</f>
        <v>0</v>
      </c>
      <c r="D1488" s="459"/>
      <c r="E1488" s="450"/>
      <c r="F1488" s="450"/>
      <c r="G1488" s="450"/>
      <c r="H1488" s="450"/>
      <c r="I1488" s="450"/>
      <c r="J1488" s="450"/>
      <c r="M1488" s="371">
        <f>Criteria!F191</f>
        <v>0</v>
      </c>
      <c r="N1488" s="371"/>
      <c r="O1488" s="371">
        <f>Criteria!G191</f>
        <v>0</v>
      </c>
      <c r="P1488" s="356"/>
      <c r="R1488" s="348" t="str">
        <f t="shared" si="62"/>
        <v>DELETE</v>
      </c>
    </row>
    <row r="1489" spans="2:18" ht="36" customHeight="1" x14ac:dyDescent="0.5">
      <c r="B1489" s="354"/>
      <c r="C1489" s="450">
        <f>Criteria!C192</f>
        <v>0</v>
      </c>
      <c r="D1489" s="459"/>
      <c r="E1489" s="450"/>
      <c r="F1489" s="450"/>
      <c r="G1489" s="450"/>
      <c r="H1489" s="450"/>
      <c r="I1489" s="450"/>
      <c r="J1489" s="450"/>
      <c r="M1489" s="371">
        <f>Criteria!F192</f>
        <v>0</v>
      </c>
      <c r="N1489" s="371"/>
      <c r="O1489" s="371">
        <f>Criteria!G192</f>
        <v>0</v>
      </c>
      <c r="P1489" s="356"/>
      <c r="R1489" s="348" t="str">
        <f t="shared" si="62"/>
        <v>DELETE</v>
      </c>
    </row>
    <row r="1490" spans="2:18" ht="36" customHeight="1" x14ac:dyDescent="0.5">
      <c r="B1490" s="354"/>
      <c r="C1490" s="450">
        <f>Criteria!C193</f>
        <v>0</v>
      </c>
      <c r="D1490" s="459"/>
      <c r="E1490" s="450"/>
      <c r="F1490" s="450"/>
      <c r="G1490" s="450"/>
      <c r="H1490" s="450"/>
      <c r="I1490" s="450"/>
      <c r="J1490" s="450"/>
      <c r="M1490" s="371">
        <f>Criteria!F193</f>
        <v>0</v>
      </c>
      <c r="N1490" s="371"/>
      <c r="O1490" s="371">
        <f>Criteria!G193</f>
        <v>0</v>
      </c>
      <c r="P1490" s="356"/>
      <c r="R1490" s="348" t="str">
        <f t="shared" si="62"/>
        <v>DELETE</v>
      </c>
    </row>
    <row r="1491" spans="2:18" ht="36" customHeight="1" x14ac:dyDescent="0.5">
      <c r="B1491" s="354"/>
      <c r="C1491" s="450">
        <f>Criteria!C194</f>
        <v>0</v>
      </c>
      <c r="D1491" s="459"/>
      <c r="E1491" s="450"/>
      <c r="F1491" s="450"/>
      <c r="G1491" s="450"/>
      <c r="H1491" s="450"/>
      <c r="I1491" s="450"/>
      <c r="J1491" s="450"/>
      <c r="M1491" s="371">
        <f>Criteria!F194</f>
        <v>0</v>
      </c>
      <c r="N1491" s="371"/>
      <c r="O1491" s="371">
        <f>Criteria!G194</f>
        <v>0</v>
      </c>
      <c r="P1491" s="356"/>
      <c r="R1491" s="348" t="str">
        <f t="shared" si="62"/>
        <v>DELETE</v>
      </c>
    </row>
    <row r="1492" spans="2:18" ht="36" customHeight="1" x14ac:dyDescent="0.5">
      <c r="B1492" s="354"/>
      <c r="C1492" s="450">
        <f>Criteria!C195</f>
        <v>0</v>
      </c>
      <c r="D1492" s="459"/>
      <c r="E1492" s="450"/>
      <c r="F1492" s="450"/>
      <c r="G1492" s="450"/>
      <c r="H1492" s="450"/>
      <c r="I1492" s="450"/>
      <c r="J1492" s="450"/>
      <c r="M1492" s="371">
        <f>Criteria!F195</f>
        <v>0</v>
      </c>
      <c r="N1492" s="371"/>
      <c r="O1492" s="371">
        <f>Criteria!G195</f>
        <v>0</v>
      </c>
      <c r="P1492" s="356"/>
      <c r="R1492" s="348" t="str">
        <f t="shared" si="62"/>
        <v>DELETE</v>
      </c>
    </row>
    <row r="1493" spans="2:18" ht="36" customHeight="1" x14ac:dyDescent="0.5">
      <c r="B1493" s="354"/>
      <c r="C1493" s="450">
        <f>Criteria!C196</f>
        <v>0</v>
      </c>
      <c r="D1493" s="459"/>
      <c r="E1493" s="450"/>
      <c r="F1493" s="450"/>
      <c r="G1493" s="450"/>
      <c r="H1493" s="450"/>
      <c r="I1493" s="450"/>
      <c r="J1493" s="450"/>
      <c r="M1493" s="371">
        <f>Criteria!F196</f>
        <v>0</v>
      </c>
      <c r="N1493" s="371"/>
      <c r="O1493" s="371">
        <f>Criteria!G196</f>
        <v>0</v>
      </c>
      <c r="P1493" s="356"/>
      <c r="R1493" s="348" t="str">
        <f t="shared" si="62"/>
        <v>DELETE</v>
      </c>
    </row>
    <row r="1494" spans="2:18" ht="36" customHeight="1" x14ac:dyDescent="0.5">
      <c r="B1494" s="354"/>
      <c r="C1494" s="450">
        <f>Criteria!C197</f>
        <v>0</v>
      </c>
      <c r="D1494" s="459"/>
      <c r="E1494" s="450"/>
      <c r="F1494" s="450"/>
      <c r="G1494" s="450"/>
      <c r="H1494" s="450"/>
      <c r="I1494" s="450"/>
      <c r="J1494" s="450"/>
      <c r="M1494" s="371">
        <f>Criteria!F197</f>
        <v>0</v>
      </c>
      <c r="N1494" s="371"/>
      <c r="O1494" s="371">
        <f>Criteria!G197</f>
        <v>0</v>
      </c>
      <c r="P1494" s="356"/>
      <c r="R1494" s="348" t="str">
        <f t="shared" si="62"/>
        <v>DELETE</v>
      </c>
    </row>
    <row r="1495" spans="2:18" ht="36" customHeight="1" x14ac:dyDescent="0.5">
      <c r="B1495" s="354"/>
      <c r="C1495" s="450">
        <f>Criteria!C198</f>
        <v>0</v>
      </c>
      <c r="D1495" s="459"/>
      <c r="E1495" s="450"/>
      <c r="F1495" s="450"/>
      <c r="G1495" s="450"/>
      <c r="H1495" s="450"/>
      <c r="I1495" s="450"/>
      <c r="J1495" s="450"/>
      <c r="M1495" s="371">
        <f>Criteria!F198</f>
        <v>0</v>
      </c>
      <c r="N1495" s="371"/>
      <c r="O1495" s="371">
        <f>Criteria!G198</f>
        <v>0</v>
      </c>
      <c r="P1495" s="356"/>
      <c r="R1495" s="348" t="str">
        <f t="shared" si="62"/>
        <v>DELETE</v>
      </c>
    </row>
    <row r="1496" spans="2:18" ht="36" customHeight="1" x14ac:dyDescent="0.5">
      <c r="B1496" s="354"/>
      <c r="C1496" s="450">
        <f>Criteria!C199</f>
        <v>0</v>
      </c>
      <c r="D1496" s="459"/>
      <c r="E1496" s="450"/>
      <c r="F1496" s="450"/>
      <c r="G1496" s="450"/>
      <c r="H1496" s="450"/>
      <c r="I1496" s="450"/>
      <c r="J1496" s="450"/>
      <c r="M1496" s="371">
        <f>Criteria!F199</f>
        <v>0</v>
      </c>
      <c r="N1496" s="371"/>
      <c r="O1496" s="371">
        <f>Criteria!G199</f>
        <v>0</v>
      </c>
      <c r="P1496" s="356"/>
      <c r="R1496" s="348" t="str">
        <f t="shared" si="62"/>
        <v>DELETE</v>
      </c>
    </row>
    <row r="1497" spans="2:18" ht="36" customHeight="1" x14ac:dyDescent="0.5">
      <c r="B1497" s="354"/>
      <c r="C1497" s="450">
        <f>Criteria!C200</f>
        <v>0</v>
      </c>
      <c r="D1497" s="459"/>
      <c r="E1497" s="450"/>
      <c r="F1497" s="450"/>
      <c r="G1497" s="450"/>
      <c r="H1497" s="450"/>
      <c r="I1497" s="450"/>
      <c r="J1497" s="450"/>
      <c r="M1497" s="371">
        <f>Criteria!F200</f>
        <v>0</v>
      </c>
      <c r="N1497" s="371"/>
      <c r="O1497" s="371">
        <f>Criteria!G200</f>
        <v>0</v>
      </c>
      <c r="P1497" s="356"/>
      <c r="R1497" s="348" t="str">
        <f t="shared" si="62"/>
        <v>DELETE</v>
      </c>
    </row>
    <row r="1498" spans="2:18" ht="36" customHeight="1" x14ac:dyDescent="0.5">
      <c r="B1498" s="354"/>
      <c r="C1498" s="450">
        <f>Criteria!C201</f>
        <v>0</v>
      </c>
      <c r="D1498" s="459"/>
      <c r="E1498" s="450"/>
      <c r="F1498" s="450"/>
      <c r="G1498" s="450"/>
      <c r="H1498" s="450"/>
      <c r="I1498" s="450"/>
      <c r="J1498" s="450"/>
      <c r="M1498" s="371">
        <f>Criteria!F201</f>
        <v>0</v>
      </c>
      <c r="N1498" s="371"/>
      <c r="O1498" s="371">
        <f>Criteria!G201</f>
        <v>0</v>
      </c>
      <c r="P1498" s="356"/>
      <c r="R1498" s="348" t="str">
        <f t="shared" si="62"/>
        <v>DELETE</v>
      </c>
    </row>
    <row r="1499" spans="2:18" ht="36" customHeight="1" x14ac:dyDescent="0.5">
      <c r="B1499" s="354"/>
      <c r="C1499" s="450">
        <f>Criteria!C202</f>
        <v>0</v>
      </c>
      <c r="D1499" s="459"/>
      <c r="E1499" s="450"/>
      <c r="F1499" s="450"/>
      <c r="G1499" s="450"/>
      <c r="H1499" s="450"/>
      <c r="I1499" s="450"/>
      <c r="J1499" s="450"/>
      <c r="M1499" s="371">
        <f>Criteria!F202</f>
        <v>0</v>
      </c>
      <c r="N1499" s="371"/>
      <c r="O1499" s="371">
        <f>Criteria!G202</f>
        <v>0</v>
      </c>
      <c r="P1499" s="356"/>
      <c r="R1499" s="348" t="str">
        <f t="shared" si="62"/>
        <v>DELETE</v>
      </c>
    </row>
    <row r="1500" spans="2:18" ht="36" customHeight="1" x14ac:dyDescent="0.5">
      <c r="B1500" s="354"/>
      <c r="C1500" s="450">
        <f>Criteria!C203</f>
        <v>0</v>
      </c>
      <c r="D1500" s="459"/>
      <c r="E1500" s="450"/>
      <c r="F1500" s="450"/>
      <c r="G1500" s="450"/>
      <c r="H1500" s="450"/>
      <c r="I1500" s="450"/>
      <c r="J1500" s="450"/>
      <c r="M1500" s="371">
        <f>Criteria!F203</f>
        <v>0</v>
      </c>
      <c r="N1500" s="371"/>
      <c r="O1500" s="371">
        <f>Criteria!G203</f>
        <v>0</v>
      </c>
      <c r="P1500" s="356"/>
      <c r="R1500" s="348" t="str">
        <f t="shared" si="62"/>
        <v>DELETE</v>
      </c>
    </row>
    <row r="1501" spans="2:18" ht="36" customHeight="1" x14ac:dyDescent="0.5">
      <c r="B1501" s="354"/>
      <c r="C1501" s="450">
        <f>Criteria!C204</f>
        <v>0</v>
      </c>
      <c r="D1501" s="459"/>
      <c r="E1501" s="450"/>
      <c r="F1501" s="450"/>
      <c r="G1501" s="450"/>
      <c r="H1501" s="450"/>
      <c r="I1501" s="450"/>
      <c r="J1501" s="450"/>
      <c r="M1501" s="371">
        <f>Criteria!F204</f>
        <v>0</v>
      </c>
      <c r="N1501" s="371"/>
      <c r="O1501" s="371">
        <f>Criteria!G204</f>
        <v>0</v>
      </c>
      <c r="P1501" s="356"/>
      <c r="R1501" s="348" t="str">
        <f t="shared" si="62"/>
        <v>DELETE</v>
      </c>
    </row>
    <row r="1502" spans="2:18" ht="36" customHeight="1" x14ac:dyDescent="0.5">
      <c r="B1502" s="354"/>
      <c r="C1502" s="450">
        <f>Criteria!C205</f>
        <v>0</v>
      </c>
      <c r="D1502" s="459"/>
      <c r="E1502" s="450"/>
      <c r="F1502" s="450"/>
      <c r="G1502" s="450"/>
      <c r="H1502" s="450"/>
      <c r="I1502" s="450"/>
      <c r="J1502" s="450"/>
      <c r="M1502" s="371">
        <f>Criteria!F205</f>
        <v>0</v>
      </c>
      <c r="N1502" s="371"/>
      <c r="O1502" s="371">
        <f>Criteria!G205</f>
        <v>0</v>
      </c>
      <c r="P1502" s="356"/>
      <c r="R1502" s="348" t="str">
        <f t="shared" si="62"/>
        <v>DELETE</v>
      </c>
    </row>
    <row r="1503" spans="2:18" ht="9" customHeight="1" x14ac:dyDescent="0.5">
      <c r="B1503" s="354"/>
      <c r="C1503" s="450"/>
      <c r="D1503" s="450"/>
      <c r="E1503" s="450"/>
      <c r="F1503" s="450"/>
      <c r="G1503" s="450"/>
      <c r="H1503" s="450"/>
      <c r="I1503" s="450"/>
      <c r="J1503" s="450"/>
      <c r="M1503" s="361"/>
      <c r="N1503" s="361"/>
      <c r="O1503" s="361"/>
      <c r="P1503" s="356"/>
      <c r="R1503" s="348" t="str">
        <f>R$1505</f>
        <v>DELETE</v>
      </c>
    </row>
    <row r="1504" spans="2:18" ht="9" customHeight="1" x14ac:dyDescent="0.5">
      <c r="B1504" s="354"/>
      <c r="C1504" s="450"/>
      <c r="D1504" s="450"/>
      <c r="E1504" s="450"/>
      <c r="F1504" s="450"/>
      <c r="G1504" s="450"/>
      <c r="H1504" s="450"/>
      <c r="I1504" s="450"/>
      <c r="J1504" s="450"/>
      <c r="M1504" s="356"/>
      <c r="N1504" s="356"/>
      <c r="O1504" s="356"/>
      <c r="P1504" s="356"/>
      <c r="R1504" s="348" t="str">
        <f>R$1505</f>
        <v>DELETE</v>
      </c>
    </row>
    <row r="1505" spans="2:24" ht="36.75" customHeight="1" x14ac:dyDescent="0.5">
      <c r="B1505" s="354"/>
      <c r="C1505" s="450"/>
      <c r="D1505" s="450"/>
      <c r="E1505" s="450"/>
      <c r="F1505" s="450"/>
      <c r="G1505" s="450"/>
      <c r="H1505" s="450"/>
      <c r="I1505" s="450"/>
      <c r="J1505" s="450"/>
      <c r="M1505" s="371">
        <f>SUM(M1465:M1503)</f>
        <v>0</v>
      </c>
      <c r="N1505" s="356"/>
      <c r="O1505" s="371">
        <f>SUM(O1465:O1503)</f>
        <v>0</v>
      </c>
      <c r="P1505" s="356"/>
      <c r="R1505" s="348" t="str">
        <f t="shared" ref="R1505" si="63">IF(M1505=0,IF(O1505=0,"DELETE"," ")," ")</f>
        <v>DELETE</v>
      </c>
      <c r="V1505" s="331" t="b">
        <f>M1505=M1439</f>
        <v>1</v>
      </c>
      <c r="X1505" s="331" t="b">
        <f>O1505=O1439</f>
        <v>1</v>
      </c>
    </row>
    <row r="1506" spans="2:24" ht="9" customHeight="1" thickBot="1" x14ac:dyDescent="0.55000000000000004">
      <c r="B1506" s="354"/>
      <c r="C1506" s="450"/>
      <c r="D1506" s="450"/>
      <c r="E1506" s="450"/>
      <c r="F1506" s="450"/>
      <c r="G1506" s="450"/>
      <c r="H1506" s="450"/>
      <c r="I1506" s="450"/>
      <c r="J1506" s="450"/>
      <c r="M1506" s="394"/>
      <c r="N1506" s="394"/>
      <c r="O1506" s="394"/>
      <c r="P1506" s="356"/>
      <c r="R1506" s="348" t="str">
        <f t="shared" ref="R1506:R1510" si="64">R$1505</f>
        <v>DELETE</v>
      </c>
    </row>
    <row r="1507" spans="2:24" ht="9" customHeight="1" thickTop="1" x14ac:dyDescent="0.5">
      <c r="B1507" s="354"/>
      <c r="C1507" s="450"/>
      <c r="D1507" s="450"/>
      <c r="E1507" s="450"/>
      <c r="F1507" s="450"/>
      <c r="G1507" s="450"/>
      <c r="H1507" s="450"/>
      <c r="I1507" s="450"/>
      <c r="J1507" s="450"/>
      <c r="M1507" s="356"/>
      <c r="N1507" s="356"/>
      <c r="O1507" s="356"/>
      <c r="P1507" s="356"/>
      <c r="R1507" s="348" t="str">
        <f t="shared" si="64"/>
        <v>DELETE</v>
      </c>
    </row>
    <row r="1508" spans="2:24" ht="36" customHeight="1" x14ac:dyDescent="0.5">
      <c r="B1508" s="354"/>
      <c r="C1508" s="450"/>
      <c r="D1508" s="450"/>
      <c r="E1508" s="450"/>
      <c r="F1508" s="450"/>
      <c r="G1508" s="450"/>
      <c r="H1508" s="450"/>
      <c r="I1508" s="450"/>
      <c r="J1508" s="450"/>
      <c r="M1508" s="356"/>
      <c r="N1508" s="356"/>
      <c r="O1508" s="356"/>
      <c r="P1508" s="356"/>
      <c r="R1508" s="348" t="str">
        <f t="shared" si="64"/>
        <v>DELETE</v>
      </c>
    </row>
    <row r="1509" spans="2:24" ht="36" customHeight="1" x14ac:dyDescent="0.5">
      <c r="B1509" s="354"/>
      <c r="C1509" s="450"/>
      <c r="D1509" s="450"/>
      <c r="E1509" s="450"/>
      <c r="F1509" s="450"/>
      <c r="G1509" s="450"/>
      <c r="H1509" s="450"/>
      <c r="I1509" s="450"/>
      <c r="J1509" s="450"/>
      <c r="M1509" s="356"/>
      <c r="N1509" s="356"/>
      <c r="O1509" s="356"/>
      <c r="P1509" s="356"/>
      <c r="R1509" s="348" t="str">
        <f t="shared" si="64"/>
        <v>DELETE</v>
      </c>
    </row>
    <row r="1510" spans="2:24" ht="36" customHeight="1" x14ac:dyDescent="0.5">
      <c r="B1510" s="354"/>
      <c r="C1510" s="450"/>
      <c r="D1510" s="450"/>
      <c r="E1510" s="450"/>
      <c r="F1510" s="450"/>
      <c r="G1510" s="450"/>
      <c r="H1510" s="450"/>
      <c r="I1510" s="450"/>
      <c r="J1510" s="450"/>
      <c r="M1510" s="347"/>
      <c r="O1510" s="347"/>
      <c r="R1510" s="348" t="str">
        <f t="shared" si="64"/>
        <v>DELETE</v>
      </c>
    </row>
    <row r="1511" spans="2:24" ht="36" customHeight="1" x14ac:dyDescent="0.5">
      <c r="B1511" s="354"/>
      <c r="C1511" s="450"/>
      <c r="D1511" s="450"/>
      <c r="E1511" s="450"/>
      <c r="F1511" s="450"/>
      <c r="G1511" s="450"/>
      <c r="H1511" s="450"/>
      <c r="I1511" s="450"/>
      <c r="J1511" s="450"/>
      <c r="M1511" s="347"/>
      <c r="O1511" s="295" t="s">
        <v>89</v>
      </c>
      <c r="Q1511" s="292">
        <f>MAX($Q$105:Q1510)+1</f>
        <v>39</v>
      </c>
      <c r="R1511" s="348" t="str">
        <f t="shared" ref="R1511:R1519" si="65">R$1521</f>
        <v>DELETE</v>
      </c>
    </row>
    <row r="1512" spans="2:24" ht="36" customHeight="1" x14ac:dyDescent="0.5">
      <c r="B1512" s="354"/>
      <c r="C1512" s="450"/>
      <c r="D1512" s="456" t="str">
        <f>Criteria!E9</f>
        <v>HOLDING COMPANY 268 (PROPRIETARY) LIMITED</v>
      </c>
      <c r="E1512" s="450"/>
      <c r="F1512" s="450"/>
      <c r="G1512" s="450"/>
      <c r="H1512" s="450"/>
      <c r="I1512" s="450"/>
      <c r="J1512" s="450"/>
      <c r="M1512" s="347"/>
      <c r="O1512" s="347"/>
      <c r="R1512" s="348" t="str">
        <f t="shared" si="65"/>
        <v>DELETE</v>
      </c>
    </row>
    <row r="1513" spans="2:24" ht="36" customHeight="1" x14ac:dyDescent="0.5">
      <c r="B1513" s="354"/>
      <c r="C1513" s="450"/>
      <c r="D1513" s="456" t="str">
        <f>Criteria!E10</f>
        <v>CONSOLIDATED FINANCIAL STATEMENTS</v>
      </c>
      <c r="E1513" s="450"/>
      <c r="F1513" s="450"/>
      <c r="G1513" s="450"/>
      <c r="H1513" s="450"/>
      <c r="I1513" s="450"/>
      <c r="J1513" s="450"/>
      <c r="M1513" s="347"/>
      <c r="O1513" s="347"/>
      <c r="R1513" s="348" t="str">
        <f>IF(R$1521="DELETE","DELETE",IF(D1513=0,"DELETE"," "))</f>
        <v>DELETE</v>
      </c>
    </row>
    <row r="1514" spans="2:24" ht="36" customHeight="1" x14ac:dyDescent="0.5">
      <c r="B1514" s="354"/>
      <c r="C1514" s="450"/>
      <c r="D1514" s="450"/>
      <c r="E1514" s="450"/>
      <c r="F1514" s="450"/>
      <c r="G1514" s="450"/>
      <c r="H1514" s="450"/>
      <c r="I1514" s="450"/>
      <c r="J1514" s="450"/>
      <c r="M1514" s="347"/>
      <c r="O1514" s="347"/>
      <c r="R1514" s="348" t="str">
        <f t="shared" si="65"/>
        <v>DELETE</v>
      </c>
    </row>
    <row r="1515" spans="2:24" ht="36" customHeight="1" x14ac:dyDescent="0.5">
      <c r="B1515" s="354"/>
      <c r="C1515" s="450"/>
      <c r="D1515" s="456" t="s">
        <v>351</v>
      </c>
      <c r="E1515" s="450"/>
      <c r="F1515" s="450"/>
      <c r="G1515" s="450"/>
      <c r="H1515" s="450"/>
      <c r="I1515" s="450"/>
      <c r="J1515" s="450"/>
      <c r="M1515" s="347"/>
      <c r="O1515" s="347"/>
      <c r="R1515" s="348" t="str">
        <f t="shared" si="65"/>
        <v>DELETE</v>
      </c>
    </row>
    <row r="1516" spans="2:24" ht="36" customHeight="1" x14ac:dyDescent="0.5">
      <c r="B1516" s="354"/>
      <c r="C1516" s="450"/>
      <c r="D1516" s="456" t="str">
        <f>Criteria!E20</f>
        <v>28 FEBRUARY 2025</v>
      </c>
      <c r="E1516" s="450"/>
      <c r="F1516" s="450"/>
      <c r="G1516" s="450"/>
      <c r="H1516" s="450"/>
      <c r="I1516" s="450"/>
      <c r="J1516" s="450" t="s">
        <v>231</v>
      </c>
      <c r="M1516" s="347"/>
      <c r="O1516" s="347"/>
      <c r="R1516" s="348" t="str">
        <f t="shared" si="65"/>
        <v>DELETE</v>
      </c>
    </row>
    <row r="1517" spans="2:24" ht="36" customHeight="1" x14ac:dyDescent="0.5">
      <c r="B1517" s="354"/>
      <c r="C1517" s="450"/>
      <c r="D1517" s="450"/>
      <c r="E1517" s="450"/>
      <c r="F1517" s="450"/>
      <c r="G1517" s="450"/>
      <c r="H1517" s="450"/>
      <c r="I1517" s="450"/>
      <c r="J1517" s="450"/>
      <c r="M1517" s="347"/>
      <c r="O1517" s="347"/>
      <c r="R1517" s="348" t="str">
        <f t="shared" si="65"/>
        <v>DELETE</v>
      </c>
    </row>
    <row r="1518" spans="2:24" ht="36" customHeight="1" x14ac:dyDescent="0.5">
      <c r="B1518" s="368"/>
      <c r="C1518" s="460"/>
      <c r="D1518" s="460"/>
      <c r="E1518" s="460"/>
      <c r="F1518" s="460"/>
      <c r="G1518" s="460"/>
      <c r="H1518" s="460"/>
      <c r="I1518" s="460"/>
      <c r="J1518" s="460"/>
      <c r="K1518" s="364"/>
      <c r="L1518" s="364"/>
      <c r="M1518" s="367"/>
      <c r="N1518" s="367"/>
      <c r="O1518" s="367"/>
      <c r="P1518" s="367"/>
      <c r="Q1518" s="364"/>
      <c r="R1518" s="348" t="str">
        <f t="shared" si="65"/>
        <v>DELETE</v>
      </c>
    </row>
    <row r="1519" spans="2:24" ht="36" customHeight="1" x14ac:dyDescent="0.5">
      <c r="B1519" s="316"/>
      <c r="C1519" s="456"/>
      <c r="D1519" s="450"/>
      <c r="E1519" s="450"/>
      <c r="F1519" s="450"/>
      <c r="G1519" s="450"/>
      <c r="H1519" s="450"/>
      <c r="I1519" s="450"/>
      <c r="J1519" s="450"/>
      <c r="M1519" s="395">
        <f>Criteria!E22</f>
        <v>2025</v>
      </c>
      <c r="N1519" s="395"/>
      <c r="O1519" s="395">
        <f>Criteria!E27</f>
        <v>2024</v>
      </c>
      <c r="P1519" s="356"/>
      <c r="R1519" s="348" t="str">
        <f t="shared" si="65"/>
        <v>DELETE</v>
      </c>
    </row>
    <row r="1520" spans="2:24" ht="36" customHeight="1" x14ac:dyDescent="0.5">
      <c r="B1520" s="316"/>
      <c r="C1520" s="456"/>
      <c r="D1520" s="450"/>
      <c r="E1520" s="450"/>
      <c r="F1520" s="450"/>
      <c r="G1520" s="450"/>
      <c r="H1520" s="450"/>
      <c r="I1520" s="450"/>
      <c r="J1520" s="450"/>
      <c r="M1520" s="395"/>
      <c r="N1520" s="395"/>
      <c r="O1520" s="395"/>
      <c r="P1520" s="356"/>
      <c r="R1520" s="348" t="str">
        <f>R$1521</f>
        <v>DELETE</v>
      </c>
    </row>
    <row r="1521" spans="2:22" ht="36" customHeight="1" x14ac:dyDescent="0.5">
      <c r="B1521" s="316">
        <f>MAX(B$602:B1520)+1</f>
        <v>11</v>
      </c>
      <c r="C1521" s="456" t="s">
        <v>922</v>
      </c>
      <c r="D1521" s="450"/>
      <c r="E1521" s="450"/>
      <c r="F1521" s="450"/>
      <c r="G1521" s="450"/>
      <c r="H1521" s="450"/>
      <c r="I1521" s="450"/>
      <c r="J1521" s="450"/>
      <c r="M1521" s="356"/>
      <c r="N1521" s="356"/>
      <c r="O1521" s="356"/>
      <c r="P1521" s="356"/>
      <c r="R1521" s="348" t="str">
        <f>IF(M1589+O1589=0,"DELETE"," ")</f>
        <v>DELETE</v>
      </c>
    </row>
    <row r="1522" spans="2:22" ht="36" hidden="1" customHeight="1" x14ac:dyDescent="0.5">
      <c r="B1522" s="316"/>
      <c r="C1522" s="450">
        <f>B1521</f>
        <v>11</v>
      </c>
      <c r="D1522" s="450"/>
      <c r="E1522" s="450"/>
      <c r="F1522" s="450"/>
      <c r="G1522" s="450"/>
      <c r="H1522" s="450"/>
      <c r="I1522" s="450"/>
      <c r="J1522" s="450"/>
      <c r="M1522" s="356"/>
      <c r="N1522" s="356"/>
      <c r="O1522" s="356"/>
      <c r="P1522" s="356"/>
      <c r="R1522" s="348" t="str">
        <f>IF(M1589+O1589=0,"DELETE"," ")</f>
        <v>DELETE</v>
      </c>
    </row>
    <row r="1523" spans="2:22" ht="36" customHeight="1" x14ac:dyDescent="0.5">
      <c r="B1523" s="316"/>
      <c r="C1523" s="450"/>
      <c r="D1523" s="450"/>
      <c r="E1523" s="450"/>
      <c r="F1523" s="450"/>
      <c r="G1523" s="450"/>
      <c r="H1523" s="450"/>
      <c r="I1523" s="450"/>
      <c r="J1523" s="450"/>
      <c r="M1523" s="356"/>
      <c r="N1523" s="356"/>
      <c r="O1523" s="356"/>
      <c r="P1523" s="356"/>
      <c r="R1523" s="348" t="str">
        <f>R$1521</f>
        <v>DELETE</v>
      </c>
    </row>
    <row r="1524" spans="2:22" ht="36" customHeight="1" x14ac:dyDescent="0.5">
      <c r="B1524" s="316"/>
      <c r="C1524" s="375">
        <f>MAX(C1521:C1522)+0.1</f>
        <v>11.1</v>
      </c>
      <c r="D1524" s="456" t="s">
        <v>861</v>
      </c>
      <c r="E1524" s="450"/>
      <c r="F1524" s="450"/>
      <c r="G1524" s="450"/>
      <c r="H1524" s="450"/>
      <c r="I1524" s="450"/>
      <c r="J1524" s="450"/>
      <c r="M1524" s="310"/>
      <c r="N1524" s="310"/>
      <c r="O1524" s="310"/>
      <c r="P1524" s="356"/>
      <c r="R1524" s="348" t="str">
        <f>IF(M1539+O1539=0,"DELETE"," ")</f>
        <v>DELETE</v>
      </c>
      <c r="S1524" s="336"/>
      <c r="U1524" s="336"/>
    </row>
    <row r="1525" spans="2:22" ht="36" customHeight="1" x14ac:dyDescent="0.5">
      <c r="B1525" s="316"/>
      <c r="C1525" s="375"/>
      <c r="D1525" s="456"/>
      <c r="E1525" s="450"/>
      <c r="F1525" s="450"/>
      <c r="G1525" s="450"/>
      <c r="H1525" s="450"/>
      <c r="I1525" s="450"/>
      <c r="J1525" s="450"/>
      <c r="M1525" s="310"/>
      <c r="N1525" s="310"/>
      <c r="O1525" s="310"/>
      <c r="P1525" s="356"/>
      <c r="R1525" s="348" t="str">
        <f>R1524</f>
        <v>DELETE</v>
      </c>
      <c r="S1525" s="336"/>
      <c r="U1525" s="336"/>
    </row>
    <row r="1526" spans="2:22" ht="36" customHeight="1" x14ac:dyDescent="0.5">
      <c r="B1526" s="316"/>
      <c r="C1526" s="374"/>
      <c r="D1526" s="450" t="s">
        <v>917</v>
      </c>
      <c r="E1526" s="450"/>
      <c r="F1526" s="450"/>
      <c r="G1526" s="450"/>
      <c r="H1526" s="459"/>
      <c r="I1526" s="450"/>
      <c r="J1526" s="459"/>
      <c r="K1526" s="379"/>
      <c r="M1526" s="310">
        <f>SUM(S1529:S1531)</f>
        <v>0</v>
      </c>
      <c r="N1526" s="310"/>
      <c r="O1526" s="310">
        <f>SUM(U1529:U1531)</f>
        <v>0</v>
      </c>
      <c r="P1526" s="356"/>
      <c r="R1526" s="348" t="str">
        <f>R$1524</f>
        <v>DELETE</v>
      </c>
      <c r="S1526" s="336"/>
      <c r="U1526" s="336"/>
      <c r="V1526" s="331" t="b">
        <f>M1526=O1539</f>
        <v>1</v>
      </c>
    </row>
    <row r="1527" spans="2:22" ht="9" customHeight="1" x14ac:dyDescent="0.5">
      <c r="B1527" s="316"/>
      <c r="C1527" s="374"/>
      <c r="D1527" s="450"/>
      <c r="E1527" s="450"/>
      <c r="F1527" s="450"/>
      <c r="G1527" s="450"/>
      <c r="H1527" s="450"/>
      <c r="I1527" s="450"/>
      <c r="J1527" s="450"/>
      <c r="M1527" s="310"/>
      <c r="N1527" s="310"/>
      <c r="O1527" s="310"/>
      <c r="P1527" s="356"/>
      <c r="R1527" s="348" t="str">
        <f t="shared" ref="R1527:R1547" si="66">R$1524</f>
        <v>DELETE</v>
      </c>
      <c r="S1527" s="336"/>
      <c r="U1527" s="336"/>
    </row>
    <row r="1528" spans="2:22" ht="9" customHeight="1" x14ac:dyDescent="0.5">
      <c r="B1528" s="316"/>
      <c r="C1528" s="374"/>
      <c r="D1528" s="450"/>
      <c r="E1528" s="450"/>
      <c r="F1528" s="450"/>
      <c r="G1528" s="450"/>
      <c r="H1528" s="450"/>
      <c r="I1528" s="450"/>
      <c r="J1528" s="450"/>
      <c r="M1528" s="398"/>
      <c r="N1528" s="297"/>
      <c r="O1528" s="399"/>
      <c r="P1528" s="356"/>
      <c r="R1528" s="348" t="str">
        <f t="shared" si="66"/>
        <v>DELETE</v>
      </c>
      <c r="S1528" s="336"/>
      <c r="U1528" s="336"/>
    </row>
    <row r="1529" spans="2:22" ht="36" customHeight="1" x14ac:dyDescent="0.5">
      <c r="B1529" s="316"/>
      <c r="C1529" s="374"/>
      <c r="D1529" s="450" t="s">
        <v>352</v>
      </c>
      <c r="E1529" s="450"/>
      <c r="F1529" s="450"/>
      <c r="G1529" s="450"/>
      <c r="H1529" s="450"/>
      <c r="I1529" s="450"/>
      <c r="J1529" s="450"/>
      <c r="M1529" s="400">
        <f>TrialBalance!L285</f>
        <v>0</v>
      </c>
      <c r="N1529" s="310"/>
      <c r="O1529" s="401">
        <f>TrialBalance!N285</f>
        <v>0</v>
      </c>
      <c r="P1529" s="356"/>
      <c r="R1529" s="348" t="str">
        <f t="shared" si="66"/>
        <v>DELETE</v>
      </c>
      <c r="S1529" s="336">
        <f>M1529</f>
        <v>0</v>
      </c>
      <c r="U1529" s="336">
        <f>O1529</f>
        <v>0</v>
      </c>
    </row>
    <row r="1530" spans="2:22" ht="36" customHeight="1" x14ac:dyDescent="0.5">
      <c r="B1530" s="316"/>
      <c r="C1530" s="374"/>
      <c r="D1530" s="450" t="s">
        <v>1113</v>
      </c>
      <c r="E1530" s="450"/>
      <c r="F1530" s="450"/>
      <c r="G1530" s="450"/>
      <c r="H1530" s="450"/>
      <c r="I1530" s="450"/>
      <c r="J1530" s="450"/>
      <c r="M1530" s="400">
        <f>-TrialBalance!L288</f>
        <v>0</v>
      </c>
      <c r="N1530" s="310"/>
      <c r="O1530" s="401">
        <f>-TrialBalance!N288</f>
        <v>0</v>
      </c>
      <c r="P1530" s="356"/>
      <c r="R1530" s="348" t="str">
        <f t="shared" si="66"/>
        <v>DELETE</v>
      </c>
      <c r="S1530" s="336">
        <f>-M1530</f>
        <v>0</v>
      </c>
      <c r="U1530" s="336">
        <f>-O1530</f>
        <v>0</v>
      </c>
    </row>
    <row r="1531" spans="2:22" ht="36" customHeight="1" x14ac:dyDescent="0.5">
      <c r="B1531" s="316"/>
      <c r="C1531" s="374"/>
      <c r="D1531" s="450" t="s">
        <v>1114</v>
      </c>
      <c r="E1531" s="450"/>
      <c r="F1531" s="450"/>
      <c r="G1531" s="450"/>
      <c r="H1531" s="450"/>
      <c r="I1531" s="450"/>
      <c r="J1531" s="450"/>
      <c r="M1531" s="400">
        <f>-TrialBalance!L291</f>
        <v>0</v>
      </c>
      <c r="N1531" s="310"/>
      <c r="O1531" s="401">
        <f>-TrialBalance!N291</f>
        <v>0</v>
      </c>
      <c r="P1531" s="356"/>
      <c r="R1531" s="348" t="str">
        <f>IF(M1531+O1531=0,"DELETE"," ")</f>
        <v>DELETE</v>
      </c>
      <c r="S1531" s="336">
        <f>-M1531</f>
        <v>0</v>
      </c>
      <c r="U1531" s="336">
        <f>-O1531</f>
        <v>0</v>
      </c>
    </row>
    <row r="1532" spans="2:22" ht="9" customHeight="1" x14ac:dyDescent="0.5">
      <c r="B1532" s="316"/>
      <c r="C1532" s="374"/>
      <c r="D1532" s="450"/>
      <c r="E1532" s="450"/>
      <c r="F1532" s="450"/>
      <c r="G1532" s="450"/>
      <c r="H1532" s="450"/>
      <c r="I1532" s="450"/>
      <c r="J1532" s="450"/>
      <c r="M1532" s="402"/>
      <c r="N1532" s="298"/>
      <c r="O1532" s="403"/>
      <c r="P1532" s="356"/>
      <c r="R1532" s="348" t="str">
        <f t="shared" si="66"/>
        <v>DELETE</v>
      </c>
      <c r="S1532" s="336"/>
      <c r="U1532" s="336"/>
    </row>
    <row r="1533" spans="2:22" ht="9" customHeight="1" x14ac:dyDescent="0.5">
      <c r="B1533" s="316"/>
      <c r="C1533" s="374"/>
      <c r="D1533" s="450"/>
      <c r="E1533" s="450"/>
      <c r="F1533" s="450"/>
      <c r="G1533" s="450"/>
      <c r="H1533" s="450"/>
      <c r="I1533" s="450"/>
      <c r="J1533" s="450"/>
      <c r="M1533" s="310"/>
      <c r="N1533" s="310"/>
      <c r="O1533" s="310"/>
      <c r="P1533" s="356"/>
      <c r="R1533" s="348" t="str">
        <f t="shared" si="66"/>
        <v>DELETE</v>
      </c>
      <c r="S1533" s="336"/>
      <c r="U1533" s="336"/>
    </row>
    <row r="1534" spans="2:22" ht="36" customHeight="1" x14ac:dyDescent="0.5">
      <c r="B1534" s="316"/>
      <c r="C1534" s="374"/>
      <c r="D1534" s="450" t="s">
        <v>353</v>
      </c>
      <c r="E1534" s="450"/>
      <c r="F1534" s="450"/>
      <c r="G1534" s="450"/>
      <c r="H1534" s="450"/>
      <c r="I1534" s="450"/>
      <c r="J1534" s="450"/>
      <c r="M1534" s="310">
        <f>TrialBalance!L286</f>
        <v>0</v>
      </c>
      <c r="N1534" s="310"/>
      <c r="O1534" s="310">
        <f>TrialBalance!N286</f>
        <v>0</v>
      </c>
      <c r="P1534" s="356"/>
      <c r="R1534" s="348" t="str">
        <f>IF(M1534+O1534=0,"DELETE"," ")</f>
        <v>DELETE</v>
      </c>
      <c r="S1534" s="336"/>
      <c r="U1534" s="336"/>
    </row>
    <row r="1535" spans="2:22" ht="36" customHeight="1" x14ac:dyDescent="0.5">
      <c r="B1535" s="316"/>
      <c r="C1535" s="374"/>
      <c r="D1535" s="450" t="s">
        <v>918</v>
      </c>
      <c r="E1535" s="450"/>
      <c r="F1535" s="450"/>
      <c r="G1535" s="450"/>
      <c r="H1535" s="450"/>
      <c r="I1535" s="450"/>
      <c r="J1535" s="450"/>
      <c r="M1535" s="310">
        <f>TrialBalance!L289</f>
        <v>0</v>
      </c>
      <c r="N1535" s="310"/>
      <c r="O1535" s="310">
        <f>TrialBalance!N289</f>
        <v>0</v>
      </c>
      <c r="P1535" s="356"/>
      <c r="R1535" s="348" t="str">
        <f t="shared" si="66"/>
        <v>DELETE</v>
      </c>
      <c r="S1535" s="336"/>
      <c r="U1535" s="336"/>
    </row>
    <row r="1536" spans="2:22" ht="36" customHeight="1" x14ac:dyDescent="0.5">
      <c r="B1536" s="316"/>
      <c r="C1536" s="374"/>
      <c r="D1536" s="450" t="s">
        <v>919</v>
      </c>
      <c r="E1536" s="450"/>
      <c r="F1536" s="450"/>
      <c r="G1536" s="450"/>
      <c r="H1536" s="450"/>
      <c r="I1536" s="450"/>
      <c r="J1536" s="450"/>
      <c r="M1536" s="310">
        <f>TrialBalance!L292</f>
        <v>0</v>
      </c>
      <c r="N1536" s="310"/>
      <c r="O1536" s="310">
        <f>TrialBalance!N292</f>
        <v>0</v>
      </c>
      <c r="P1536" s="356"/>
      <c r="R1536" s="348" t="str">
        <f>IF(M1536=0,IF(O1536=0,"DELETE"," ")," ")</f>
        <v>DELETE</v>
      </c>
      <c r="S1536" s="336"/>
      <c r="U1536" s="336"/>
    </row>
    <row r="1537" spans="2:24" ht="9" customHeight="1" x14ac:dyDescent="0.5">
      <c r="B1537" s="316"/>
      <c r="C1537" s="374"/>
      <c r="D1537" s="450"/>
      <c r="E1537" s="450"/>
      <c r="F1537" s="450"/>
      <c r="G1537" s="450"/>
      <c r="H1537" s="450"/>
      <c r="I1537" s="450"/>
      <c r="J1537" s="450"/>
      <c r="M1537" s="298"/>
      <c r="N1537" s="298"/>
      <c r="O1537" s="298"/>
      <c r="P1537" s="356"/>
      <c r="R1537" s="348" t="str">
        <f t="shared" si="66"/>
        <v>DELETE</v>
      </c>
      <c r="S1537" s="336"/>
      <c r="U1537" s="336"/>
    </row>
    <row r="1538" spans="2:24" ht="9" customHeight="1" x14ac:dyDescent="0.5">
      <c r="B1538" s="316"/>
      <c r="C1538" s="374"/>
      <c r="D1538" s="450"/>
      <c r="E1538" s="450"/>
      <c r="F1538" s="450"/>
      <c r="G1538" s="450"/>
      <c r="H1538" s="450"/>
      <c r="I1538" s="450"/>
      <c r="J1538" s="450"/>
      <c r="M1538" s="310"/>
      <c r="N1538" s="310"/>
      <c r="O1538" s="310"/>
      <c r="P1538" s="356"/>
      <c r="R1538" s="348" t="str">
        <f t="shared" si="66"/>
        <v>DELETE</v>
      </c>
      <c r="S1538" s="336"/>
      <c r="U1538" s="336"/>
    </row>
    <row r="1539" spans="2:24" ht="36.75" customHeight="1" x14ac:dyDescent="0.5">
      <c r="B1539" s="316"/>
      <c r="C1539" s="374"/>
      <c r="D1539" s="450" t="s">
        <v>920</v>
      </c>
      <c r="E1539" s="450"/>
      <c r="F1539" s="450"/>
      <c r="G1539" s="450"/>
      <c r="H1539" s="450"/>
      <c r="I1539" s="450"/>
      <c r="J1539" s="450"/>
      <c r="M1539" s="310">
        <f>SUM(S1543:S1545)</f>
        <v>0</v>
      </c>
      <c r="N1539" s="310"/>
      <c r="O1539" s="310">
        <f>SUM(U1543:U1545)</f>
        <v>0</v>
      </c>
      <c r="P1539" s="356"/>
      <c r="R1539" s="348" t="str">
        <f t="shared" si="66"/>
        <v>DELETE</v>
      </c>
      <c r="S1539" s="336"/>
      <c r="U1539" s="336"/>
      <c r="V1539" s="331" t="b">
        <f>M1539=M1526+SUM(M1534:M1536)</f>
        <v>1</v>
      </c>
      <c r="X1539" s="331" t="b">
        <f>O1539=O1526+SUM(O1534:O1536)</f>
        <v>1</v>
      </c>
    </row>
    <row r="1540" spans="2:24" ht="9" customHeight="1" thickBot="1" x14ac:dyDescent="0.55000000000000004">
      <c r="B1540" s="316"/>
      <c r="C1540" s="374"/>
      <c r="D1540" s="450"/>
      <c r="E1540" s="450"/>
      <c r="F1540" s="450"/>
      <c r="G1540" s="450"/>
      <c r="H1540" s="450"/>
      <c r="I1540" s="450"/>
      <c r="J1540" s="450"/>
      <c r="M1540" s="299"/>
      <c r="N1540" s="299"/>
      <c r="O1540" s="299"/>
      <c r="P1540" s="356"/>
      <c r="R1540" s="348" t="str">
        <f t="shared" si="66"/>
        <v>DELETE</v>
      </c>
      <c r="S1540" s="336"/>
      <c r="U1540" s="336"/>
    </row>
    <row r="1541" spans="2:24" ht="9" customHeight="1" thickTop="1" x14ac:dyDescent="0.5">
      <c r="B1541" s="316"/>
      <c r="C1541" s="374"/>
      <c r="D1541" s="450"/>
      <c r="E1541" s="450"/>
      <c r="F1541" s="450"/>
      <c r="G1541" s="450"/>
      <c r="H1541" s="450"/>
      <c r="I1541" s="450"/>
      <c r="J1541" s="450"/>
      <c r="M1541" s="310"/>
      <c r="N1541" s="310"/>
      <c r="O1541" s="310"/>
      <c r="P1541" s="356"/>
      <c r="R1541" s="348" t="str">
        <f t="shared" si="66"/>
        <v>DELETE</v>
      </c>
      <c r="S1541" s="336"/>
      <c r="U1541" s="336"/>
    </row>
    <row r="1542" spans="2:24" ht="9" customHeight="1" x14ac:dyDescent="0.5">
      <c r="B1542" s="316"/>
      <c r="C1542" s="374"/>
      <c r="D1542" s="450"/>
      <c r="E1542" s="450"/>
      <c r="F1542" s="450"/>
      <c r="G1542" s="450"/>
      <c r="H1542" s="450"/>
      <c r="I1542" s="450"/>
      <c r="J1542" s="450"/>
      <c r="M1542" s="398"/>
      <c r="N1542" s="297"/>
      <c r="O1542" s="399"/>
      <c r="P1542" s="356"/>
      <c r="R1542" s="348" t="str">
        <f t="shared" si="66"/>
        <v>DELETE</v>
      </c>
      <c r="S1542" s="336"/>
      <c r="U1542" s="336"/>
    </row>
    <row r="1543" spans="2:24" ht="36" customHeight="1" x14ac:dyDescent="0.5">
      <c r="B1543" s="316"/>
      <c r="C1543" s="374"/>
      <c r="D1543" s="450" t="s">
        <v>352</v>
      </c>
      <c r="E1543" s="450"/>
      <c r="F1543" s="450"/>
      <c r="G1543" s="450"/>
      <c r="H1543" s="450"/>
      <c r="I1543" s="450"/>
      <c r="J1543" s="450"/>
      <c r="M1543" s="400">
        <f>TrialBalance!L285+TrialBalance!L286</f>
        <v>0</v>
      </c>
      <c r="N1543" s="310"/>
      <c r="O1543" s="401">
        <f>TrialBalance!N285+TrialBalance!N286</f>
        <v>0</v>
      </c>
      <c r="P1543" s="356"/>
      <c r="R1543" s="348" t="str">
        <f t="shared" si="66"/>
        <v>DELETE</v>
      </c>
      <c r="S1543" s="336">
        <f>M1543</f>
        <v>0</v>
      </c>
      <c r="U1543" s="336">
        <f>O1543</f>
        <v>0</v>
      </c>
    </row>
    <row r="1544" spans="2:24" ht="36" customHeight="1" x14ac:dyDescent="0.5">
      <c r="B1544" s="316"/>
      <c r="C1544" s="374"/>
      <c r="D1544" s="450" t="s">
        <v>1113</v>
      </c>
      <c r="E1544" s="450"/>
      <c r="F1544" s="450"/>
      <c r="G1544" s="450"/>
      <c r="H1544" s="450"/>
      <c r="I1544" s="450"/>
      <c r="J1544" s="450"/>
      <c r="M1544" s="400">
        <f>-TrialBalance!L288-TrialBalance!L289</f>
        <v>0</v>
      </c>
      <c r="N1544" s="310"/>
      <c r="O1544" s="401">
        <f>-TrialBalance!N288-TrialBalance!N289</f>
        <v>0</v>
      </c>
      <c r="P1544" s="356"/>
      <c r="R1544" s="348" t="str">
        <f t="shared" si="66"/>
        <v>DELETE</v>
      </c>
      <c r="S1544" s="336">
        <f>-M1544</f>
        <v>0</v>
      </c>
      <c r="U1544" s="336">
        <f>-O1544</f>
        <v>0</v>
      </c>
    </row>
    <row r="1545" spans="2:24" ht="36" customHeight="1" x14ac:dyDescent="0.5">
      <c r="B1545" s="316"/>
      <c r="C1545" s="374"/>
      <c r="D1545" s="450" t="s">
        <v>1114</v>
      </c>
      <c r="E1545" s="450"/>
      <c r="F1545" s="450"/>
      <c r="G1545" s="450"/>
      <c r="H1545" s="450"/>
      <c r="I1545" s="450"/>
      <c r="J1545" s="450"/>
      <c r="M1545" s="400">
        <f>-TrialBalance!L291-TrialBalance!L292</f>
        <v>0</v>
      </c>
      <c r="N1545" s="310"/>
      <c r="O1545" s="401">
        <f>-TrialBalance!N291-TrialBalance!N292</f>
        <v>0</v>
      </c>
      <c r="P1545" s="356"/>
      <c r="R1545" s="348" t="str">
        <f>IF(M1545+O1545=0,"DELETE"," ")</f>
        <v>DELETE</v>
      </c>
      <c r="S1545" s="336">
        <f>-M1545</f>
        <v>0</v>
      </c>
      <c r="U1545" s="336">
        <f>-O1545</f>
        <v>0</v>
      </c>
    </row>
    <row r="1546" spans="2:24" ht="9" customHeight="1" x14ac:dyDescent="0.5">
      <c r="B1546" s="316"/>
      <c r="C1546" s="374"/>
      <c r="D1546" s="450"/>
      <c r="E1546" s="450"/>
      <c r="F1546" s="450"/>
      <c r="G1546" s="450"/>
      <c r="H1546" s="450"/>
      <c r="I1546" s="450"/>
      <c r="J1546" s="450"/>
      <c r="M1546" s="402"/>
      <c r="N1546" s="298"/>
      <c r="O1546" s="403"/>
      <c r="P1546" s="356"/>
      <c r="R1546" s="348" t="str">
        <f t="shared" si="66"/>
        <v>DELETE</v>
      </c>
      <c r="S1546" s="336"/>
      <c r="U1546" s="336"/>
    </row>
    <row r="1547" spans="2:24" ht="9" customHeight="1" x14ac:dyDescent="0.5">
      <c r="B1547" s="316"/>
      <c r="C1547" s="374"/>
      <c r="D1547" s="450"/>
      <c r="E1547" s="450"/>
      <c r="F1547" s="450"/>
      <c r="G1547" s="450"/>
      <c r="H1547" s="450"/>
      <c r="I1547" s="450"/>
      <c r="J1547" s="450"/>
      <c r="M1547" s="310"/>
      <c r="N1547" s="310"/>
      <c r="O1547" s="310"/>
      <c r="P1547" s="356"/>
      <c r="R1547" s="348" t="str">
        <f t="shared" si="66"/>
        <v>DELETE</v>
      </c>
      <c r="S1547" s="336"/>
      <c r="U1547" s="336"/>
    </row>
    <row r="1548" spans="2:24" ht="36" customHeight="1" x14ac:dyDescent="0.5">
      <c r="B1548" s="316"/>
      <c r="C1548" s="374"/>
      <c r="D1548" s="450"/>
      <c r="E1548" s="450"/>
      <c r="F1548" s="450"/>
      <c r="G1548" s="450"/>
      <c r="H1548" s="450"/>
      <c r="I1548" s="450"/>
      <c r="J1548" s="450"/>
      <c r="M1548" s="310"/>
      <c r="N1548" s="310"/>
      <c r="O1548" s="310"/>
      <c r="P1548" s="356"/>
      <c r="R1548" s="348" t="str">
        <f>IF(R1524="DELETE","DELETE",IF(R1562="DELETE","DELETE"," "))</f>
        <v>DELETE</v>
      </c>
      <c r="S1548" s="336"/>
      <c r="U1548" s="336"/>
    </row>
    <row r="1549" spans="2:24" ht="36" customHeight="1" x14ac:dyDescent="0.5">
      <c r="B1549" s="316"/>
      <c r="C1549" s="374"/>
      <c r="D1549" s="450"/>
      <c r="E1549" s="450"/>
      <c r="F1549" s="450"/>
      <c r="G1549" s="450"/>
      <c r="H1549" s="450"/>
      <c r="I1549" s="450"/>
      <c r="J1549" s="450"/>
      <c r="M1549" s="310"/>
      <c r="N1549" s="310"/>
      <c r="O1549" s="310"/>
      <c r="P1549" s="356"/>
      <c r="R1549" s="348" t="str">
        <f>R$1548</f>
        <v>DELETE</v>
      </c>
      <c r="S1549" s="336"/>
      <c r="U1549" s="336"/>
    </row>
    <row r="1550" spans="2:24" ht="36" customHeight="1" x14ac:dyDescent="0.5">
      <c r="B1550" s="316"/>
      <c r="C1550" s="374"/>
      <c r="D1550" s="450"/>
      <c r="E1550" s="450"/>
      <c r="F1550" s="450"/>
      <c r="G1550" s="450"/>
      <c r="H1550" s="450"/>
      <c r="I1550" s="450"/>
      <c r="J1550" s="450"/>
      <c r="M1550" s="310"/>
      <c r="N1550" s="310"/>
      <c r="O1550" s="310"/>
      <c r="P1550" s="356"/>
      <c r="R1550" s="348" t="str">
        <f t="shared" ref="R1550:R1551" si="67">R$1548</f>
        <v>DELETE</v>
      </c>
      <c r="S1550" s="336"/>
      <c r="U1550" s="336"/>
    </row>
    <row r="1551" spans="2:24" ht="36" customHeight="1" x14ac:dyDescent="0.5">
      <c r="B1551" s="316"/>
      <c r="C1551" s="374"/>
      <c r="D1551" s="450"/>
      <c r="E1551" s="450"/>
      <c r="F1551" s="450"/>
      <c r="G1551" s="450"/>
      <c r="H1551" s="450"/>
      <c r="I1551" s="450"/>
      <c r="J1551" s="450"/>
      <c r="M1551" s="310"/>
      <c r="N1551" s="310"/>
      <c r="O1551" s="310"/>
      <c r="P1551" s="356"/>
      <c r="R1551" s="348" t="str">
        <f t="shared" si="67"/>
        <v>DELETE</v>
      </c>
      <c r="S1551" s="336"/>
      <c r="U1551" s="336"/>
    </row>
    <row r="1552" spans="2:24" ht="36" customHeight="1" x14ac:dyDescent="0.5">
      <c r="B1552" s="316"/>
      <c r="C1552" s="374"/>
      <c r="D1552" s="450"/>
      <c r="E1552" s="450"/>
      <c r="F1552" s="450"/>
      <c r="G1552" s="450"/>
      <c r="H1552" s="450"/>
      <c r="I1552" s="450"/>
      <c r="J1552" s="450"/>
      <c r="M1552" s="310"/>
      <c r="N1552" s="310"/>
      <c r="O1552" s="295" t="s">
        <v>89</v>
      </c>
      <c r="Q1552" s="292">
        <f>MAX($Q$105:Q1551)+1</f>
        <v>40</v>
      </c>
      <c r="R1552" s="348" t="str">
        <f>IF(R1562="DELETE","DELETE",IF(R1524="DELETE","DELETE"," "))</f>
        <v>DELETE</v>
      </c>
      <c r="S1552" s="336"/>
      <c r="U1552" s="336"/>
    </row>
    <row r="1553" spans="2:22" ht="36" customHeight="1" x14ac:dyDescent="0.5">
      <c r="B1553" s="316"/>
      <c r="C1553" s="374"/>
      <c r="D1553" s="456" t="str">
        <f>Criteria!E9</f>
        <v>HOLDING COMPANY 268 (PROPRIETARY) LIMITED</v>
      </c>
      <c r="E1553" s="450"/>
      <c r="F1553" s="450"/>
      <c r="G1553" s="450"/>
      <c r="H1553" s="450"/>
      <c r="I1553" s="450"/>
      <c r="J1553" s="450"/>
      <c r="M1553" s="347"/>
      <c r="O1553" s="347"/>
      <c r="R1553" s="348" t="str">
        <f>R$1552</f>
        <v>DELETE</v>
      </c>
      <c r="S1553" s="336"/>
      <c r="U1553" s="336"/>
    </row>
    <row r="1554" spans="2:22" ht="36" customHeight="1" x14ac:dyDescent="0.5">
      <c r="B1554" s="316"/>
      <c r="C1554" s="374"/>
      <c r="D1554" s="456" t="str">
        <f>Criteria!E10</f>
        <v>CONSOLIDATED FINANCIAL STATEMENTS</v>
      </c>
      <c r="E1554" s="450"/>
      <c r="F1554" s="450"/>
      <c r="G1554" s="450"/>
      <c r="H1554" s="450"/>
      <c r="I1554" s="450"/>
      <c r="J1554" s="450"/>
      <c r="M1554" s="347"/>
      <c r="O1554" s="347"/>
      <c r="R1554" s="348" t="str">
        <f>IF(R$1552="DELETE","DELETE",IF(D1554=0,"DELETE"," "))</f>
        <v>DELETE</v>
      </c>
      <c r="S1554" s="336"/>
      <c r="U1554" s="336"/>
    </row>
    <row r="1555" spans="2:22" ht="36" customHeight="1" x14ac:dyDescent="0.5">
      <c r="B1555" s="316"/>
      <c r="C1555" s="374"/>
      <c r="D1555" s="450"/>
      <c r="E1555" s="450"/>
      <c r="F1555" s="450"/>
      <c r="G1555" s="450"/>
      <c r="H1555" s="450"/>
      <c r="I1555" s="450"/>
      <c r="J1555" s="450"/>
      <c r="M1555" s="347"/>
      <c r="O1555" s="347"/>
      <c r="R1555" s="348" t="str">
        <f t="shared" ref="R1555:R1561" si="68">R$1552</f>
        <v>DELETE</v>
      </c>
      <c r="S1555" s="336"/>
      <c r="U1555" s="336"/>
    </row>
    <row r="1556" spans="2:22" ht="36" customHeight="1" x14ac:dyDescent="0.5">
      <c r="B1556" s="316"/>
      <c r="C1556" s="374"/>
      <c r="D1556" s="456" t="s">
        <v>351</v>
      </c>
      <c r="E1556" s="450"/>
      <c r="F1556" s="450"/>
      <c r="G1556" s="450"/>
      <c r="H1556" s="450"/>
      <c r="I1556" s="450"/>
      <c r="J1556" s="450"/>
      <c r="M1556" s="347"/>
      <c r="O1556" s="347"/>
      <c r="R1556" s="348" t="str">
        <f t="shared" si="68"/>
        <v>DELETE</v>
      </c>
      <c r="S1556" s="336"/>
      <c r="U1556" s="336"/>
    </row>
    <row r="1557" spans="2:22" ht="36" customHeight="1" x14ac:dyDescent="0.5">
      <c r="B1557" s="316"/>
      <c r="C1557" s="374"/>
      <c r="D1557" s="456" t="str">
        <f>Criteria!E20</f>
        <v>28 FEBRUARY 2025</v>
      </c>
      <c r="E1557" s="450"/>
      <c r="F1557" s="450"/>
      <c r="G1557" s="450"/>
      <c r="H1557" s="450"/>
      <c r="I1557" s="450"/>
      <c r="J1557" s="450" t="s">
        <v>231</v>
      </c>
      <c r="M1557" s="347"/>
      <c r="O1557" s="347"/>
      <c r="R1557" s="348" t="str">
        <f t="shared" si="68"/>
        <v>DELETE</v>
      </c>
      <c r="S1557" s="336"/>
      <c r="U1557" s="336"/>
    </row>
    <row r="1558" spans="2:22" ht="36" customHeight="1" x14ac:dyDescent="0.5">
      <c r="B1558" s="316"/>
      <c r="C1558" s="374"/>
      <c r="D1558" s="450"/>
      <c r="E1558" s="450"/>
      <c r="F1558" s="450"/>
      <c r="G1558" s="450"/>
      <c r="H1558" s="450"/>
      <c r="I1558" s="450"/>
      <c r="J1558" s="450"/>
      <c r="M1558" s="310"/>
      <c r="N1558" s="310"/>
      <c r="O1558" s="310"/>
      <c r="P1558" s="356"/>
      <c r="R1558" s="348" t="str">
        <f t="shared" si="68"/>
        <v>DELETE</v>
      </c>
      <c r="S1558" s="336"/>
      <c r="U1558" s="336"/>
    </row>
    <row r="1559" spans="2:22" ht="36" customHeight="1" x14ac:dyDescent="0.5">
      <c r="B1559" s="447"/>
      <c r="C1559" s="376"/>
      <c r="D1559" s="460"/>
      <c r="E1559" s="460"/>
      <c r="F1559" s="460"/>
      <c r="G1559" s="460"/>
      <c r="H1559" s="460"/>
      <c r="I1559" s="460"/>
      <c r="J1559" s="460"/>
      <c r="K1559" s="364"/>
      <c r="L1559" s="364"/>
      <c r="M1559" s="297"/>
      <c r="N1559" s="297"/>
      <c r="O1559" s="297"/>
      <c r="P1559" s="367"/>
      <c r="Q1559" s="364"/>
      <c r="R1559" s="348" t="str">
        <f t="shared" si="68"/>
        <v>DELETE</v>
      </c>
      <c r="S1559" s="336"/>
      <c r="U1559" s="336"/>
    </row>
    <row r="1560" spans="2:22" ht="36" customHeight="1" x14ac:dyDescent="0.5">
      <c r="B1560" s="316"/>
      <c r="C1560" s="374"/>
      <c r="D1560" s="450"/>
      <c r="E1560" s="450"/>
      <c r="F1560" s="450"/>
      <c r="G1560" s="450"/>
      <c r="H1560" s="450"/>
      <c r="I1560" s="450"/>
      <c r="J1560" s="450"/>
      <c r="M1560" s="395">
        <f>Criteria!E22</f>
        <v>2025</v>
      </c>
      <c r="N1560" s="395"/>
      <c r="O1560" s="395">
        <f>Criteria!E27</f>
        <v>2024</v>
      </c>
      <c r="P1560" s="356"/>
      <c r="R1560" s="348" t="str">
        <f t="shared" si="68"/>
        <v>DELETE</v>
      </c>
      <c r="S1560" s="336"/>
      <c r="U1560" s="336"/>
    </row>
    <row r="1561" spans="2:22" ht="36" customHeight="1" x14ac:dyDescent="0.5">
      <c r="B1561" s="316"/>
      <c r="C1561" s="374"/>
      <c r="D1561" s="450"/>
      <c r="E1561" s="450"/>
      <c r="F1561" s="450"/>
      <c r="G1561" s="450"/>
      <c r="H1561" s="450"/>
      <c r="I1561" s="450"/>
      <c r="J1561" s="450"/>
      <c r="M1561" s="310"/>
      <c r="N1561" s="310"/>
      <c r="O1561" s="310"/>
      <c r="P1561" s="356"/>
      <c r="R1561" s="348" t="str">
        <f t="shared" si="68"/>
        <v>DELETE</v>
      </c>
      <c r="S1561" s="336"/>
      <c r="U1561" s="336"/>
    </row>
    <row r="1562" spans="2:22" ht="36" customHeight="1" x14ac:dyDescent="0.5">
      <c r="B1562" s="316"/>
      <c r="C1562" s="375">
        <f>MAX(C1521:C1561)+0.1</f>
        <v>11.2</v>
      </c>
      <c r="D1562" s="456" t="s">
        <v>1065</v>
      </c>
      <c r="E1562" s="450"/>
      <c r="F1562" s="450"/>
      <c r="G1562" s="450"/>
      <c r="H1562" s="450"/>
      <c r="I1562" s="450"/>
      <c r="J1562" s="450"/>
      <c r="M1562" s="310"/>
      <c r="N1562" s="310"/>
      <c r="O1562" s="310"/>
      <c r="P1562" s="356"/>
      <c r="R1562" s="348" t="str">
        <f>IF(M1577+O1577=0,"DELETE"," ")</f>
        <v>DELETE</v>
      </c>
      <c r="S1562" s="336"/>
      <c r="U1562" s="336"/>
    </row>
    <row r="1563" spans="2:22" ht="36" customHeight="1" x14ac:dyDescent="0.5">
      <c r="B1563" s="316"/>
      <c r="C1563" s="375"/>
      <c r="D1563" s="456"/>
      <c r="E1563" s="450"/>
      <c r="F1563" s="450"/>
      <c r="G1563" s="450"/>
      <c r="H1563" s="450"/>
      <c r="I1563" s="450"/>
      <c r="J1563" s="450"/>
      <c r="M1563" s="310"/>
      <c r="N1563" s="310"/>
      <c r="O1563" s="310"/>
      <c r="P1563" s="356"/>
      <c r="R1563" s="348" t="str">
        <f>R1562</f>
        <v>DELETE</v>
      </c>
      <c r="S1563" s="336"/>
      <c r="U1563" s="336"/>
    </row>
    <row r="1564" spans="2:22" ht="36" customHeight="1" x14ac:dyDescent="0.5">
      <c r="B1564" s="316"/>
      <c r="C1564" s="375"/>
      <c r="D1564" s="450" t="s">
        <v>917</v>
      </c>
      <c r="E1564" s="450"/>
      <c r="F1564" s="450"/>
      <c r="G1564" s="450"/>
      <c r="H1564" s="459"/>
      <c r="I1564" s="450"/>
      <c r="J1564" s="459"/>
      <c r="K1564" s="379"/>
      <c r="M1564" s="310">
        <f>SUM(S1567:S1569)</f>
        <v>0</v>
      </c>
      <c r="N1564" s="310"/>
      <c r="O1564" s="310">
        <f>SUM(U1567:U1569)</f>
        <v>0</v>
      </c>
      <c r="P1564" s="356"/>
      <c r="R1564" s="348" t="str">
        <f>R$1562</f>
        <v>DELETE</v>
      </c>
      <c r="S1564" s="336"/>
      <c r="U1564" s="336"/>
      <c r="V1564" s="331" t="b">
        <f>M1564=O1577</f>
        <v>1</v>
      </c>
    </row>
    <row r="1565" spans="2:22" ht="9" customHeight="1" x14ac:dyDescent="0.5">
      <c r="B1565" s="316"/>
      <c r="C1565" s="375"/>
      <c r="D1565" s="450"/>
      <c r="E1565" s="450"/>
      <c r="F1565" s="450"/>
      <c r="G1565" s="450"/>
      <c r="H1565" s="450"/>
      <c r="I1565" s="450"/>
      <c r="J1565" s="450"/>
      <c r="M1565" s="310"/>
      <c r="N1565" s="310"/>
      <c r="O1565" s="310"/>
      <c r="P1565" s="356"/>
      <c r="R1565" s="348" t="str">
        <f t="shared" ref="R1565:R1586" si="69">R$1562</f>
        <v>DELETE</v>
      </c>
      <c r="S1565" s="336"/>
      <c r="U1565" s="336"/>
    </row>
    <row r="1566" spans="2:22" ht="9" customHeight="1" x14ac:dyDescent="0.5">
      <c r="B1566" s="316"/>
      <c r="C1566" s="375"/>
      <c r="D1566" s="450"/>
      <c r="E1566" s="450"/>
      <c r="F1566" s="450"/>
      <c r="G1566" s="450"/>
      <c r="H1566" s="450"/>
      <c r="I1566" s="450"/>
      <c r="J1566" s="450"/>
      <c r="M1566" s="398"/>
      <c r="N1566" s="297"/>
      <c r="O1566" s="399"/>
      <c r="P1566" s="356"/>
      <c r="R1566" s="348" t="str">
        <f t="shared" si="69"/>
        <v>DELETE</v>
      </c>
      <c r="S1566" s="336"/>
      <c r="U1566" s="336"/>
    </row>
    <row r="1567" spans="2:22" ht="36" customHeight="1" x14ac:dyDescent="0.5">
      <c r="B1567" s="316"/>
      <c r="C1567" s="375"/>
      <c r="D1567" s="450" t="s">
        <v>352</v>
      </c>
      <c r="E1567" s="450"/>
      <c r="F1567" s="450"/>
      <c r="G1567" s="450"/>
      <c r="H1567" s="450"/>
      <c r="I1567" s="450"/>
      <c r="J1567" s="450"/>
      <c r="M1567" s="400">
        <f>TrialBalance!L294</f>
        <v>0</v>
      </c>
      <c r="N1567" s="310"/>
      <c r="O1567" s="401">
        <f>TrialBalance!N294</f>
        <v>0</v>
      </c>
      <c r="P1567" s="356"/>
      <c r="R1567" s="348" t="str">
        <f t="shared" si="69"/>
        <v>DELETE</v>
      </c>
      <c r="S1567" s="336">
        <f>M1567</f>
        <v>0</v>
      </c>
      <c r="U1567" s="336">
        <f>O1567</f>
        <v>0</v>
      </c>
    </row>
    <row r="1568" spans="2:22" ht="36" customHeight="1" x14ac:dyDescent="0.5">
      <c r="B1568" s="316"/>
      <c r="C1568" s="375"/>
      <c r="D1568" s="450" t="s">
        <v>1113</v>
      </c>
      <c r="E1568" s="450"/>
      <c r="F1568" s="450"/>
      <c r="G1568" s="450"/>
      <c r="H1568" s="450"/>
      <c r="I1568" s="450"/>
      <c r="J1568" s="450"/>
      <c r="M1568" s="400">
        <f>-TrialBalance!L297</f>
        <v>0</v>
      </c>
      <c r="N1568" s="310"/>
      <c r="O1568" s="401">
        <f>-TrialBalance!N297</f>
        <v>0</v>
      </c>
      <c r="P1568" s="356"/>
      <c r="R1568" s="348" t="str">
        <f t="shared" si="69"/>
        <v>DELETE</v>
      </c>
      <c r="S1568" s="336">
        <f>-M1568</f>
        <v>0</v>
      </c>
      <c r="U1568" s="336">
        <f>-O1568</f>
        <v>0</v>
      </c>
    </row>
    <row r="1569" spans="2:24" ht="36" customHeight="1" x14ac:dyDescent="0.5">
      <c r="B1569" s="316"/>
      <c r="C1569" s="375"/>
      <c r="D1569" s="450" t="s">
        <v>1114</v>
      </c>
      <c r="E1569" s="450"/>
      <c r="F1569" s="450"/>
      <c r="G1569" s="450"/>
      <c r="H1569" s="450"/>
      <c r="I1569" s="450"/>
      <c r="J1569" s="450"/>
      <c r="M1569" s="400">
        <f>-TrialBalance!L300</f>
        <v>0</v>
      </c>
      <c r="N1569" s="310"/>
      <c r="O1569" s="401">
        <f>-TrialBalance!N300</f>
        <v>0</v>
      </c>
      <c r="P1569" s="356"/>
      <c r="R1569" s="348" t="str">
        <f>IF(M1569+O1569=0,"DELETE"," ")</f>
        <v>DELETE</v>
      </c>
      <c r="S1569" s="336">
        <f>-M1569</f>
        <v>0</v>
      </c>
      <c r="U1569" s="336">
        <f>-O1569</f>
        <v>0</v>
      </c>
    </row>
    <row r="1570" spans="2:24" ht="9" customHeight="1" x14ac:dyDescent="0.5">
      <c r="B1570" s="316"/>
      <c r="C1570" s="375"/>
      <c r="D1570" s="450"/>
      <c r="E1570" s="450"/>
      <c r="F1570" s="450"/>
      <c r="G1570" s="450"/>
      <c r="H1570" s="450"/>
      <c r="I1570" s="450"/>
      <c r="J1570" s="450"/>
      <c r="M1570" s="402"/>
      <c r="N1570" s="298"/>
      <c r="O1570" s="403"/>
      <c r="P1570" s="356"/>
      <c r="R1570" s="348" t="str">
        <f t="shared" si="69"/>
        <v>DELETE</v>
      </c>
      <c r="S1570" s="336"/>
      <c r="U1570" s="336"/>
    </row>
    <row r="1571" spans="2:24" ht="9" customHeight="1" x14ac:dyDescent="0.5">
      <c r="B1571" s="316"/>
      <c r="C1571" s="375"/>
      <c r="D1571" s="450"/>
      <c r="E1571" s="450"/>
      <c r="F1571" s="450"/>
      <c r="G1571" s="450"/>
      <c r="H1571" s="450"/>
      <c r="I1571" s="450"/>
      <c r="J1571" s="450"/>
      <c r="M1571" s="310"/>
      <c r="N1571" s="310"/>
      <c r="O1571" s="310"/>
      <c r="P1571" s="356"/>
      <c r="R1571" s="348" t="str">
        <f t="shared" si="69"/>
        <v>DELETE</v>
      </c>
      <c r="S1571" s="336"/>
      <c r="U1571" s="336"/>
    </row>
    <row r="1572" spans="2:24" ht="36" customHeight="1" x14ac:dyDescent="0.5">
      <c r="B1572" s="316"/>
      <c r="C1572" s="375"/>
      <c r="D1572" s="450" t="s">
        <v>353</v>
      </c>
      <c r="E1572" s="450"/>
      <c r="F1572" s="450"/>
      <c r="G1572" s="450"/>
      <c r="H1572" s="450"/>
      <c r="I1572" s="450"/>
      <c r="J1572" s="450"/>
      <c r="M1572" s="310">
        <f>TrialBalance!L295</f>
        <v>0</v>
      </c>
      <c r="N1572" s="310"/>
      <c r="O1572" s="310">
        <f>TrialBalance!N295</f>
        <v>0</v>
      </c>
      <c r="P1572" s="356"/>
      <c r="R1572" s="348" t="str">
        <f>IF(M1572+O1572=0,"DELETE"," ")</f>
        <v>DELETE</v>
      </c>
      <c r="S1572" s="336"/>
      <c r="U1572" s="336"/>
    </row>
    <row r="1573" spans="2:24" ht="36" customHeight="1" x14ac:dyDescent="0.5">
      <c r="B1573" s="316"/>
      <c r="C1573" s="375"/>
      <c r="D1573" s="450" t="s">
        <v>918</v>
      </c>
      <c r="E1573" s="450"/>
      <c r="F1573" s="450"/>
      <c r="G1573" s="450"/>
      <c r="H1573" s="450"/>
      <c r="I1573" s="450"/>
      <c r="J1573" s="450"/>
      <c r="M1573" s="310">
        <f>TrialBalance!L298</f>
        <v>0</v>
      </c>
      <c r="N1573" s="310"/>
      <c r="O1573" s="310">
        <f>TrialBalance!N298</f>
        <v>0</v>
      </c>
      <c r="P1573" s="356"/>
      <c r="R1573" s="348" t="str">
        <f t="shared" si="69"/>
        <v>DELETE</v>
      </c>
      <c r="S1573" s="336"/>
      <c r="U1573" s="336"/>
    </row>
    <row r="1574" spans="2:24" ht="36" customHeight="1" x14ac:dyDescent="0.5">
      <c r="B1574" s="316"/>
      <c r="C1574" s="375"/>
      <c r="D1574" s="450" t="s">
        <v>919</v>
      </c>
      <c r="E1574" s="450"/>
      <c r="F1574" s="450"/>
      <c r="G1574" s="450"/>
      <c r="H1574" s="450"/>
      <c r="I1574" s="450"/>
      <c r="J1574" s="450"/>
      <c r="M1574" s="310">
        <f>TrialBalance!L301</f>
        <v>0</v>
      </c>
      <c r="N1574" s="310"/>
      <c r="O1574" s="310">
        <f>TrialBalance!N301</f>
        <v>0</v>
      </c>
      <c r="P1574" s="356"/>
      <c r="R1574" s="348" t="str">
        <f>IF(M1574=0,IF(O1574=0,"DELETE"," ")," ")</f>
        <v>DELETE</v>
      </c>
      <c r="S1574" s="336"/>
      <c r="U1574" s="336"/>
    </row>
    <row r="1575" spans="2:24" ht="9" customHeight="1" x14ac:dyDescent="0.5">
      <c r="B1575" s="316"/>
      <c r="C1575" s="375"/>
      <c r="D1575" s="450"/>
      <c r="E1575" s="450"/>
      <c r="F1575" s="450"/>
      <c r="G1575" s="450"/>
      <c r="H1575" s="450"/>
      <c r="I1575" s="450"/>
      <c r="J1575" s="450"/>
      <c r="M1575" s="298"/>
      <c r="N1575" s="298"/>
      <c r="O1575" s="298"/>
      <c r="P1575" s="356"/>
      <c r="R1575" s="348" t="str">
        <f t="shared" si="69"/>
        <v>DELETE</v>
      </c>
      <c r="S1575" s="336"/>
      <c r="U1575" s="336"/>
    </row>
    <row r="1576" spans="2:24" ht="9" customHeight="1" x14ac:dyDescent="0.5">
      <c r="B1576" s="316"/>
      <c r="C1576" s="375"/>
      <c r="D1576" s="450"/>
      <c r="E1576" s="450"/>
      <c r="F1576" s="450"/>
      <c r="G1576" s="450"/>
      <c r="H1576" s="450"/>
      <c r="I1576" s="450"/>
      <c r="J1576" s="450"/>
      <c r="M1576" s="310"/>
      <c r="N1576" s="310"/>
      <c r="O1576" s="310"/>
      <c r="P1576" s="356"/>
      <c r="R1576" s="348" t="str">
        <f t="shared" si="69"/>
        <v>DELETE</v>
      </c>
      <c r="S1576" s="336"/>
      <c r="U1576" s="336"/>
    </row>
    <row r="1577" spans="2:24" ht="36.75" customHeight="1" x14ac:dyDescent="0.5">
      <c r="B1577" s="316"/>
      <c r="C1577" s="375"/>
      <c r="D1577" s="450" t="s">
        <v>920</v>
      </c>
      <c r="E1577" s="450"/>
      <c r="F1577" s="450"/>
      <c r="G1577" s="450"/>
      <c r="H1577" s="450"/>
      <c r="I1577" s="450"/>
      <c r="J1577" s="450"/>
      <c r="M1577" s="310">
        <f>SUM(S1581:S1583)</f>
        <v>0</v>
      </c>
      <c r="N1577" s="310"/>
      <c r="O1577" s="310">
        <f>SUM(U1581:U1583)</f>
        <v>0</v>
      </c>
      <c r="P1577" s="356"/>
      <c r="R1577" s="348" t="str">
        <f t="shared" si="69"/>
        <v>DELETE</v>
      </c>
      <c r="S1577" s="336"/>
      <c r="U1577" s="336"/>
      <c r="V1577" s="331" t="b">
        <f>M1577=M1564+SUM(M1572:M1574)</f>
        <v>1</v>
      </c>
      <c r="X1577" s="331" t="b">
        <f>O1577=O1564+SUM(O1572:O1574)</f>
        <v>1</v>
      </c>
    </row>
    <row r="1578" spans="2:24" ht="9" customHeight="1" thickBot="1" x14ac:dyDescent="0.55000000000000004">
      <c r="B1578" s="316"/>
      <c r="C1578" s="375"/>
      <c r="D1578" s="450"/>
      <c r="E1578" s="450"/>
      <c r="F1578" s="450"/>
      <c r="G1578" s="450"/>
      <c r="H1578" s="450"/>
      <c r="I1578" s="450"/>
      <c r="J1578" s="450"/>
      <c r="M1578" s="299"/>
      <c r="N1578" s="299"/>
      <c r="O1578" s="299"/>
      <c r="P1578" s="356"/>
      <c r="R1578" s="348" t="str">
        <f t="shared" si="69"/>
        <v>DELETE</v>
      </c>
      <c r="S1578" s="336"/>
      <c r="U1578" s="336"/>
    </row>
    <row r="1579" spans="2:24" ht="9" customHeight="1" thickTop="1" x14ac:dyDescent="0.5">
      <c r="B1579" s="316"/>
      <c r="C1579" s="375"/>
      <c r="D1579" s="450"/>
      <c r="E1579" s="450"/>
      <c r="F1579" s="450"/>
      <c r="G1579" s="450"/>
      <c r="H1579" s="450"/>
      <c r="I1579" s="450"/>
      <c r="J1579" s="450"/>
      <c r="M1579" s="310"/>
      <c r="N1579" s="310"/>
      <c r="O1579" s="310"/>
      <c r="P1579" s="356"/>
      <c r="R1579" s="348" t="str">
        <f t="shared" si="69"/>
        <v>DELETE</v>
      </c>
      <c r="S1579" s="336"/>
      <c r="U1579" s="336"/>
    </row>
    <row r="1580" spans="2:24" ht="9" customHeight="1" x14ac:dyDescent="0.5">
      <c r="B1580" s="316"/>
      <c r="C1580" s="375"/>
      <c r="D1580" s="450"/>
      <c r="E1580" s="450"/>
      <c r="F1580" s="450"/>
      <c r="G1580" s="450"/>
      <c r="H1580" s="450"/>
      <c r="I1580" s="450"/>
      <c r="J1580" s="450"/>
      <c r="M1580" s="398"/>
      <c r="N1580" s="297"/>
      <c r="O1580" s="399"/>
      <c r="P1580" s="356"/>
      <c r="R1580" s="348" t="str">
        <f t="shared" si="69"/>
        <v>DELETE</v>
      </c>
      <c r="S1580" s="336"/>
      <c r="U1580" s="336"/>
    </row>
    <row r="1581" spans="2:24" ht="36" customHeight="1" x14ac:dyDescent="0.5">
      <c r="B1581" s="316"/>
      <c r="C1581" s="375"/>
      <c r="D1581" s="450" t="s">
        <v>352</v>
      </c>
      <c r="E1581" s="450"/>
      <c r="F1581" s="450"/>
      <c r="G1581" s="450"/>
      <c r="H1581" s="450"/>
      <c r="I1581" s="450"/>
      <c r="J1581" s="450"/>
      <c r="M1581" s="400">
        <f>TrialBalance!L294+TrialBalance!L295</f>
        <v>0</v>
      </c>
      <c r="N1581" s="310"/>
      <c r="O1581" s="401">
        <f>TrialBalance!N294+TrialBalance!N295</f>
        <v>0</v>
      </c>
      <c r="P1581" s="356"/>
      <c r="R1581" s="348" t="str">
        <f t="shared" si="69"/>
        <v>DELETE</v>
      </c>
      <c r="S1581" s="336">
        <f>M1581</f>
        <v>0</v>
      </c>
      <c r="U1581" s="336">
        <f>O1581</f>
        <v>0</v>
      </c>
    </row>
    <row r="1582" spans="2:24" ht="36" customHeight="1" x14ac:dyDescent="0.5">
      <c r="B1582" s="316"/>
      <c r="C1582" s="375"/>
      <c r="D1582" s="450" t="s">
        <v>1113</v>
      </c>
      <c r="E1582" s="450"/>
      <c r="F1582" s="450"/>
      <c r="G1582" s="450"/>
      <c r="H1582" s="450"/>
      <c r="I1582" s="450"/>
      <c r="J1582" s="450"/>
      <c r="M1582" s="400">
        <f>-TrialBalance!L297-TrialBalance!L298</f>
        <v>0</v>
      </c>
      <c r="N1582" s="310"/>
      <c r="O1582" s="401">
        <f>-TrialBalance!N297-TrialBalance!N298</f>
        <v>0</v>
      </c>
      <c r="P1582" s="356"/>
      <c r="R1582" s="348" t="str">
        <f t="shared" si="69"/>
        <v>DELETE</v>
      </c>
      <c r="S1582" s="336">
        <f>-M1582</f>
        <v>0</v>
      </c>
      <c r="U1582" s="336">
        <f>-O1582</f>
        <v>0</v>
      </c>
    </row>
    <row r="1583" spans="2:24" ht="36" customHeight="1" x14ac:dyDescent="0.5">
      <c r="B1583" s="316"/>
      <c r="C1583" s="375"/>
      <c r="D1583" s="450" t="s">
        <v>1114</v>
      </c>
      <c r="E1583" s="450"/>
      <c r="F1583" s="450"/>
      <c r="G1583" s="450"/>
      <c r="H1583" s="450"/>
      <c r="I1583" s="450"/>
      <c r="J1583" s="450"/>
      <c r="M1583" s="400">
        <f>-TrialBalance!L300-TrialBalance!L301</f>
        <v>0</v>
      </c>
      <c r="N1583" s="310"/>
      <c r="O1583" s="401">
        <f>-TrialBalance!N300-TrialBalance!N301</f>
        <v>0</v>
      </c>
      <c r="P1583" s="356"/>
      <c r="R1583" s="348" t="str">
        <f>IF(M1583+O1583=0,"DELETE"," ")</f>
        <v>DELETE</v>
      </c>
      <c r="S1583" s="336">
        <f>-M1583</f>
        <v>0</v>
      </c>
      <c r="U1583" s="336">
        <f>-O1583</f>
        <v>0</v>
      </c>
    </row>
    <row r="1584" spans="2:24" ht="9" customHeight="1" x14ac:dyDescent="0.5">
      <c r="B1584" s="316"/>
      <c r="C1584" s="375"/>
      <c r="D1584" s="450"/>
      <c r="E1584" s="450"/>
      <c r="F1584" s="450"/>
      <c r="G1584" s="450"/>
      <c r="H1584" s="450"/>
      <c r="I1584" s="450"/>
      <c r="J1584" s="450"/>
      <c r="M1584" s="402"/>
      <c r="N1584" s="298"/>
      <c r="O1584" s="403"/>
      <c r="P1584" s="356"/>
      <c r="R1584" s="348" t="str">
        <f t="shared" si="69"/>
        <v>DELETE</v>
      </c>
      <c r="S1584" s="336"/>
      <c r="U1584" s="336"/>
    </row>
    <row r="1585" spans="2:21" ht="9" customHeight="1" x14ac:dyDescent="0.5">
      <c r="B1585" s="316"/>
      <c r="C1585" s="375"/>
      <c r="D1585" s="450"/>
      <c r="E1585" s="450"/>
      <c r="F1585" s="450"/>
      <c r="G1585" s="450"/>
      <c r="H1585" s="450"/>
      <c r="I1585" s="450"/>
      <c r="J1585" s="450"/>
      <c r="M1585" s="310"/>
      <c r="N1585" s="310"/>
      <c r="O1585" s="310"/>
      <c r="P1585" s="356"/>
      <c r="R1585" s="348" t="str">
        <f t="shared" si="69"/>
        <v>DELETE</v>
      </c>
      <c r="S1585" s="336"/>
      <c r="U1585" s="336"/>
    </row>
    <row r="1586" spans="2:21" ht="36.75" customHeight="1" x14ac:dyDescent="0.5">
      <c r="B1586" s="316"/>
      <c r="C1586" s="375"/>
      <c r="D1586" s="450"/>
      <c r="E1586" s="450"/>
      <c r="F1586" s="450"/>
      <c r="G1586" s="450"/>
      <c r="H1586" s="450"/>
      <c r="I1586" s="450"/>
      <c r="J1586" s="450"/>
      <c r="M1586" s="310"/>
      <c r="N1586" s="310"/>
      <c r="O1586" s="310"/>
      <c r="P1586" s="356"/>
      <c r="R1586" s="348" t="str">
        <f t="shared" si="69"/>
        <v>DELETE</v>
      </c>
      <c r="S1586" s="336"/>
      <c r="U1586" s="336"/>
    </row>
    <row r="1587" spans="2:21" ht="9" customHeight="1" x14ac:dyDescent="0.5">
      <c r="B1587" s="316"/>
      <c r="C1587" s="375"/>
      <c r="D1587" s="450"/>
      <c r="E1587" s="450"/>
      <c r="F1587" s="450"/>
      <c r="G1587" s="450"/>
      <c r="H1587" s="450"/>
      <c r="I1587" s="450"/>
      <c r="J1587" s="450"/>
      <c r="M1587" s="298"/>
      <c r="N1587" s="298"/>
      <c r="O1587" s="298"/>
      <c r="P1587" s="356"/>
      <c r="R1587" s="348" t="str">
        <f t="shared" ref="R1587:R1595" si="70">R$1521</f>
        <v>DELETE</v>
      </c>
      <c r="S1587" s="336"/>
      <c r="U1587" s="336"/>
    </row>
    <row r="1588" spans="2:21" ht="9" customHeight="1" x14ac:dyDescent="0.5">
      <c r="B1588" s="316"/>
      <c r="C1588" s="375"/>
      <c r="D1588" s="450"/>
      <c r="E1588" s="450"/>
      <c r="F1588" s="450"/>
      <c r="G1588" s="450"/>
      <c r="H1588" s="450"/>
      <c r="I1588" s="450"/>
      <c r="J1588" s="450"/>
      <c r="M1588" s="310"/>
      <c r="N1588" s="310"/>
      <c r="O1588" s="310"/>
      <c r="P1588" s="356"/>
      <c r="R1588" s="348" t="str">
        <f t="shared" si="70"/>
        <v>DELETE</v>
      </c>
      <c r="S1588" s="336"/>
      <c r="U1588" s="336"/>
    </row>
    <row r="1589" spans="2:21" ht="36.75" customHeight="1" x14ac:dyDescent="0.5">
      <c r="B1589" s="316"/>
      <c r="C1589" s="375"/>
      <c r="D1589" s="450" t="s">
        <v>356</v>
      </c>
      <c r="E1589" s="450"/>
      <c r="F1589" s="450"/>
      <c r="G1589" s="450"/>
      <c r="H1589" s="450"/>
      <c r="I1589" s="450"/>
      <c r="J1589" s="450"/>
      <c r="M1589" s="310">
        <f>SUM(TrialBalance!L285:L301)</f>
        <v>0</v>
      </c>
      <c r="N1589" s="310"/>
      <c r="O1589" s="310">
        <f>SUM(TrialBalance!N285:N301)</f>
        <v>0</v>
      </c>
      <c r="P1589" s="356"/>
      <c r="R1589" s="348" t="str">
        <f t="shared" si="70"/>
        <v>DELETE</v>
      </c>
      <c r="S1589" s="336"/>
      <c r="U1589" s="336"/>
    </row>
    <row r="1590" spans="2:21" ht="9" customHeight="1" thickBot="1" x14ac:dyDescent="0.55000000000000004">
      <c r="B1590" s="316"/>
      <c r="C1590" s="375"/>
      <c r="D1590" s="450"/>
      <c r="E1590" s="450"/>
      <c r="F1590" s="450"/>
      <c r="G1590" s="450"/>
      <c r="H1590" s="450"/>
      <c r="I1590" s="450"/>
      <c r="J1590" s="450"/>
      <c r="M1590" s="299"/>
      <c r="N1590" s="299"/>
      <c r="O1590" s="299"/>
      <c r="P1590" s="356"/>
      <c r="R1590" s="348" t="str">
        <f t="shared" si="70"/>
        <v>DELETE</v>
      </c>
      <c r="S1590" s="336"/>
      <c r="U1590" s="336"/>
    </row>
    <row r="1591" spans="2:21" ht="9" customHeight="1" thickTop="1" x14ac:dyDescent="0.5">
      <c r="B1591" s="316"/>
      <c r="C1591" s="375"/>
      <c r="D1591" s="450"/>
      <c r="E1591" s="450"/>
      <c r="F1591" s="450"/>
      <c r="G1591" s="450"/>
      <c r="H1591" s="450"/>
      <c r="I1591" s="450"/>
      <c r="J1591" s="450"/>
      <c r="M1591" s="310"/>
      <c r="N1591" s="310"/>
      <c r="O1591" s="310"/>
      <c r="P1591" s="356"/>
      <c r="R1591" s="348" t="str">
        <f t="shared" si="70"/>
        <v>DELETE</v>
      </c>
      <c r="S1591" s="336"/>
      <c r="U1591" s="336"/>
    </row>
    <row r="1592" spans="2:21" ht="36" customHeight="1" x14ac:dyDescent="0.5">
      <c r="B1592" s="316"/>
      <c r="C1592" s="375"/>
      <c r="D1592" s="450"/>
      <c r="E1592" s="450"/>
      <c r="F1592" s="450"/>
      <c r="G1592" s="450"/>
      <c r="H1592" s="450"/>
      <c r="I1592" s="450"/>
      <c r="J1592" s="450"/>
      <c r="M1592" s="310"/>
      <c r="N1592" s="310"/>
      <c r="O1592" s="310"/>
      <c r="P1592" s="356"/>
      <c r="R1592" s="348" t="str">
        <f t="shared" si="70"/>
        <v>DELETE</v>
      </c>
      <c r="S1592" s="336"/>
      <c r="U1592" s="336"/>
    </row>
    <row r="1593" spans="2:21" ht="36" customHeight="1" x14ac:dyDescent="0.5">
      <c r="B1593" s="316"/>
      <c r="C1593" s="352"/>
      <c r="D1593" s="450"/>
      <c r="E1593" s="450"/>
      <c r="F1593" s="450"/>
      <c r="G1593" s="450"/>
      <c r="H1593" s="450"/>
      <c r="I1593" s="450"/>
      <c r="J1593" s="450"/>
      <c r="M1593" s="310"/>
      <c r="N1593" s="310"/>
      <c r="O1593" s="310"/>
      <c r="P1593" s="356"/>
      <c r="R1593" s="348" t="str">
        <f t="shared" si="70"/>
        <v>DELETE</v>
      </c>
    </row>
    <row r="1594" spans="2:21" ht="36" customHeight="1" x14ac:dyDescent="0.5">
      <c r="B1594" s="316"/>
      <c r="C1594" s="352"/>
      <c r="D1594" s="450"/>
      <c r="E1594" s="450"/>
      <c r="F1594" s="450"/>
      <c r="G1594" s="450"/>
      <c r="H1594" s="450"/>
      <c r="I1594" s="450"/>
      <c r="J1594" s="450"/>
      <c r="M1594" s="310"/>
      <c r="N1594" s="310"/>
      <c r="O1594" s="310"/>
      <c r="P1594" s="356"/>
      <c r="R1594" s="348" t="str">
        <f t="shared" si="70"/>
        <v>DELETE</v>
      </c>
    </row>
    <row r="1595" spans="2:21" ht="36" customHeight="1" x14ac:dyDescent="0.5">
      <c r="B1595" s="354"/>
      <c r="D1595" s="450"/>
      <c r="E1595" s="450"/>
      <c r="F1595" s="450"/>
      <c r="G1595" s="450"/>
      <c r="H1595" s="450"/>
      <c r="I1595" s="450"/>
      <c r="J1595" s="450"/>
      <c r="M1595" s="347"/>
      <c r="O1595" s="347"/>
      <c r="R1595" s="348" t="str">
        <f t="shared" si="70"/>
        <v>DELETE</v>
      </c>
    </row>
    <row r="1596" spans="2:21" ht="36" customHeight="1" x14ac:dyDescent="0.5">
      <c r="B1596" s="354"/>
      <c r="D1596" s="450"/>
      <c r="E1596" s="450"/>
      <c r="F1596" s="450"/>
      <c r="G1596" s="450"/>
      <c r="H1596" s="450"/>
      <c r="I1596" s="450"/>
      <c r="J1596" s="450"/>
      <c r="M1596" s="347"/>
      <c r="O1596" s="295" t="s">
        <v>89</v>
      </c>
      <c r="Q1596" s="292">
        <f>MAX($Q$105:Q1595)+1</f>
        <v>41</v>
      </c>
      <c r="R1596" s="348" t="str">
        <f>R$1613</f>
        <v>DELETE</v>
      </c>
    </row>
    <row r="1597" spans="2:21" ht="36" customHeight="1" x14ac:dyDescent="0.5">
      <c r="B1597" s="354"/>
      <c r="D1597" s="456" t="str">
        <f>Criteria!E9</f>
        <v>HOLDING COMPANY 268 (PROPRIETARY) LIMITED</v>
      </c>
      <c r="E1597" s="450"/>
      <c r="F1597" s="450"/>
      <c r="G1597" s="450"/>
      <c r="H1597" s="450"/>
      <c r="I1597" s="450"/>
      <c r="J1597" s="450"/>
      <c r="M1597" s="347"/>
      <c r="O1597" s="347"/>
      <c r="R1597" s="348" t="str">
        <f t="shared" ref="R1597:R1607" si="71">R$1613</f>
        <v>DELETE</v>
      </c>
    </row>
    <row r="1598" spans="2:21" ht="36" customHeight="1" x14ac:dyDescent="0.5">
      <c r="B1598" s="354"/>
      <c r="D1598" s="456" t="str">
        <f>Criteria!E10</f>
        <v>CONSOLIDATED FINANCIAL STATEMENTS</v>
      </c>
      <c r="E1598" s="450"/>
      <c r="F1598" s="450"/>
      <c r="G1598" s="450"/>
      <c r="H1598" s="450"/>
      <c r="I1598" s="450"/>
      <c r="J1598" s="450"/>
      <c r="M1598" s="347"/>
      <c r="O1598" s="347"/>
      <c r="R1598" s="348" t="str">
        <f>IF(R$1613="DELETE","DELETE",IF(D1598=0,"DELETE"," "))</f>
        <v>DELETE</v>
      </c>
    </row>
    <row r="1599" spans="2:21" ht="36" customHeight="1" x14ac:dyDescent="0.5">
      <c r="B1599" s="354"/>
      <c r="D1599" s="450"/>
      <c r="E1599" s="450"/>
      <c r="F1599" s="450"/>
      <c r="G1599" s="450"/>
      <c r="H1599" s="450"/>
      <c r="I1599" s="450"/>
      <c r="J1599" s="450"/>
      <c r="M1599" s="347"/>
      <c r="O1599" s="347"/>
      <c r="R1599" s="348" t="str">
        <f t="shared" si="71"/>
        <v>DELETE</v>
      </c>
    </row>
    <row r="1600" spans="2:21" ht="36" customHeight="1" x14ac:dyDescent="0.5">
      <c r="B1600" s="354"/>
      <c r="D1600" s="456" t="s">
        <v>351</v>
      </c>
      <c r="E1600" s="450"/>
      <c r="F1600" s="450"/>
      <c r="G1600" s="450"/>
      <c r="H1600" s="450"/>
      <c r="I1600" s="450"/>
      <c r="J1600" s="450"/>
      <c r="M1600" s="347"/>
      <c r="O1600" s="347"/>
      <c r="R1600" s="348" t="str">
        <f t="shared" si="71"/>
        <v>DELETE</v>
      </c>
    </row>
    <row r="1601" spans="2:18" ht="36" customHeight="1" x14ac:dyDescent="0.5">
      <c r="B1601" s="354"/>
      <c r="D1601" s="456" t="str">
        <f>Criteria!E20</f>
        <v>28 FEBRUARY 2025</v>
      </c>
      <c r="E1601" s="450"/>
      <c r="F1601" s="450"/>
      <c r="G1601" s="450"/>
      <c r="H1601" s="450"/>
      <c r="I1601" s="450"/>
      <c r="J1601" s="450" t="s">
        <v>231</v>
      </c>
      <c r="M1601" s="347"/>
      <c r="O1601" s="347"/>
      <c r="R1601" s="348" t="str">
        <f t="shared" si="71"/>
        <v>DELETE</v>
      </c>
    </row>
    <row r="1602" spans="2:18" ht="36" customHeight="1" x14ac:dyDescent="0.5">
      <c r="B1602" s="354"/>
      <c r="D1602" s="450"/>
      <c r="E1602" s="450"/>
      <c r="F1602" s="450"/>
      <c r="G1602" s="450"/>
      <c r="H1602" s="450"/>
      <c r="I1602" s="450"/>
      <c r="J1602" s="450"/>
      <c r="M1602" s="347"/>
      <c r="O1602" s="347"/>
      <c r="R1602" s="348" t="str">
        <f t="shared" si="71"/>
        <v>DELETE</v>
      </c>
    </row>
    <row r="1603" spans="2:18" ht="36" customHeight="1" x14ac:dyDescent="0.5">
      <c r="B1603" s="368"/>
      <c r="C1603" s="364"/>
      <c r="D1603" s="460"/>
      <c r="E1603" s="460"/>
      <c r="F1603" s="460"/>
      <c r="G1603" s="460"/>
      <c r="H1603" s="460"/>
      <c r="I1603" s="460"/>
      <c r="J1603" s="460"/>
      <c r="K1603" s="364"/>
      <c r="L1603" s="364"/>
      <c r="M1603" s="367"/>
      <c r="N1603" s="367"/>
      <c r="O1603" s="367"/>
      <c r="P1603" s="367"/>
      <c r="Q1603" s="364"/>
      <c r="R1603" s="348" t="str">
        <f t="shared" si="71"/>
        <v>DELETE</v>
      </c>
    </row>
    <row r="1604" spans="2:18" ht="36" customHeight="1" x14ac:dyDescent="0.5">
      <c r="B1604" s="354"/>
      <c r="D1604" s="450"/>
      <c r="E1604" s="450"/>
      <c r="F1604" s="450"/>
      <c r="G1604" s="450"/>
      <c r="H1604" s="450"/>
      <c r="I1604" s="450"/>
      <c r="J1604" s="450"/>
      <c r="M1604" s="294">
        <f>Criteria!E22</f>
        <v>2025</v>
      </c>
      <c r="N1604" s="294"/>
      <c r="O1604" s="294">
        <f>Criteria!E27</f>
        <v>2024</v>
      </c>
      <c r="P1604" s="356"/>
      <c r="R1604" s="348" t="str">
        <f t="shared" si="71"/>
        <v>DELETE</v>
      </c>
    </row>
    <row r="1605" spans="2:18" ht="36" customHeight="1" x14ac:dyDescent="0.5">
      <c r="B1605" s="354"/>
      <c r="D1605" s="450"/>
      <c r="E1605" s="450"/>
      <c r="F1605" s="450"/>
      <c r="G1605" s="450"/>
      <c r="H1605" s="450"/>
      <c r="I1605" s="450"/>
      <c r="J1605" s="450"/>
      <c r="M1605" s="356"/>
      <c r="N1605" s="356"/>
      <c r="O1605" s="356"/>
      <c r="P1605" s="356"/>
      <c r="R1605" s="348" t="str">
        <f t="shared" si="71"/>
        <v>DELETE</v>
      </c>
    </row>
    <row r="1606" spans="2:18" ht="36" customHeight="1" x14ac:dyDescent="0.5">
      <c r="B1606" s="316">
        <f>MAX(B$602:B1605)+1</f>
        <v>12</v>
      </c>
      <c r="C1606" s="456" t="str">
        <f>IF(COUNTIF(TrialBalance!N304:N306,"&gt;0")&gt;1,"Investments in associates",IF(COUNTIF(TrialBalance!L304:L306,"&gt;0")&gt;1,"Investments in associates","Investment in associate"))</f>
        <v>Investment in associate</v>
      </c>
      <c r="D1606" s="450"/>
      <c r="E1606" s="450"/>
      <c r="F1606" s="450"/>
      <c r="G1606" s="450"/>
      <c r="H1606" s="450"/>
      <c r="I1606" s="450"/>
      <c r="J1606" s="450"/>
      <c r="M1606" s="356"/>
      <c r="N1606" s="356"/>
      <c r="O1606" s="356"/>
      <c r="P1606" s="356"/>
      <c r="R1606" s="348" t="str">
        <f t="shared" si="71"/>
        <v>DELETE</v>
      </c>
    </row>
    <row r="1607" spans="2:18" ht="36" customHeight="1" x14ac:dyDescent="0.5">
      <c r="B1607" s="316"/>
      <c r="C1607" s="456"/>
      <c r="D1607" s="450"/>
      <c r="E1607" s="450"/>
      <c r="F1607" s="450"/>
      <c r="G1607" s="450"/>
      <c r="H1607" s="450"/>
      <c r="I1607" s="450"/>
      <c r="J1607" s="450"/>
      <c r="M1607" s="356"/>
      <c r="N1607" s="356"/>
      <c r="O1607" s="356"/>
      <c r="P1607" s="356"/>
      <c r="R1607" s="348" t="str">
        <f t="shared" si="71"/>
        <v>DELETE</v>
      </c>
    </row>
    <row r="1608" spans="2:18" ht="36" customHeight="1" x14ac:dyDescent="0.5">
      <c r="B1608" s="354"/>
      <c r="C1608" s="450" t="str">
        <f>TrialBalance!C304</f>
        <v>30 Shares in ABC Company (Pty) Ltd - 30% interest</v>
      </c>
      <c r="D1608" s="459"/>
      <c r="E1608" s="450"/>
      <c r="F1608" s="450"/>
      <c r="G1608" s="450"/>
      <c r="H1608" s="450"/>
      <c r="I1608" s="450"/>
      <c r="J1608" s="450"/>
      <c r="M1608" s="371">
        <f>TrialBalance!L304</f>
        <v>0</v>
      </c>
      <c r="N1608" s="371"/>
      <c r="O1608" s="371">
        <f>TrialBalance!N304</f>
        <v>0</v>
      </c>
      <c r="P1608" s="356"/>
      <c r="R1608" s="348" t="str">
        <f t="shared" ref="R1608:R1610" si="72">IF(M1608+O1608=0,"DELETE"," ")</f>
        <v>DELETE</v>
      </c>
    </row>
    <row r="1609" spans="2:18" ht="36" customHeight="1" x14ac:dyDescent="0.5">
      <c r="B1609" s="354"/>
      <c r="C1609" s="450">
        <f>TrialBalance!C305</f>
        <v>0</v>
      </c>
      <c r="D1609" s="459"/>
      <c r="E1609" s="450"/>
      <c r="F1609" s="450"/>
      <c r="G1609" s="450"/>
      <c r="H1609" s="450"/>
      <c r="I1609" s="450"/>
      <c r="J1609" s="450"/>
      <c r="M1609" s="371">
        <f>TrialBalance!L305</f>
        <v>0</v>
      </c>
      <c r="N1609" s="371"/>
      <c r="O1609" s="371">
        <f>TrialBalance!N305</f>
        <v>0</v>
      </c>
      <c r="P1609" s="356"/>
      <c r="R1609" s="348" t="str">
        <f t="shared" si="72"/>
        <v>DELETE</v>
      </c>
    </row>
    <row r="1610" spans="2:18" ht="36" customHeight="1" x14ac:dyDescent="0.5">
      <c r="B1610" s="354"/>
      <c r="C1610" s="450">
        <f>TrialBalance!C306</f>
        <v>0</v>
      </c>
      <c r="D1610" s="459"/>
      <c r="E1610" s="450"/>
      <c r="F1610" s="450"/>
      <c r="G1610" s="450"/>
      <c r="H1610" s="450"/>
      <c r="I1610" s="450"/>
      <c r="J1610" s="450"/>
      <c r="M1610" s="371">
        <f>TrialBalance!L306</f>
        <v>0</v>
      </c>
      <c r="N1610" s="371"/>
      <c r="O1610" s="371">
        <f>TrialBalance!N306</f>
        <v>0</v>
      </c>
      <c r="P1610" s="356"/>
      <c r="R1610" s="348" t="str">
        <f t="shared" si="72"/>
        <v>DELETE</v>
      </c>
    </row>
    <row r="1611" spans="2:18" ht="9" customHeight="1" x14ac:dyDescent="0.5">
      <c r="B1611" s="354"/>
      <c r="C1611" s="450"/>
      <c r="D1611" s="450"/>
      <c r="E1611" s="450"/>
      <c r="F1611" s="450"/>
      <c r="G1611" s="450"/>
      <c r="H1611" s="450"/>
      <c r="I1611" s="450"/>
      <c r="J1611" s="450"/>
      <c r="M1611" s="372"/>
      <c r="N1611" s="372"/>
      <c r="O1611" s="372"/>
      <c r="P1611" s="356"/>
      <c r="R1611" s="348" t="str">
        <f t="shared" ref="R1611:R1620" si="73">R$1613</f>
        <v>DELETE</v>
      </c>
    </row>
    <row r="1612" spans="2:18" ht="9" customHeight="1" x14ac:dyDescent="0.5">
      <c r="B1612" s="354"/>
      <c r="C1612" s="450"/>
      <c r="D1612" s="450"/>
      <c r="E1612" s="450"/>
      <c r="F1612" s="450"/>
      <c r="G1612" s="450"/>
      <c r="H1612" s="450"/>
      <c r="I1612" s="450"/>
      <c r="J1612" s="450"/>
      <c r="M1612" s="371"/>
      <c r="N1612" s="371"/>
      <c r="O1612" s="371"/>
      <c r="P1612" s="356"/>
      <c r="R1612" s="348" t="str">
        <f t="shared" si="73"/>
        <v>DELETE</v>
      </c>
    </row>
    <row r="1613" spans="2:18" ht="36.75" customHeight="1" x14ac:dyDescent="0.5">
      <c r="B1613" s="354"/>
      <c r="C1613" s="450"/>
      <c r="D1613" s="450"/>
      <c r="E1613" s="450"/>
      <c r="F1613" s="450"/>
      <c r="G1613" s="450"/>
      <c r="H1613" s="450"/>
      <c r="I1613" s="450"/>
      <c r="J1613" s="450"/>
      <c r="M1613" s="371">
        <f>SUM(M1608:M1612)</f>
        <v>0</v>
      </c>
      <c r="N1613" s="371"/>
      <c r="O1613" s="371">
        <f>SUM(O1608:O1612)</f>
        <v>0</v>
      </c>
      <c r="P1613" s="356"/>
      <c r="R1613" s="348" t="str">
        <f t="shared" ref="R1613" si="74">IF(M1613+O1613=0,"DELETE"," ")</f>
        <v>DELETE</v>
      </c>
    </row>
    <row r="1614" spans="2:18" ht="9" customHeight="1" thickBot="1" x14ac:dyDescent="0.55000000000000004">
      <c r="B1614" s="354"/>
      <c r="C1614" s="450"/>
      <c r="D1614" s="450"/>
      <c r="E1614" s="450"/>
      <c r="F1614" s="450"/>
      <c r="G1614" s="450"/>
      <c r="H1614" s="450"/>
      <c r="I1614" s="450"/>
      <c r="J1614" s="450"/>
      <c r="M1614" s="373"/>
      <c r="N1614" s="373"/>
      <c r="O1614" s="373"/>
      <c r="P1614" s="356"/>
      <c r="R1614" s="348" t="str">
        <f t="shared" si="73"/>
        <v>DELETE</v>
      </c>
    </row>
    <row r="1615" spans="2:18" ht="9" customHeight="1" thickTop="1" x14ac:dyDescent="0.5">
      <c r="B1615" s="354"/>
      <c r="C1615" s="450"/>
      <c r="D1615" s="450"/>
      <c r="E1615" s="450"/>
      <c r="F1615" s="450"/>
      <c r="G1615" s="450"/>
      <c r="H1615" s="450"/>
      <c r="I1615" s="450"/>
      <c r="J1615" s="450"/>
      <c r="M1615" s="371"/>
      <c r="N1615" s="371"/>
      <c r="O1615" s="371"/>
      <c r="P1615" s="356"/>
      <c r="R1615" s="348" t="str">
        <f t="shared" si="73"/>
        <v>DELETE</v>
      </c>
    </row>
    <row r="1616" spans="2:18" ht="36" customHeight="1" x14ac:dyDescent="0.5">
      <c r="B1616" s="354"/>
      <c r="C1616" s="450" t="str">
        <f>IF(COUNTIF(TrialBalance!N304:N306,"&gt;0")&gt;1,"The shares of the associates are not publicly traded.",IF(COUNTIF(TrialBalance!L304:L306,"&gt;0")&gt;1,"The shares of the associates are not publicly traded.","The shares of the associate are not publicly traded."))</f>
        <v>The shares of the associate are not publicly traded.</v>
      </c>
      <c r="D1616" s="450"/>
      <c r="E1616" s="450"/>
      <c r="F1616" s="450"/>
      <c r="G1616" s="450"/>
      <c r="H1616" s="450"/>
      <c r="I1616" s="450"/>
      <c r="J1616" s="450"/>
      <c r="M1616" s="371"/>
      <c r="N1616" s="371"/>
      <c r="O1616" s="371"/>
      <c r="P1616" s="356"/>
      <c r="R1616" s="348" t="str">
        <f t="shared" si="73"/>
        <v>DELETE</v>
      </c>
    </row>
    <row r="1617" spans="2:18" ht="36" customHeight="1" x14ac:dyDescent="0.5">
      <c r="B1617" s="354"/>
      <c r="C1617" s="450"/>
      <c r="D1617" s="450"/>
      <c r="E1617" s="450"/>
      <c r="F1617" s="450"/>
      <c r="G1617" s="450"/>
      <c r="H1617" s="450"/>
      <c r="I1617" s="450"/>
      <c r="J1617" s="450"/>
      <c r="M1617" s="356"/>
      <c r="N1617" s="356"/>
      <c r="O1617" s="356"/>
      <c r="P1617" s="356"/>
      <c r="R1617" s="348" t="str">
        <f t="shared" si="73"/>
        <v>DELETE</v>
      </c>
    </row>
    <row r="1618" spans="2:18" ht="36" customHeight="1" x14ac:dyDescent="0.5">
      <c r="B1618" s="354"/>
      <c r="C1618" s="450"/>
      <c r="D1618" s="450"/>
      <c r="E1618" s="450"/>
      <c r="F1618" s="450"/>
      <c r="G1618" s="450"/>
      <c r="H1618" s="450"/>
      <c r="I1618" s="450"/>
      <c r="J1618" s="450"/>
      <c r="M1618" s="356"/>
      <c r="N1618" s="356"/>
      <c r="O1618" s="356"/>
      <c r="P1618" s="356"/>
      <c r="R1618" s="348" t="str">
        <f t="shared" si="73"/>
        <v>DELETE</v>
      </c>
    </row>
    <row r="1619" spans="2:18" ht="36" customHeight="1" x14ac:dyDescent="0.5">
      <c r="B1619" s="354"/>
      <c r="C1619" s="450"/>
      <c r="D1619" s="450"/>
      <c r="E1619" s="450"/>
      <c r="F1619" s="450"/>
      <c r="G1619" s="450"/>
      <c r="H1619" s="450"/>
      <c r="I1619" s="450"/>
      <c r="J1619" s="450"/>
      <c r="M1619" s="356"/>
      <c r="N1619" s="356"/>
      <c r="O1619" s="356"/>
      <c r="P1619" s="356"/>
      <c r="R1619" s="348" t="str">
        <f t="shared" si="73"/>
        <v>DELETE</v>
      </c>
    </row>
    <row r="1620" spans="2:18" ht="36" customHeight="1" x14ac:dyDescent="0.5">
      <c r="B1620" s="354"/>
      <c r="C1620" s="450"/>
      <c r="D1620" s="450"/>
      <c r="E1620" s="450"/>
      <c r="F1620" s="450"/>
      <c r="G1620" s="450"/>
      <c r="H1620" s="450"/>
      <c r="I1620" s="450"/>
      <c r="J1620" s="450"/>
      <c r="M1620" s="347"/>
      <c r="O1620" s="347"/>
      <c r="R1620" s="348" t="str">
        <f t="shared" si="73"/>
        <v>DELETE</v>
      </c>
    </row>
    <row r="1621" spans="2:18" ht="36" customHeight="1" x14ac:dyDescent="0.5">
      <c r="B1621" s="354"/>
      <c r="C1621" s="450"/>
      <c r="D1621" s="450"/>
      <c r="E1621" s="450"/>
      <c r="F1621" s="450"/>
      <c r="G1621" s="450"/>
      <c r="H1621" s="450"/>
      <c r="I1621" s="450"/>
      <c r="J1621" s="450"/>
      <c r="M1621" s="347"/>
      <c r="O1621" s="295" t="s">
        <v>89</v>
      </c>
      <c r="Q1621" s="292">
        <f>MAX($Q$105:Q1620)+1</f>
        <v>42</v>
      </c>
      <c r="R1621" s="348" t="str">
        <f>R$1640</f>
        <v>DELETE</v>
      </c>
    </row>
    <row r="1622" spans="2:18" ht="36" customHeight="1" x14ac:dyDescent="0.5">
      <c r="B1622" s="354"/>
      <c r="C1622" s="450"/>
      <c r="D1622" s="456" t="str">
        <f>Criteria!E9</f>
        <v>HOLDING COMPANY 268 (PROPRIETARY) LIMITED</v>
      </c>
      <c r="E1622" s="450"/>
      <c r="F1622" s="450"/>
      <c r="G1622" s="450"/>
      <c r="H1622" s="450"/>
      <c r="I1622" s="450"/>
      <c r="J1622" s="450"/>
      <c r="M1622" s="347"/>
      <c r="O1622" s="347"/>
      <c r="R1622" s="348" t="str">
        <f t="shared" ref="R1622:R1632" si="75">R$1640</f>
        <v>DELETE</v>
      </c>
    </row>
    <row r="1623" spans="2:18" ht="36" customHeight="1" x14ac:dyDescent="0.5">
      <c r="B1623" s="354"/>
      <c r="C1623" s="450"/>
      <c r="D1623" s="456" t="str">
        <f>Criteria!E10</f>
        <v>CONSOLIDATED FINANCIAL STATEMENTS</v>
      </c>
      <c r="E1623" s="450"/>
      <c r="F1623" s="450"/>
      <c r="G1623" s="450"/>
      <c r="H1623" s="450"/>
      <c r="I1623" s="450"/>
      <c r="J1623" s="450"/>
      <c r="M1623" s="347"/>
      <c r="O1623" s="347"/>
      <c r="R1623" s="348" t="str">
        <f>IF(R$1640="DELETE","DELETE",IF(D1623=0,"DELETE"," "))</f>
        <v>DELETE</v>
      </c>
    </row>
    <row r="1624" spans="2:18" ht="36" customHeight="1" x14ac:dyDescent="0.5">
      <c r="B1624" s="354"/>
      <c r="C1624" s="450"/>
      <c r="D1624" s="450"/>
      <c r="E1624" s="450"/>
      <c r="F1624" s="450"/>
      <c r="G1624" s="450"/>
      <c r="H1624" s="450"/>
      <c r="I1624" s="450"/>
      <c r="J1624" s="450"/>
      <c r="M1624" s="347"/>
      <c r="O1624" s="347"/>
      <c r="R1624" s="348" t="str">
        <f t="shared" si="75"/>
        <v>DELETE</v>
      </c>
    </row>
    <row r="1625" spans="2:18" ht="36" customHeight="1" x14ac:dyDescent="0.5">
      <c r="B1625" s="354"/>
      <c r="C1625" s="450"/>
      <c r="D1625" s="456" t="s">
        <v>351</v>
      </c>
      <c r="E1625" s="450"/>
      <c r="F1625" s="450"/>
      <c r="G1625" s="450"/>
      <c r="H1625" s="450"/>
      <c r="I1625" s="450"/>
      <c r="J1625" s="450"/>
      <c r="M1625" s="347"/>
      <c r="O1625" s="347"/>
      <c r="R1625" s="348" t="str">
        <f t="shared" si="75"/>
        <v>DELETE</v>
      </c>
    </row>
    <row r="1626" spans="2:18" ht="36" customHeight="1" x14ac:dyDescent="0.5">
      <c r="B1626" s="354"/>
      <c r="C1626" s="450"/>
      <c r="D1626" s="456" t="str">
        <f>Criteria!E20</f>
        <v>28 FEBRUARY 2025</v>
      </c>
      <c r="E1626" s="450"/>
      <c r="F1626" s="450"/>
      <c r="G1626" s="450"/>
      <c r="H1626" s="450"/>
      <c r="I1626" s="450"/>
      <c r="J1626" s="450" t="s">
        <v>231</v>
      </c>
      <c r="M1626" s="347"/>
      <c r="O1626" s="347"/>
      <c r="R1626" s="348" t="str">
        <f t="shared" si="75"/>
        <v>DELETE</v>
      </c>
    </row>
    <row r="1627" spans="2:18" ht="36" customHeight="1" x14ac:dyDescent="0.5">
      <c r="B1627" s="354"/>
      <c r="C1627" s="450"/>
      <c r="D1627" s="450"/>
      <c r="E1627" s="450"/>
      <c r="F1627" s="450"/>
      <c r="G1627" s="450"/>
      <c r="H1627" s="450"/>
      <c r="I1627" s="450"/>
      <c r="J1627" s="450"/>
      <c r="M1627" s="347"/>
      <c r="O1627" s="347"/>
      <c r="R1627" s="348" t="str">
        <f t="shared" si="75"/>
        <v>DELETE</v>
      </c>
    </row>
    <row r="1628" spans="2:18" ht="36" customHeight="1" x14ac:dyDescent="0.5">
      <c r="B1628" s="368"/>
      <c r="C1628" s="460"/>
      <c r="D1628" s="460"/>
      <c r="E1628" s="460"/>
      <c r="F1628" s="460"/>
      <c r="G1628" s="460"/>
      <c r="H1628" s="460"/>
      <c r="I1628" s="460"/>
      <c r="J1628" s="460"/>
      <c r="K1628" s="364"/>
      <c r="L1628" s="364"/>
      <c r="M1628" s="367"/>
      <c r="N1628" s="367"/>
      <c r="O1628" s="367"/>
      <c r="P1628" s="367"/>
      <c r="Q1628" s="364"/>
      <c r="R1628" s="348" t="str">
        <f t="shared" si="75"/>
        <v>DELETE</v>
      </c>
    </row>
    <row r="1629" spans="2:18" ht="36" customHeight="1" x14ac:dyDescent="0.5">
      <c r="B1629" s="354"/>
      <c r="C1629" s="450"/>
      <c r="D1629" s="450"/>
      <c r="E1629" s="450"/>
      <c r="F1629" s="450"/>
      <c r="G1629" s="450"/>
      <c r="H1629" s="450"/>
      <c r="I1629" s="450"/>
      <c r="J1629" s="450"/>
      <c r="M1629" s="294">
        <f>Criteria!E22</f>
        <v>2025</v>
      </c>
      <c r="N1629" s="294"/>
      <c r="O1629" s="294">
        <f>Criteria!E27</f>
        <v>2024</v>
      </c>
      <c r="R1629" s="348" t="str">
        <f t="shared" si="75"/>
        <v>DELETE</v>
      </c>
    </row>
    <row r="1630" spans="2:18" ht="36" customHeight="1" x14ac:dyDescent="0.5">
      <c r="B1630" s="354"/>
      <c r="C1630" s="450"/>
      <c r="D1630" s="450"/>
      <c r="E1630" s="450"/>
      <c r="F1630" s="450"/>
      <c r="G1630" s="450"/>
      <c r="H1630" s="450"/>
      <c r="I1630" s="450"/>
      <c r="J1630" s="450"/>
      <c r="M1630" s="347"/>
      <c r="O1630" s="347"/>
      <c r="R1630" s="348" t="str">
        <f t="shared" si="75"/>
        <v>DELETE</v>
      </c>
    </row>
    <row r="1631" spans="2:18" ht="36" customHeight="1" x14ac:dyDescent="0.5">
      <c r="B1631" s="316">
        <f>MAX(B$602:B1630)+1</f>
        <v>13</v>
      </c>
      <c r="C1631" s="456" t="str">
        <f>IF(COUNTIF(TrialBalance!N308:N312,"&gt;0")&gt;1,"Listed investments",IF(COUNTIF(TrialBalance!L308:L312,"&gt;0")&gt;1,"Listed investments","Listed investment"))</f>
        <v>Listed investment</v>
      </c>
      <c r="D1631" s="450"/>
      <c r="E1631" s="450"/>
      <c r="F1631" s="450"/>
      <c r="G1631" s="450"/>
      <c r="H1631" s="450"/>
      <c r="I1631" s="450"/>
      <c r="J1631" s="450"/>
      <c r="M1631" s="351"/>
      <c r="N1631" s="351"/>
      <c r="O1631" s="351"/>
      <c r="R1631" s="348" t="str">
        <f t="shared" si="75"/>
        <v>DELETE</v>
      </c>
    </row>
    <row r="1632" spans="2:18" ht="36" customHeight="1" x14ac:dyDescent="0.5">
      <c r="B1632" s="316"/>
      <c r="C1632" s="456"/>
      <c r="D1632" s="450"/>
      <c r="E1632" s="450"/>
      <c r="F1632" s="450"/>
      <c r="G1632" s="450"/>
      <c r="H1632" s="450"/>
      <c r="I1632" s="450"/>
      <c r="J1632" s="450"/>
      <c r="M1632" s="351"/>
      <c r="N1632" s="351"/>
      <c r="O1632" s="351"/>
      <c r="R1632" s="348" t="str">
        <f t="shared" si="75"/>
        <v>DELETE</v>
      </c>
    </row>
    <row r="1633" spans="2:18" ht="36" customHeight="1" x14ac:dyDescent="0.5">
      <c r="B1633" s="316"/>
      <c r="C1633" s="450">
        <f>TrialBalance!C308</f>
        <v>0</v>
      </c>
      <c r="D1633" s="459"/>
      <c r="E1633" s="450"/>
      <c r="F1633" s="450"/>
      <c r="G1633" s="450"/>
      <c r="H1633" s="450"/>
      <c r="I1633" s="450"/>
      <c r="J1633" s="450"/>
      <c r="M1633" s="296">
        <f>TrialBalance!L308</f>
        <v>0</v>
      </c>
      <c r="N1633" s="296"/>
      <c r="O1633" s="296">
        <f>TrialBalance!N308</f>
        <v>0</v>
      </c>
      <c r="R1633" s="348" t="str">
        <f>IF(M1633+O1633=0,"DELETE"," ")</f>
        <v>DELETE</v>
      </c>
    </row>
    <row r="1634" spans="2:18" ht="36" customHeight="1" x14ac:dyDescent="0.5">
      <c r="B1634" s="316"/>
      <c r="C1634" s="450">
        <f>TrialBalance!C309</f>
        <v>0</v>
      </c>
      <c r="D1634" s="459"/>
      <c r="E1634" s="450"/>
      <c r="F1634" s="450"/>
      <c r="G1634" s="450"/>
      <c r="H1634" s="450"/>
      <c r="I1634" s="450"/>
      <c r="J1634" s="450"/>
      <c r="M1634" s="296">
        <f>TrialBalance!L309</f>
        <v>0</v>
      </c>
      <c r="N1634" s="296"/>
      <c r="O1634" s="296">
        <f>TrialBalance!N309</f>
        <v>0</v>
      </c>
      <c r="R1634" s="348" t="str">
        <f>IF(M1634+O1634=0,"DELETE"," ")</f>
        <v>DELETE</v>
      </c>
    </row>
    <row r="1635" spans="2:18" ht="36" customHeight="1" x14ac:dyDescent="0.5">
      <c r="B1635" s="316"/>
      <c r="C1635" s="450">
        <f>TrialBalance!C310</f>
        <v>0</v>
      </c>
      <c r="D1635" s="459"/>
      <c r="E1635" s="450"/>
      <c r="F1635" s="450"/>
      <c r="G1635" s="450"/>
      <c r="H1635" s="450"/>
      <c r="I1635" s="450"/>
      <c r="J1635" s="450"/>
      <c r="M1635" s="296">
        <f>TrialBalance!L310</f>
        <v>0</v>
      </c>
      <c r="N1635" s="296"/>
      <c r="O1635" s="296">
        <f>TrialBalance!N310</f>
        <v>0</v>
      </c>
      <c r="R1635" s="348" t="str">
        <f>IF(M1635+O1635=0,"DELETE"," ")</f>
        <v>DELETE</v>
      </c>
    </row>
    <row r="1636" spans="2:18" ht="36" customHeight="1" x14ac:dyDescent="0.5">
      <c r="B1636" s="316"/>
      <c r="C1636" s="450">
        <f>TrialBalance!C311</f>
        <v>0</v>
      </c>
      <c r="D1636" s="459"/>
      <c r="E1636" s="450"/>
      <c r="F1636" s="450"/>
      <c r="G1636" s="450"/>
      <c r="H1636" s="450"/>
      <c r="I1636" s="450"/>
      <c r="J1636" s="450"/>
      <c r="M1636" s="296">
        <f>TrialBalance!L311</f>
        <v>0</v>
      </c>
      <c r="N1636" s="296"/>
      <c r="O1636" s="296">
        <f>TrialBalance!N311</f>
        <v>0</v>
      </c>
      <c r="R1636" s="348" t="str">
        <f>IF(M1636+O1636=0,"DELETE"," ")</f>
        <v>DELETE</v>
      </c>
    </row>
    <row r="1637" spans="2:18" ht="36" customHeight="1" x14ac:dyDescent="0.5">
      <c r="B1637" s="316"/>
      <c r="C1637" s="450">
        <f>TrialBalance!C312</f>
        <v>0</v>
      </c>
      <c r="D1637" s="459"/>
      <c r="E1637" s="450"/>
      <c r="F1637" s="450"/>
      <c r="G1637" s="450"/>
      <c r="H1637" s="450"/>
      <c r="I1637" s="450"/>
      <c r="J1637" s="450"/>
      <c r="M1637" s="296">
        <f>TrialBalance!L312</f>
        <v>0</v>
      </c>
      <c r="N1637" s="296"/>
      <c r="O1637" s="296">
        <f>TrialBalance!N312</f>
        <v>0</v>
      </c>
      <c r="R1637" s="348" t="str">
        <f>IF(M1637+O1637=0,"DELETE"," ")</f>
        <v>DELETE</v>
      </c>
    </row>
    <row r="1638" spans="2:18" ht="9" customHeight="1" x14ac:dyDescent="0.5">
      <c r="B1638" s="316"/>
      <c r="C1638" s="456"/>
      <c r="D1638" s="450"/>
      <c r="E1638" s="450"/>
      <c r="F1638" s="450"/>
      <c r="G1638" s="450"/>
      <c r="H1638" s="450"/>
      <c r="I1638" s="450"/>
      <c r="J1638" s="450"/>
      <c r="M1638" s="298"/>
      <c r="N1638" s="298"/>
      <c r="O1638" s="298"/>
      <c r="R1638" s="348" t="str">
        <f>R1640</f>
        <v>DELETE</v>
      </c>
    </row>
    <row r="1639" spans="2:18" ht="9" customHeight="1" x14ac:dyDescent="0.5">
      <c r="B1639" s="316"/>
      <c r="C1639" s="456"/>
      <c r="D1639" s="450"/>
      <c r="E1639" s="450"/>
      <c r="F1639" s="450"/>
      <c r="G1639" s="450"/>
      <c r="H1639" s="450"/>
      <c r="I1639" s="450"/>
      <c r="J1639" s="450"/>
      <c r="M1639" s="296"/>
      <c r="N1639" s="296"/>
      <c r="O1639" s="296"/>
      <c r="R1639" s="348" t="str">
        <f>R1640</f>
        <v>DELETE</v>
      </c>
    </row>
    <row r="1640" spans="2:18" ht="36.75" customHeight="1" x14ac:dyDescent="0.5">
      <c r="B1640" s="316"/>
      <c r="C1640" s="456"/>
      <c r="D1640" s="450"/>
      <c r="E1640" s="450"/>
      <c r="F1640" s="450"/>
      <c r="G1640" s="450"/>
      <c r="H1640" s="450"/>
      <c r="I1640" s="450"/>
      <c r="J1640" s="450"/>
      <c r="M1640" s="296">
        <f>SUM(M1633:M1639)</f>
        <v>0</v>
      </c>
      <c r="N1640" s="296"/>
      <c r="O1640" s="296">
        <f>SUM(O1633:O1639)</f>
        <v>0</v>
      </c>
      <c r="R1640" s="348" t="str">
        <f>IF(M1640+O1640=0,"DELETE"," ")</f>
        <v>DELETE</v>
      </c>
    </row>
    <row r="1641" spans="2:18" ht="9" customHeight="1" thickBot="1" x14ac:dyDescent="0.55000000000000004">
      <c r="B1641" s="316"/>
      <c r="C1641" s="456"/>
      <c r="D1641" s="450"/>
      <c r="E1641" s="450"/>
      <c r="F1641" s="450"/>
      <c r="G1641" s="450"/>
      <c r="H1641" s="450"/>
      <c r="I1641" s="450"/>
      <c r="J1641" s="450"/>
      <c r="M1641" s="299"/>
      <c r="N1641" s="299"/>
      <c r="O1641" s="299"/>
      <c r="R1641" s="348" t="str">
        <f>R1640</f>
        <v>DELETE</v>
      </c>
    </row>
    <row r="1642" spans="2:18" ht="9" customHeight="1" thickTop="1" x14ac:dyDescent="0.5">
      <c r="B1642" s="316"/>
      <c r="C1642" s="456"/>
      <c r="D1642" s="450"/>
      <c r="E1642" s="450"/>
      <c r="F1642" s="450"/>
      <c r="G1642" s="450"/>
      <c r="H1642" s="450"/>
      <c r="I1642" s="450"/>
      <c r="J1642" s="450"/>
      <c r="M1642" s="310"/>
      <c r="N1642" s="310"/>
      <c r="O1642" s="310"/>
      <c r="R1642" s="348" t="str">
        <f>R1641</f>
        <v>DELETE</v>
      </c>
    </row>
    <row r="1643" spans="2:18" ht="36.75" customHeight="1" x14ac:dyDescent="0.5">
      <c r="B1643" s="316"/>
      <c r="C1643" s="456"/>
      <c r="D1643" s="450"/>
      <c r="E1643" s="450"/>
      <c r="F1643" s="450"/>
      <c r="G1643" s="450"/>
      <c r="H1643" s="450"/>
      <c r="I1643" s="450"/>
      <c r="J1643" s="450"/>
      <c r="M1643" s="310"/>
      <c r="N1643" s="310"/>
      <c r="O1643" s="310"/>
      <c r="R1643" s="348" t="str">
        <f t="shared" ref="R1643:R1650" si="76">R$1640</f>
        <v>DELETE</v>
      </c>
    </row>
    <row r="1644" spans="2:18" ht="9" customHeight="1" x14ac:dyDescent="0.5">
      <c r="B1644" s="316"/>
      <c r="C1644" s="456"/>
      <c r="D1644" s="450"/>
      <c r="E1644" s="450"/>
      <c r="F1644" s="450"/>
      <c r="G1644" s="450"/>
      <c r="H1644" s="450"/>
      <c r="I1644" s="450"/>
      <c r="J1644" s="450"/>
      <c r="M1644" s="298"/>
      <c r="N1644" s="298"/>
      <c r="O1644" s="298"/>
      <c r="R1644" s="348" t="str">
        <f>R1645</f>
        <v>DELETE</v>
      </c>
    </row>
    <row r="1645" spans="2:18" ht="9" customHeight="1" x14ac:dyDescent="0.5">
      <c r="B1645" s="316"/>
      <c r="C1645" s="456"/>
      <c r="D1645" s="450"/>
      <c r="E1645" s="450"/>
      <c r="F1645" s="450"/>
      <c r="G1645" s="450"/>
      <c r="H1645" s="450"/>
      <c r="I1645" s="450"/>
      <c r="J1645" s="450"/>
      <c r="M1645" s="310"/>
      <c r="N1645" s="310"/>
      <c r="O1645" s="310"/>
      <c r="R1645" s="348" t="str">
        <f>R1646</f>
        <v>DELETE</v>
      </c>
    </row>
    <row r="1646" spans="2:18" ht="36.75" customHeight="1" x14ac:dyDescent="0.5">
      <c r="B1646" s="316"/>
      <c r="C1646" s="450" t="s">
        <v>695</v>
      </c>
      <c r="D1646" s="450"/>
      <c r="E1646" s="450"/>
      <c r="F1646" s="450"/>
      <c r="G1646" s="450"/>
      <c r="H1646" s="450"/>
      <c r="I1646" s="450"/>
      <c r="J1646" s="450"/>
      <c r="M1646" s="310">
        <f>Criteria!G237</f>
        <v>0</v>
      </c>
      <c r="N1646" s="310"/>
      <c r="O1646" s="310">
        <f>Criteria!H237</f>
        <v>0</v>
      </c>
      <c r="R1646" s="348" t="str">
        <f>IF(M1646+O1646=0,"DELETE"," ")</f>
        <v>DELETE</v>
      </c>
    </row>
    <row r="1647" spans="2:18" ht="9" customHeight="1" thickBot="1" x14ac:dyDescent="0.55000000000000004">
      <c r="B1647" s="316"/>
      <c r="C1647" s="450"/>
      <c r="D1647" s="450"/>
      <c r="E1647" s="450"/>
      <c r="F1647" s="450"/>
      <c r="G1647" s="450"/>
      <c r="H1647" s="450"/>
      <c r="I1647" s="450"/>
      <c r="J1647" s="450"/>
      <c r="M1647" s="299"/>
      <c r="N1647" s="299"/>
      <c r="O1647" s="299"/>
      <c r="R1647" s="348" t="str">
        <f>R1646</f>
        <v>DELETE</v>
      </c>
    </row>
    <row r="1648" spans="2:18" ht="9" customHeight="1" thickTop="1" x14ac:dyDescent="0.5">
      <c r="B1648" s="316"/>
      <c r="C1648" s="450"/>
      <c r="D1648" s="450"/>
      <c r="E1648" s="450"/>
      <c r="F1648" s="450"/>
      <c r="G1648" s="450"/>
      <c r="H1648" s="450"/>
      <c r="I1648" s="450"/>
      <c r="J1648" s="450"/>
      <c r="M1648" s="310"/>
      <c r="N1648" s="310"/>
      <c r="O1648" s="310"/>
      <c r="R1648" s="348" t="str">
        <f>R1647</f>
        <v>DELETE</v>
      </c>
    </row>
    <row r="1649" spans="2:24" ht="36" customHeight="1" x14ac:dyDescent="0.5">
      <c r="B1649" s="316"/>
      <c r="C1649" s="456"/>
      <c r="D1649" s="450"/>
      <c r="E1649" s="450"/>
      <c r="F1649" s="450"/>
      <c r="G1649" s="450"/>
      <c r="H1649" s="450"/>
      <c r="I1649" s="450"/>
      <c r="J1649" s="450"/>
      <c r="M1649" s="310"/>
      <c r="N1649" s="310"/>
      <c r="O1649" s="310"/>
      <c r="R1649" s="348" t="str">
        <f t="shared" si="76"/>
        <v>DELETE</v>
      </c>
    </row>
    <row r="1650" spans="2:24" ht="36" customHeight="1" x14ac:dyDescent="0.5">
      <c r="B1650" s="316"/>
      <c r="C1650" s="456"/>
      <c r="D1650" s="450"/>
      <c r="E1650" s="450"/>
      <c r="F1650" s="450"/>
      <c r="G1650" s="450"/>
      <c r="H1650" s="450"/>
      <c r="I1650" s="450"/>
      <c r="J1650" s="450"/>
      <c r="M1650" s="310"/>
      <c r="N1650" s="310"/>
      <c r="O1650" s="310"/>
      <c r="R1650" s="348" t="str">
        <f t="shared" si="76"/>
        <v>DELETE</v>
      </c>
    </row>
    <row r="1651" spans="2:24" ht="36" customHeight="1" x14ac:dyDescent="0.5">
      <c r="B1651" s="316"/>
      <c r="C1651" s="456"/>
      <c r="D1651" s="450"/>
      <c r="E1651" s="450"/>
      <c r="F1651" s="450"/>
      <c r="G1651" s="450"/>
      <c r="H1651" s="450"/>
      <c r="I1651" s="450"/>
      <c r="J1651" s="450"/>
      <c r="M1651" s="310"/>
      <c r="N1651" s="310"/>
      <c r="O1651" s="310"/>
      <c r="P1651" s="356"/>
      <c r="R1651" s="348" t="str">
        <f>R$1640</f>
        <v>DELETE</v>
      </c>
    </row>
    <row r="1652" spans="2:24" ht="36" customHeight="1" x14ac:dyDescent="0.5">
      <c r="B1652" s="316"/>
      <c r="C1652" s="456"/>
      <c r="D1652" s="450"/>
      <c r="E1652" s="450"/>
      <c r="F1652" s="450"/>
      <c r="G1652" s="450"/>
      <c r="H1652" s="450"/>
      <c r="I1652" s="450"/>
      <c r="J1652" s="450"/>
      <c r="M1652" s="296"/>
      <c r="N1652" s="296"/>
      <c r="O1652" s="296"/>
      <c r="R1652" s="348" t="str">
        <f>R$1640</f>
        <v>DELETE</v>
      </c>
    </row>
    <row r="1653" spans="2:24" ht="36" customHeight="1" x14ac:dyDescent="0.5">
      <c r="B1653" s="316"/>
      <c r="C1653" s="456"/>
      <c r="D1653" s="450"/>
      <c r="E1653" s="450"/>
      <c r="F1653" s="450"/>
      <c r="G1653" s="450"/>
      <c r="H1653" s="450"/>
      <c r="I1653" s="450"/>
      <c r="J1653" s="450"/>
      <c r="M1653" s="296"/>
      <c r="N1653" s="296"/>
      <c r="O1653" s="295" t="s">
        <v>89</v>
      </c>
      <c r="Q1653" s="292">
        <f>MAX($Q$105:Q1652)+1</f>
        <v>43</v>
      </c>
      <c r="R1653" s="348" t="str">
        <f>R$1672</f>
        <v>DELETE</v>
      </c>
    </row>
    <row r="1654" spans="2:24" ht="36" customHeight="1" x14ac:dyDescent="0.5">
      <c r="B1654" s="354"/>
      <c r="C1654" s="450"/>
      <c r="D1654" s="456" t="str">
        <f>Criteria!E9</f>
        <v>HOLDING COMPANY 268 (PROPRIETARY) LIMITED</v>
      </c>
      <c r="E1654" s="450"/>
      <c r="F1654" s="450"/>
      <c r="G1654" s="450"/>
      <c r="H1654" s="450"/>
      <c r="I1654" s="450"/>
      <c r="J1654" s="450"/>
      <c r="M1654" s="347"/>
      <c r="O1654" s="347"/>
      <c r="R1654" s="348" t="str">
        <f>R$1672</f>
        <v>DELETE</v>
      </c>
    </row>
    <row r="1655" spans="2:24" ht="36" customHeight="1" x14ac:dyDescent="0.5">
      <c r="B1655" s="354"/>
      <c r="C1655" s="450"/>
      <c r="D1655" s="456" t="str">
        <f>Criteria!E10</f>
        <v>CONSOLIDATED FINANCIAL STATEMENTS</v>
      </c>
      <c r="E1655" s="450"/>
      <c r="F1655" s="450"/>
      <c r="G1655" s="450"/>
      <c r="H1655" s="450"/>
      <c r="I1655" s="450"/>
      <c r="J1655" s="450"/>
      <c r="M1655" s="347"/>
      <c r="O1655" s="347"/>
      <c r="R1655" s="348" t="str">
        <f>IF(R$1672="DELETE","DELETE",IF(D1655=0,"DELETE"," "))</f>
        <v>DELETE</v>
      </c>
    </row>
    <row r="1656" spans="2:24" ht="36" customHeight="1" x14ac:dyDescent="0.5">
      <c r="B1656" s="354"/>
      <c r="C1656" s="450"/>
      <c r="D1656" s="450"/>
      <c r="E1656" s="450"/>
      <c r="F1656" s="450"/>
      <c r="G1656" s="450"/>
      <c r="H1656" s="450"/>
      <c r="I1656" s="450"/>
      <c r="J1656" s="450"/>
      <c r="M1656" s="347"/>
      <c r="O1656" s="347"/>
      <c r="R1656" s="348" t="str">
        <f t="shared" ref="R1656:R1664" si="77">R$1672</f>
        <v>DELETE</v>
      </c>
    </row>
    <row r="1657" spans="2:24" ht="36" customHeight="1" x14ac:dyDescent="0.5">
      <c r="B1657" s="354"/>
      <c r="C1657" s="450"/>
      <c r="D1657" s="456" t="s">
        <v>351</v>
      </c>
      <c r="E1657" s="450"/>
      <c r="F1657" s="450"/>
      <c r="G1657" s="450"/>
      <c r="H1657" s="450"/>
      <c r="I1657" s="450"/>
      <c r="J1657" s="450"/>
      <c r="M1657" s="347"/>
      <c r="O1657" s="347"/>
      <c r="R1657" s="348" t="str">
        <f t="shared" si="77"/>
        <v>DELETE</v>
      </c>
    </row>
    <row r="1658" spans="2:24" ht="36" customHeight="1" x14ac:dyDescent="0.5">
      <c r="B1658" s="354"/>
      <c r="C1658" s="450"/>
      <c r="D1658" s="456" t="str">
        <f>Criteria!E20</f>
        <v>28 FEBRUARY 2025</v>
      </c>
      <c r="E1658" s="450"/>
      <c r="F1658" s="450"/>
      <c r="G1658" s="450"/>
      <c r="H1658" s="450"/>
      <c r="I1658" s="450"/>
      <c r="J1658" s="450" t="s">
        <v>231</v>
      </c>
      <c r="M1658" s="347"/>
      <c r="O1658" s="347"/>
      <c r="R1658" s="348" t="str">
        <f t="shared" si="77"/>
        <v>DELETE</v>
      </c>
    </row>
    <row r="1659" spans="2:24" ht="36" customHeight="1" x14ac:dyDescent="0.5">
      <c r="B1659" s="354"/>
      <c r="C1659" s="450"/>
      <c r="D1659" s="450"/>
      <c r="E1659" s="450"/>
      <c r="F1659" s="450"/>
      <c r="G1659" s="450"/>
      <c r="H1659" s="450"/>
      <c r="I1659" s="450"/>
      <c r="J1659" s="450"/>
      <c r="M1659" s="347"/>
      <c r="O1659" s="347"/>
      <c r="R1659" s="348" t="str">
        <f t="shared" si="77"/>
        <v>DELETE</v>
      </c>
    </row>
    <row r="1660" spans="2:24" ht="36" customHeight="1" x14ac:dyDescent="0.5">
      <c r="B1660" s="368"/>
      <c r="C1660" s="460"/>
      <c r="D1660" s="460"/>
      <c r="E1660" s="460"/>
      <c r="F1660" s="460"/>
      <c r="G1660" s="460"/>
      <c r="H1660" s="460"/>
      <c r="I1660" s="460"/>
      <c r="J1660" s="460"/>
      <c r="K1660" s="364"/>
      <c r="L1660" s="364"/>
      <c r="M1660" s="367"/>
      <c r="N1660" s="367"/>
      <c r="O1660" s="367"/>
      <c r="P1660" s="367"/>
      <c r="Q1660" s="364"/>
      <c r="R1660" s="348" t="str">
        <f t="shared" si="77"/>
        <v>DELETE</v>
      </c>
    </row>
    <row r="1661" spans="2:24" ht="36" customHeight="1" x14ac:dyDescent="0.5">
      <c r="B1661" s="354"/>
      <c r="C1661" s="450"/>
      <c r="D1661" s="450"/>
      <c r="E1661" s="450"/>
      <c r="F1661" s="450"/>
      <c r="G1661" s="450"/>
      <c r="H1661" s="450"/>
      <c r="I1661" s="450"/>
      <c r="J1661" s="450"/>
      <c r="M1661" s="294">
        <f>Criteria!E22</f>
        <v>2025</v>
      </c>
      <c r="N1661" s="294"/>
      <c r="O1661" s="294">
        <f>Criteria!E27</f>
        <v>2024</v>
      </c>
      <c r="R1661" s="348" t="str">
        <f t="shared" si="77"/>
        <v>DELETE</v>
      </c>
    </row>
    <row r="1662" spans="2:24" ht="36" customHeight="1" x14ac:dyDescent="0.5">
      <c r="B1662" s="316"/>
      <c r="C1662" s="456"/>
      <c r="D1662" s="450"/>
      <c r="E1662" s="450"/>
      <c r="F1662" s="450"/>
      <c r="G1662" s="450"/>
      <c r="H1662" s="450"/>
      <c r="I1662" s="450"/>
      <c r="J1662" s="450"/>
      <c r="M1662" s="296"/>
      <c r="N1662" s="296"/>
      <c r="O1662" s="296"/>
      <c r="R1662" s="348" t="str">
        <f t="shared" si="77"/>
        <v>DELETE</v>
      </c>
    </row>
    <row r="1663" spans="2:24" ht="36" customHeight="1" x14ac:dyDescent="0.5">
      <c r="B1663" s="316">
        <f>MAX(B$602:B1662)+1</f>
        <v>14</v>
      </c>
      <c r="C1663" s="456" t="str">
        <f>IF(COUNTIF(TrialBalance!N314:N318,"&gt;0")&gt;1,"Other investments",IF(COUNTIF(TrialBalance!L314:L318,"&gt;0")&gt;1,"Other investments","Other investment"))</f>
        <v>Other investment</v>
      </c>
      <c r="D1663" s="459"/>
      <c r="E1663" s="450"/>
      <c r="F1663" s="450"/>
      <c r="G1663" s="450"/>
      <c r="H1663" s="450"/>
      <c r="I1663" s="450"/>
      <c r="J1663" s="450"/>
      <c r="M1663" s="296"/>
      <c r="N1663" s="296"/>
      <c r="O1663" s="296"/>
      <c r="R1663" s="348" t="str">
        <f t="shared" si="77"/>
        <v>DELETE</v>
      </c>
      <c r="S1663" s="336"/>
      <c r="T1663" s="336"/>
      <c r="U1663" s="336"/>
      <c r="V1663" s="336"/>
      <c r="W1663" s="336"/>
      <c r="X1663" s="336"/>
    </row>
    <row r="1664" spans="2:24" ht="36" customHeight="1" x14ac:dyDescent="0.5">
      <c r="B1664" s="316"/>
      <c r="C1664" s="456"/>
      <c r="D1664" s="459"/>
      <c r="E1664" s="450"/>
      <c r="F1664" s="450"/>
      <c r="G1664" s="450"/>
      <c r="H1664" s="450"/>
      <c r="I1664" s="450"/>
      <c r="J1664" s="450"/>
      <c r="M1664" s="296"/>
      <c r="N1664" s="296"/>
      <c r="O1664" s="296"/>
      <c r="R1664" s="348" t="str">
        <f t="shared" si="77"/>
        <v>DELETE</v>
      </c>
      <c r="S1664" s="336"/>
      <c r="T1664" s="336"/>
      <c r="U1664" s="336"/>
      <c r="V1664" s="336"/>
      <c r="W1664" s="336"/>
      <c r="X1664" s="336"/>
    </row>
    <row r="1665" spans="2:24" ht="36" customHeight="1" x14ac:dyDescent="0.5">
      <c r="B1665" s="316"/>
      <c r="C1665" s="450">
        <f>TrialBalance!C314</f>
        <v>0</v>
      </c>
      <c r="D1665" s="459"/>
      <c r="E1665" s="450"/>
      <c r="F1665" s="450"/>
      <c r="G1665" s="450"/>
      <c r="H1665" s="450"/>
      <c r="I1665" s="450"/>
      <c r="J1665" s="450"/>
      <c r="M1665" s="296">
        <f>TrialBalance!L314</f>
        <v>0</v>
      </c>
      <c r="N1665" s="296"/>
      <c r="O1665" s="296">
        <f>TrialBalance!N314</f>
        <v>0</v>
      </c>
      <c r="R1665" s="348" t="str">
        <f>IF(M1665+O1665=0,"DELETE"," ")</f>
        <v>DELETE</v>
      </c>
    </row>
    <row r="1666" spans="2:24" ht="36" customHeight="1" x14ac:dyDescent="0.5">
      <c r="B1666" s="316"/>
      <c r="C1666" s="450">
        <f>TrialBalance!C315</f>
        <v>0</v>
      </c>
      <c r="D1666" s="459"/>
      <c r="E1666" s="450"/>
      <c r="F1666" s="450"/>
      <c r="G1666" s="450"/>
      <c r="H1666" s="450"/>
      <c r="I1666" s="450"/>
      <c r="J1666" s="450"/>
      <c r="M1666" s="296">
        <f>TrialBalance!L315</f>
        <v>0</v>
      </c>
      <c r="N1666" s="296"/>
      <c r="O1666" s="296">
        <f>TrialBalance!N315</f>
        <v>0</v>
      </c>
      <c r="R1666" s="348" t="str">
        <f>IF(M1666+O1666=0,"DELETE"," ")</f>
        <v>DELETE</v>
      </c>
    </row>
    <row r="1667" spans="2:24" ht="36" customHeight="1" x14ac:dyDescent="0.5">
      <c r="B1667" s="316"/>
      <c r="C1667" s="450">
        <f>TrialBalance!C316</f>
        <v>0</v>
      </c>
      <c r="D1667" s="459"/>
      <c r="E1667" s="450"/>
      <c r="F1667" s="450"/>
      <c r="G1667" s="450"/>
      <c r="H1667" s="450"/>
      <c r="I1667" s="450"/>
      <c r="J1667" s="450"/>
      <c r="M1667" s="296">
        <f>TrialBalance!L316</f>
        <v>0</v>
      </c>
      <c r="N1667" s="296"/>
      <c r="O1667" s="296">
        <f>TrialBalance!N316</f>
        <v>0</v>
      </c>
      <c r="R1667" s="348" t="str">
        <f>IF(M1667+O1667=0,"DELETE"," ")</f>
        <v>DELETE</v>
      </c>
    </row>
    <row r="1668" spans="2:24" ht="36" customHeight="1" x14ac:dyDescent="0.5">
      <c r="B1668" s="316"/>
      <c r="C1668" s="450">
        <f>TrialBalance!C317</f>
        <v>0</v>
      </c>
      <c r="D1668" s="459"/>
      <c r="E1668" s="450"/>
      <c r="F1668" s="450"/>
      <c r="G1668" s="450"/>
      <c r="H1668" s="450"/>
      <c r="I1668" s="450"/>
      <c r="J1668" s="450"/>
      <c r="M1668" s="296">
        <f>TrialBalance!L317</f>
        <v>0</v>
      </c>
      <c r="N1668" s="296"/>
      <c r="O1668" s="296">
        <f>TrialBalance!N317</f>
        <v>0</v>
      </c>
      <c r="R1668" s="348" t="str">
        <f>IF(M1668+O1668=0,"DELETE"," ")</f>
        <v>DELETE</v>
      </c>
    </row>
    <row r="1669" spans="2:24" ht="36" customHeight="1" x14ac:dyDescent="0.5">
      <c r="B1669" s="316"/>
      <c r="C1669" s="450">
        <f>TrialBalance!C318</f>
        <v>0</v>
      </c>
      <c r="D1669" s="459"/>
      <c r="E1669" s="450"/>
      <c r="F1669" s="450"/>
      <c r="G1669" s="450"/>
      <c r="H1669" s="450"/>
      <c r="I1669" s="450"/>
      <c r="J1669" s="450"/>
      <c r="M1669" s="296">
        <f>TrialBalance!L318</f>
        <v>0</v>
      </c>
      <c r="N1669" s="296"/>
      <c r="O1669" s="296">
        <f>TrialBalance!N318</f>
        <v>0</v>
      </c>
      <c r="R1669" s="348" t="str">
        <f>IF(M1669+O1669=0,"DELETE"," ")</f>
        <v>DELETE</v>
      </c>
    </row>
    <row r="1670" spans="2:24" ht="9" customHeight="1" x14ac:dyDescent="0.5">
      <c r="B1670" s="316"/>
      <c r="C1670" s="456"/>
      <c r="D1670" s="450"/>
      <c r="E1670" s="450"/>
      <c r="F1670" s="450"/>
      <c r="G1670" s="450"/>
      <c r="H1670" s="450"/>
      <c r="I1670" s="450"/>
      <c r="J1670" s="450"/>
      <c r="M1670" s="298"/>
      <c r="N1670" s="298"/>
      <c r="O1670" s="298"/>
      <c r="R1670" s="348" t="str">
        <f>R1672</f>
        <v>DELETE</v>
      </c>
    </row>
    <row r="1671" spans="2:24" ht="9" customHeight="1" x14ac:dyDescent="0.5">
      <c r="B1671" s="316"/>
      <c r="C1671" s="456"/>
      <c r="D1671" s="450"/>
      <c r="E1671" s="450"/>
      <c r="F1671" s="450"/>
      <c r="G1671" s="450"/>
      <c r="H1671" s="450"/>
      <c r="I1671" s="450"/>
      <c r="J1671" s="450"/>
      <c r="M1671" s="296"/>
      <c r="N1671" s="296"/>
      <c r="O1671" s="296"/>
      <c r="R1671" s="348" t="str">
        <f>R1672</f>
        <v>DELETE</v>
      </c>
    </row>
    <row r="1672" spans="2:24" ht="36.75" customHeight="1" x14ac:dyDescent="0.5">
      <c r="B1672" s="316"/>
      <c r="C1672" s="456"/>
      <c r="D1672" s="450"/>
      <c r="E1672" s="450"/>
      <c r="F1672" s="450"/>
      <c r="G1672" s="450"/>
      <c r="H1672" s="450"/>
      <c r="I1672" s="450"/>
      <c r="J1672" s="450"/>
      <c r="M1672" s="296">
        <f>SUM(M1665:M1671)</f>
        <v>0</v>
      </c>
      <c r="N1672" s="296"/>
      <c r="O1672" s="296">
        <f>SUM(O1665:O1671)</f>
        <v>0</v>
      </c>
      <c r="R1672" s="348" t="str">
        <f>IF(M1672+O1672=0,"DELETE"," ")</f>
        <v>DELETE</v>
      </c>
      <c r="V1672" s="338"/>
      <c r="W1672" s="338"/>
      <c r="X1672" s="338"/>
    </row>
    <row r="1673" spans="2:24" ht="9" customHeight="1" thickBot="1" x14ac:dyDescent="0.55000000000000004">
      <c r="B1673" s="316"/>
      <c r="C1673" s="456"/>
      <c r="D1673" s="450"/>
      <c r="E1673" s="450"/>
      <c r="F1673" s="450"/>
      <c r="G1673" s="450"/>
      <c r="H1673" s="450"/>
      <c r="I1673" s="450"/>
      <c r="J1673" s="450"/>
      <c r="M1673" s="299"/>
      <c r="N1673" s="299"/>
      <c r="O1673" s="299"/>
      <c r="R1673" s="348" t="str">
        <f>R1672</f>
        <v>DELETE</v>
      </c>
    </row>
    <row r="1674" spans="2:24" ht="9" customHeight="1" thickTop="1" x14ac:dyDescent="0.5">
      <c r="B1674" s="316"/>
      <c r="C1674" s="456"/>
      <c r="D1674" s="450"/>
      <c r="E1674" s="450"/>
      <c r="F1674" s="450"/>
      <c r="G1674" s="450"/>
      <c r="H1674" s="450"/>
      <c r="I1674" s="450"/>
      <c r="J1674" s="450"/>
      <c r="M1674" s="310"/>
      <c r="N1674" s="310"/>
      <c r="O1674" s="310"/>
      <c r="R1674" s="348" t="str">
        <f>R1673</f>
        <v>DELETE</v>
      </c>
    </row>
    <row r="1675" spans="2:24" ht="36.75" customHeight="1" x14ac:dyDescent="0.5">
      <c r="B1675" s="316"/>
      <c r="C1675" s="456"/>
      <c r="D1675" s="450"/>
      <c r="E1675" s="450"/>
      <c r="F1675" s="450"/>
      <c r="G1675" s="450"/>
      <c r="H1675" s="450"/>
      <c r="I1675" s="450"/>
      <c r="J1675" s="450"/>
      <c r="M1675" s="296"/>
      <c r="N1675" s="296"/>
      <c r="O1675" s="296"/>
      <c r="R1675" s="348" t="str">
        <f t="shared" ref="R1675:R1684" si="78">R$1672</f>
        <v>DELETE</v>
      </c>
    </row>
    <row r="1676" spans="2:24" ht="9" customHeight="1" x14ac:dyDescent="0.5">
      <c r="B1676" s="316"/>
      <c r="C1676" s="456"/>
      <c r="D1676" s="450"/>
      <c r="E1676" s="450"/>
      <c r="F1676" s="450"/>
      <c r="G1676" s="450"/>
      <c r="H1676" s="450"/>
      <c r="I1676" s="450"/>
      <c r="J1676" s="450"/>
      <c r="M1676" s="298"/>
      <c r="N1676" s="298"/>
      <c r="O1676" s="298"/>
      <c r="R1676" s="348" t="str">
        <f>R1677</f>
        <v>DELETE</v>
      </c>
    </row>
    <row r="1677" spans="2:24" ht="9" customHeight="1" x14ac:dyDescent="0.5">
      <c r="B1677" s="316"/>
      <c r="C1677" s="456"/>
      <c r="D1677" s="450"/>
      <c r="E1677" s="450"/>
      <c r="F1677" s="450"/>
      <c r="G1677" s="450"/>
      <c r="H1677" s="450"/>
      <c r="I1677" s="450"/>
      <c r="J1677" s="450"/>
      <c r="M1677" s="296"/>
      <c r="N1677" s="296"/>
      <c r="O1677" s="296"/>
      <c r="R1677" s="348" t="str">
        <f>R1678</f>
        <v>DELETE</v>
      </c>
    </row>
    <row r="1678" spans="2:24" ht="36.75" customHeight="1" x14ac:dyDescent="0.5">
      <c r="B1678" s="316"/>
      <c r="C1678" s="450" t="str">
        <f>IF(MAX(Criteria!I38:I42)&gt;1,"Directors' valuation","Director's valuation")</f>
        <v>Directors' valuation</v>
      </c>
      <c r="D1678" s="450"/>
      <c r="E1678" s="450"/>
      <c r="F1678" s="450"/>
      <c r="G1678" s="450"/>
      <c r="H1678" s="450"/>
      <c r="I1678" s="450"/>
      <c r="J1678" s="450"/>
      <c r="M1678" s="296">
        <f>Criteria!G240</f>
        <v>0</v>
      </c>
      <c r="N1678" s="296"/>
      <c r="O1678" s="296">
        <f>Criteria!H240</f>
        <v>0</v>
      </c>
      <c r="R1678" s="348" t="str">
        <f>IF(M1678+O1678=0,"DELETE"," ")</f>
        <v>DELETE</v>
      </c>
    </row>
    <row r="1679" spans="2:24" ht="9" customHeight="1" thickBot="1" x14ac:dyDescent="0.55000000000000004">
      <c r="B1679" s="316"/>
      <c r="C1679" s="456"/>
      <c r="D1679" s="450"/>
      <c r="E1679" s="450"/>
      <c r="F1679" s="450"/>
      <c r="G1679" s="450"/>
      <c r="H1679" s="450"/>
      <c r="I1679" s="450"/>
      <c r="J1679" s="450"/>
      <c r="M1679" s="299"/>
      <c r="N1679" s="299"/>
      <c r="O1679" s="299"/>
      <c r="R1679" s="348" t="str">
        <f>R1678</f>
        <v>DELETE</v>
      </c>
    </row>
    <row r="1680" spans="2:24" ht="9" customHeight="1" thickTop="1" x14ac:dyDescent="0.5">
      <c r="B1680" s="316"/>
      <c r="C1680" s="456"/>
      <c r="D1680" s="450"/>
      <c r="E1680" s="450"/>
      <c r="F1680" s="450"/>
      <c r="G1680" s="450"/>
      <c r="H1680" s="450"/>
      <c r="I1680" s="450"/>
      <c r="J1680" s="450"/>
      <c r="M1680" s="296"/>
      <c r="N1680" s="296"/>
      <c r="O1680" s="296"/>
      <c r="R1680" s="348" t="str">
        <f>R1679</f>
        <v>DELETE</v>
      </c>
    </row>
    <row r="1681" spans="2:18" ht="36" customHeight="1" x14ac:dyDescent="0.5">
      <c r="B1681" s="316"/>
      <c r="C1681" s="456"/>
      <c r="D1681" s="450"/>
      <c r="E1681" s="450"/>
      <c r="F1681" s="450"/>
      <c r="G1681" s="450"/>
      <c r="H1681" s="450"/>
      <c r="I1681" s="450"/>
      <c r="J1681" s="450"/>
      <c r="M1681" s="296"/>
      <c r="N1681" s="296"/>
      <c r="O1681" s="296"/>
      <c r="R1681" s="348" t="str">
        <f t="shared" si="78"/>
        <v>DELETE</v>
      </c>
    </row>
    <row r="1682" spans="2:18" ht="36" customHeight="1" x14ac:dyDescent="0.5">
      <c r="B1682" s="316"/>
      <c r="C1682" s="456"/>
      <c r="D1682" s="450"/>
      <c r="E1682" s="450"/>
      <c r="F1682" s="450"/>
      <c r="G1682" s="450"/>
      <c r="H1682" s="450"/>
      <c r="I1682" s="450"/>
      <c r="J1682" s="450"/>
      <c r="M1682" s="296"/>
      <c r="N1682" s="296"/>
      <c r="O1682" s="296"/>
      <c r="R1682" s="348" t="str">
        <f t="shared" si="78"/>
        <v>DELETE</v>
      </c>
    </row>
    <row r="1683" spans="2:18" ht="36" customHeight="1" x14ac:dyDescent="0.5">
      <c r="B1683" s="316"/>
      <c r="C1683" s="456"/>
      <c r="D1683" s="450"/>
      <c r="E1683" s="450"/>
      <c r="F1683" s="450"/>
      <c r="G1683" s="450"/>
      <c r="H1683" s="450"/>
      <c r="I1683" s="450"/>
      <c r="J1683" s="450"/>
      <c r="M1683" s="310"/>
      <c r="N1683" s="310"/>
      <c r="O1683" s="310"/>
      <c r="P1683" s="356"/>
      <c r="R1683" s="348" t="str">
        <f t="shared" si="78"/>
        <v>DELETE</v>
      </c>
    </row>
    <row r="1684" spans="2:18" ht="36" customHeight="1" x14ac:dyDescent="0.5">
      <c r="B1684" s="316"/>
      <c r="C1684" s="456"/>
      <c r="D1684" s="450"/>
      <c r="E1684" s="450"/>
      <c r="F1684" s="450"/>
      <c r="G1684" s="450"/>
      <c r="H1684" s="450"/>
      <c r="I1684" s="450"/>
      <c r="J1684" s="450"/>
      <c r="M1684" s="296"/>
      <c r="N1684" s="296"/>
      <c r="O1684" s="296"/>
      <c r="R1684" s="348" t="str">
        <f t="shared" si="78"/>
        <v>DELETE</v>
      </c>
    </row>
    <row r="1685" spans="2:18" ht="36" customHeight="1" x14ac:dyDescent="0.5">
      <c r="B1685" s="354"/>
      <c r="C1685" s="450"/>
      <c r="D1685" s="450"/>
      <c r="E1685" s="450"/>
      <c r="F1685" s="450"/>
      <c r="G1685" s="450"/>
      <c r="H1685" s="450"/>
      <c r="I1685" s="450"/>
      <c r="J1685" s="450"/>
      <c r="M1685" s="351"/>
      <c r="N1685" s="351"/>
      <c r="O1685" s="296" t="s">
        <v>89</v>
      </c>
      <c r="Q1685" s="292">
        <f>MAX($Q$105:Q1684)+1</f>
        <v>44</v>
      </c>
      <c r="R1685" s="348" t="str">
        <f>R$1737</f>
        <v>DELETE</v>
      </c>
    </row>
    <row r="1686" spans="2:18" ht="36" customHeight="1" x14ac:dyDescent="0.5">
      <c r="B1686" s="354"/>
      <c r="C1686" s="450"/>
      <c r="D1686" s="456" t="str">
        <f>Criteria!E9</f>
        <v>HOLDING COMPANY 268 (PROPRIETARY) LIMITED</v>
      </c>
      <c r="E1686" s="450"/>
      <c r="F1686" s="450"/>
      <c r="G1686" s="450"/>
      <c r="H1686" s="450"/>
      <c r="I1686" s="450"/>
      <c r="J1686" s="450"/>
      <c r="M1686" s="351"/>
      <c r="N1686" s="351"/>
      <c r="O1686" s="347"/>
      <c r="R1686" s="348" t="str">
        <f t="shared" ref="R1686:R1696" si="79">R$1737</f>
        <v>DELETE</v>
      </c>
    </row>
    <row r="1687" spans="2:18" ht="36" customHeight="1" x14ac:dyDescent="0.5">
      <c r="B1687" s="354"/>
      <c r="C1687" s="450"/>
      <c r="D1687" s="456" t="str">
        <f>Criteria!E10</f>
        <v>CONSOLIDATED FINANCIAL STATEMENTS</v>
      </c>
      <c r="E1687" s="450"/>
      <c r="F1687" s="450"/>
      <c r="G1687" s="450"/>
      <c r="H1687" s="450"/>
      <c r="I1687" s="450"/>
      <c r="J1687" s="450"/>
      <c r="M1687" s="351"/>
      <c r="N1687" s="351"/>
      <c r="O1687" s="351"/>
      <c r="R1687" s="348" t="str">
        <f>IF(R$1737="DELETE","DELETE",IF(D1687=0,"DELETE"," "))</f>
        <v>DELETE</v>
      </c>
    </row>
    <row r="1688" spans="2:18" ht="36" customHeight="1" x14ac:dyDescent="0.5">
      <c r="B1688" s="354"/>
      <c r="C1688" s="450"/>
      <c r="D1688" s="450"/>
      <c r="E1688" s="450"/>
      <c r="F1688" s="450"/>
      <c r="G1688" s="450"/>
      <c r="H1688" s="450"/>
      <c r="I1688" s="450"/>
      <c r="J1688" s="450"/>
      <c r="M1688" s="351"/>
      <c r="N1688" s="351"/>
      <c r="O1688" s="351"/>
      <c r="R1688" s="348" t="str">
        <f t="shared" si="79"/>
        <v>DELETE</v>
      </c>
    </row>
    <row r="1689" spans="2:18" ht="36" customHeight="1" x14ac:dyDescent="0.5">
      <c r="B1689" s="354"/>
      <c r="C1689" s="450"/>
      <c r="D1689" s="456" t="s">
        <v>351</v>
      </c>
      <c r="E1689" s="450"/>
      <c r="F1689" s="450"/>
      <c r="G1689" s="450"/>
      <c r="H1689" s="450"/>
      <c r="I1689" s="450"/>
      <c r="J1689" s="450"/>
      <c r="M1689" s="351"/>
      <c r="N1689" s="351"/>
      <c r="O1689" s="351"/>
      <c r="R1689" s="348" t="str">
        <f t="shared" si="79"/>
        <v>DELETE</v>
      </c>
    </row>
    <row r="1690" spans="2:18" ht="36" customHeight="1" x14ac:dyDescent="0.5">
      <c r="B1690" s="354"/>
      <c r="C1690" s="450"/>
      <c r="D1690" s="456" t="str">
        <f>Criteria!E20</f>
        <v>28 FEBRUARY 2025</v>
      </c>
      <c r="E1690" s="450"/>
      <c r="F1690" s="450"/>
      <c r="G1690" s="450"/>
      <c r="H1690" s="450"/>
      <c r="I1690" s="450"/>
      <c r="J1690" s="450" t="s">
        <v>231</v>
      </c>
      <c r="M1690" s="351"/>
      <c r="N1690" s="351"/>
      <c r="O1690" s="351"/>
      <c r="R1690" s="348" t="str">
        <f t="shared" si="79"/>
        <v>DELETE</v>
      </c>
    </row>
    <row r="1691" spans="2:18" ht="36" customHeight="1" x14ac:dyDescent="0.5">
      <c r="B1691" s="354"/>
      <c r="C1691" s="450"/>
      <c r="D1691" s="450"/>
      <c r="E1691" s="450"/>
      <c r="F1691" s="450"/>
      <c r="G1691" s="450"/>
      <c r="H1691" s="450"/>
      <c r="I1691" s="450"/>
      <c r="J1691" s="450"/>
      <c r="M1691" s="372"/>
      <c r="N1691" s="372"/>
      <c r="O1691" s="372"/>
      <c r="R1691" s="348" t="str">
        <f t="shared" si="79"/>
        <v>DELETE</v>
      </c>
    </row>
    <row r="1692" spans="2:18" ht="36" customHeight="1" x14ac:dyDescent="0.5">
      <c r="B1692" s="368"/>
      <c r="C1692" s="460"/>
      <c r="D1692" s="460"/>
      <c r="E1692" s="460"/>
      <c r="F1692" s="460"/>
      <c r="G1692" s="460"/>
      <c r="H1692" s="460"/>
      <c r="I1692" s="460"/>
      <c r="J1692" s="460"/>
      <c r="K1692" s="364"/>
      <c r="L1692" s="364"/>
      <c r="M1692" s="378"/>
      <c r="N1692" s="378"/>
      <c r="O1692" s="378"/>
      <c r="P1692" s="367"/>
      <c r="Q1692" s="364"/>
      <c r="R1692" s="348" t="str">
        <f t="shared" si="79"/>
        <v>DELETE</v>
      </c>
    </row>
    <row r="1693" spans="2:18" ht="36" customHeight="1" x14ac:dyDescent="0.5">
      <c r="B1693" s="316"/>
      <c r="C1693" s="456"/>
      <c r="D1693" s="450"/>
      <c r="E1693" s="450"/>
      <c r="F1693" s="450"/>
      <c r="G1693" s="450"/>
      <c r="H1693" s="450"/>
      <c r="I1693" s="450"/>
      <c r="J1693" s="450"/>
      <c r="M1693" s="294">
        <f>Criteria!E22</f>
        <v>2025</v>
      </c>
      <c r="N1693" s="294"/>
      <c r="O1693" s="294">
        <f>Criteria!E27</f>
        <v>2024</v>
      </c>
      <c r="R1693" s="348" t="str">
        <f t="shared" si="79"/>
        <v>DELETE</v>
      </c>
    </row>
    <row r="1694" spans="2:18" ht="36" customHeight="1" x14ac:dyDescent="0.5">
      <c r="B1694" s="316"/>
      <c r="C1694" s="456"/>
      <c r="D1694" s="450"/>
      <c r="E1694" s="450"/>
      <c r="F1694" s="450"/>
      <c r="G1694" s="450"/>
      <c r="H1694" s="450"/>
      <c r="I1694" s="450"/>
      <c r="J1694" s="450"/>
      <c r="M1694" s="296"/>
      <c r="N1694" s="296"/>
      <c r="O1694" s="296"/>
      <c r="R1694" s="348" t="str">
        <f t="shared" si="79"/>
        <v>DELETE</v>
      </c>
    </row>
    <row r="1695" spans="2:18" ht="36" customHeight="1" x14ac:dyDescent="0.5">
      <c r="B1695" s="316">
        <f>MAX(B$602:B1694)+1</f>
        <v>15</v>
      </c>
      <c r="C1695" s="456" t="str">
        <f>IF(COUNTIF(TrialBalance!N320:N353,"&gt;0")&gt;1,"Non-current receivables",IF(COUNTIF(TrialBalance!L320:L353,"&gt;0")&gt;1,"Non-current receivables","Non-current receivable"))</f>
        <v>Non-current receivable</v>
      </c>
      <c r="D1695" s="450"/>
      <c r="E1695" s="450"/>
      <c r="F1695" s="450"/>
      <c r="G1695" s="450"/>
      <c r="H1695" s="450"/>
      <c r="I1695" s="450"/>
      <c r="J1695" s="450"/>
      <c r="M1695" s="296"/>
      <c r="N1695" s="296"/>
      <c r="O1695" s="296"/>
      <c r="R1695" s="348" t="str">
        <f t="shared" si="79"/>
        <v>DELETE</v>
      </c>
    </row>
    <row r="1696" spans="2:18" ht="36" customHeight="1" x14ac:dyDescent="0.5">
      <c r="B1696" s="316"/>
      <c r="C1696" s="456"/>
      <c r="D1696" s="450"/>
      <c r="E1696" s="450"/>
      <c r="F1696" s="450"/>
      <c r="G1696" s="450"/>
      <c r="H1696" s="450"/>
      <c r="I1696" s="450"/>
      <c r="J1696" s="450"/>
      <c r="M1696" s="296"/>
      <c r="N1696" s="296"/>
      <c r="O1696" s="296"/>
      <c r="R1696" s="348" t="str">
        <f t="shared" si="79"/>
        <v>DELETE</v>
      </c>
    </row>
    <row r="1697" spans="2:21" ht="36" customHeight="1" x14ac:dyDescent="0.5">
      <c r="B1697" s="316"/>
      <c r="C1697" s="450" t="str">
        <f>IF(COUNTIF(O1700:O1713,"&gt;0")&gt;1,"Interest bearing non-current receivables",IF(COUNTIF(M1700:M1713,"&gt;0")&gt;1,"Interest bearing non-current receivables","Interest bearing non-current receivable"))</f>
        <v>Interest bearing non-current receivable</v>
      </c>
      <c r="D1697" s="450"/>
      <c r="E1697" s="450"/>
      <c r="F1697" s="450"/>
      <c r="G1697" s="459"/>
      <c r="H1697" s="450"/>
      <c r="I1697" s="450"/>
      <c r="J1697" s="450"/>
      <c r="M1697" s="296">
        <f>SUM(M1699:M1714)</f>
        <v>0</v>
      </c>
      <c r="N1697" s="296"/>
      <c r="O1697" s="296">
        <f>SUM(O1699:O1714)</f>
        <v>0</v>
      </c>
      <c r="R1697" s="348" t="str">
        <f>IF(M1697+O1697=0,"DELETE"," ")</f>
        <v>DELETE</v>
      </c>
      <c r="S1697" s="333">
        <f>M1697</f>
        <v>0</v>
      </c>
      <c r="U1697" s="333">
        <f>O1697</f>
        <v>0</v>
      </c>
    </row>
    <row r="1698" spans="2:21" ht="9" customHeight="1" x14ac:dyDescent="0.5">
      <c r="B1698" s="316"/>
      <c r="C1698" s="450"/>
      <c r="D1698" s="450"/>
      <c r="E1698" s="450"/>
      <c r="F1698" s="450"/>
      <c r="G1698" s="459"/>
      <c r="H1698" s="450"/>
      <c r="I1698" s="450"/>
      <c r="J1698" s="450"/>
      <c r="M1698" s="296"/>
      <c r="N1698" s="296"/>
      <c r="O1698" s="296"/>
      <c r="R1698" s="348" t="str">
        <f>R1697</f>
        <v>DELETE</v>
      </c>
    </row>
    <row r="1699" spans="2:21" ht="9" customHeight="1" x14ac:dyDescent="0.5">
      <c r="B1699" s="316"/>
      <c r="C1699" s="450"/>
      <c r="D1699" s="450"/>
      <c r="E1699" s="450"/>
      <c r="F1699" s="450"/>
      <c r="G1699" s="459"/>
      <c r="H1699" s="450"/>
      <c r="I1699" s="450"/>
      <c r="J1699" s="450"/>
      <c r="M1699" s="398"/>
      <c r="N1699" s="297"/>
      <c r="O1699" s="399"/>
      <c r="R1699" s="348" t="str">
        <f>R1698</f>
        <v>DELETE</v>
      </c>
    </row>
    <row r="1700" spans="2:21" ht="36" customHeight="1" x14ac:dyDescent="0.5">
      <c r="B1700" s="316"/>
      <c r="C1700" s="450">
        <f>TrialBalance!C321</f>
        <v>0</v>
      </c>
      <c r="D1700" s="450"/>
      <c r="E1700" s="450"/>
      <c r="F1700" s="450"/>
      <c r="G1700" s="459"/>
      <c r="H1700" s="450"/>
      <c r="I1700" s="450"/>
      <c r="J1700" s="450"/>
      <c r="M1700" s="400">
        <f>TrialBalance!L321</f>
        <v>0</v>
      </c>
      <c r="N1700" s="310"/>
      <c r="O1700" s="401">
        <f>TrialBalance!N321</f>
        <v>0</v>
      </c>
      <c r="R1700" s="348" t="str">
        <f t="shared" ref="R1700:R1733" si="80">IF(M1700+O1700=0,"DELETE"," ")</f>
        <v>DELETE</v>
      </c>
    </row>
    <row r="1701" spans="2:21" ht="36" customHeight="1" x14ac:dyDescent="0.5">
      <c r="B1701" s="316"/>
      <c r="C1701" s="450">
        <f>TrialBalance!C322</f>
        <v>0</v>
      </c>
      <c r="D1701" s="450"/>
      <c r="E1701" s="450"/>
      <c r="F1701" s="450"/>
      <c r="G1701" s="459"/>
      <c r="H1701" s="450"/>
      <c r="I1701" s="450"/>
      <c r="J1701" s="450"/>
      <c r="M1701" s="400">
        <f>TrialBalance!L322</f>
        <v>0</v>
      </c>
      <c r="N1701" s="310"/>
      <c r="O1701" s="401">
        <f>TrialBalance!N322</f>
        <v>0</v>
      </c>
      <c r="R1701" s="348" t="str">
        <f t="shared" ref="R1701:R1702" si="81">IF(M1701+O1701=0,"DELETE"," ")</f>
        <v>DELETE</v>
      </c>
    </row>
    <row r="1702" spans="2:21" ht="36" customHeight="1" x14ac:dyDescent="0.5">
      <c r="B1702" s="316"/>
      <c r="C1702" s="450">
        <f>TrialBalance!C323</f>
        <v>0</v>
      </c>
      <c r="D1702" s="450"/>
      <c r="E1702" s="450"/>
      <c r="F1702" s="450"/>
      <c r="G1702" s="459"/>
      <c r="H1702" s="450"/>
      <c r="I1702" s="450"/>
      <c r="J1702" s="450"/>
      <c r="M1702" s="400">
        <f>TrialBalance!L323</f>
        <v>0</v>
      </c>
      <c r="N1702" s="310"/>
      <c r="O1702" s="401">
        <f>TrialBalance!N323</f>
        <v>0</v>
      </c>
      <c r="R1702" s="348" t="str">
        <f t="shared" si="81"/>
        <v>DELETE</v>
      </c>
    </row>
    <row r="1703" spans="2:21" ht="36" customHeight="1" x14ac:dyDescent="0.5">
      <c r="B1703" s="316"/>
      <c r="C1703" s="450">
        <f>TrialBalance!C324</f>
        <v>0</v>
      </c>
      <c r="D1703" s="450"/>
      <c r="E1703" s="450"/>
      <c r="F1703" s="450"/>
      <c r="G1703" s="459"/>
      <c r="H1703" s="450"/>
      <c r="I1703" s="450"/>
      <c r="J1703" s="450"/>
      <c r="M1703" s="400">
        <f>TrialBalance!L324</f>
        <v>0</v>
      </c>
      <c r="N1703" s="310"/>
      <c r="O1703" s="401">
        <f>TrialBalance!N324</f>
        <v>0</v>
      </c>
      <c r="R1703" s="348" t="str">
        <f t="shared" ref="R1703:R1708" si="82">IF(M1703+O1703=0,"DELETE"," ")</f>
        <v>DELETE</v>
      </c>
    </row>
    <row r="1704" spans="2:21" ht="36" customHeight="1" x14ac:dyDescent="0.5">
      <c r="B1704" s="316"/>
      <c r="C1704" s="450">
        <f>TrialBalance!C325</f>
        <v>0</v>
      </c>
      <c r="D1704" s="450"/>
      <c r="E1704" s="450"/>
      <c r="F1704" s="450"/>
      <c r="G1704" s="459"/>
      <c r="H1704" s="450"/>
      <c r="I1704" s="450"/>
      <c r="J1704" s="450"/>
      <c r="M1704" s="400">
        <f>TrialBalance!L325</f>
        <v>0</v>
      </c>
      <c r="N1704" s="310"/>
      <c r="O1704" s="401">
        <f>TrialBalance!N325</f>
        <v>0</v>
      </c>
      <c r="R1704" s="348" t="str">
        <f t="shared" si="82"/>
        <v>DELETE</v>
      </c>
    </row>
    <row r="1705" spans="2:21" ht="36" customHeight="1" x14ac:dyDescent="0.5">
      <c r="B1705" s="316"/>
      <c r="C1705" s="450">
        <f>TrialBalance!C326</f>
        <v>0</v>
      </c>
      <c r="D1705" s="450"/>
      <c r="E1705" s="450"/>
      <c r="F1705" s="450"/>
      <c r="G1705" s="459"/>
      <c r="H1705" s="450"/>
      <c r="I1705" s="450"/>
      <c r="J1705" s="450"/>
      <c r="M1705" s="400">
        <f>TrialBalance!L326</f>
        <v>0</v>
      </c>
      <c r="N1705" s="310"/>
      <c r="O1705" s="401">
        <f>TrialBalance!N326</f>
        <v>0</v>
      </c>
      <c r="R1705" s="348" t="str">
        <f t="shared" si="82"/>
        <v>DELETE</v>
      </c>
    </row>
    <row r="1706" spans="2:21" ht="36" customHeight="1" x14ac:dyDescent="0.5">
      <c r="B1706" s="316"/>
      <c r="C1706" s="450">
        <f>TrialBalance!C327</f>
        <v>0</v>
      </c>
      <c r="D1706" s="450"/>
      <c r="E1706" s="450"/>
      <c r="F1706" s="450"/>
      <c r="G1706" s="459"/>
      <c r="H1706" s="450"/>
      <c r="I1706" s="450"/>
      <c r="J1706" s="450"/>
      <c r="M1706" s="400">
        <f>TrialBalance!L327</f>
        <v>0</v>
      </c>
      <c r="N1706" s="310"/>
      <c r="O1706" s="401">
        <f>TrialBalance!N327</f>
        <v>0</v>
      </c>
      <c r="R1706" s="348" t="str">
        <f t="shared" si="82"/>
        <v>DELETE</v>
      </c>
    </row>
    <row r="1707" spans="2:21" ht="36" customHeight="1" x14ac:dyDescent="0.5">
      <c r="B1707" s="316"/>
      <c r="C1707" s="450">
        <f>TrialBalance!C328</f>
        <v>0</v>
      </c>
      <c r="D1707" s="450"/>
      <c r="E1707" s="450"/>
      <c r="F1707" s="450"/>
      <c r="G1707" s="459"/>
      <c r="H1707" s="450"/>
      <c r="I1707" s="450"/>
      <c r="J1707" s="450"/>
      <c r="M1707" s="400">
        <f>TrialBalance!L328</f>
        <v>0</v>
      </c>
      <c r="N1707" s="310"/>
      <c r="O1707" s="401">
        <f>TrialBalance!N328</f>
        <v>0</v>
      </c>
      <c r="R1707" s="348" t="str">
        <f t="shared" si="82"/>
        <v>DELETE</v>
      </c>
    </row>
    <row r="1708" spans="2:21" ht="36" customHeight="1" x14ac:dyDescent="0.5">
      <c r="B1708" s="316"/>
      <c r="C1708" s="450">
        <f>TrialBalance!C329</f>
        <v>0</v>
      </c>
      <c r="D1708" s="450"/>
      <c r="E1708" s="450"/>
      <c r="F1708" s="450"/>
      <c r="G1708" s="459"/>
      <c r="H1708" s="450"/>
      <c r="I1708" s="450"/>
      <c r="J1708" s="450"/>
      <c r="M1708" s="400">
        <f>TrialBalance!L329</f>
        <v>0</v>
      </c>
      <c r="N1708" s="310"/>
      <c r="O1708" s="401">
        <f>TrialBalance!N329</f>
        <v>0</v>
      </c>
      <c r="R1708" s="348" t="str">
        <f t="shared" si="82"/>
        <v>DELETE</v>
      </c>
    </row>
    <row r="1709" spans="2:21" ht="36" customHeight="1" x14ac:dyDescent="0.5">
      <c r="B1709" s="316"/>
      <c r="C1709" s="450">
        <f>TrialBalance!C330</f>
        <v>0</v>
      </c>
      <c r="D1709" s="450"/>
      <c r="E1709" s="450"/>
      <c r="F1709" s="450"/>
      <c r="G1709" s="459"/>
      <c r="H1709" s="450"/>
      <c r="I1709" s="450"/>
      <c r="J1709" s="450"/>
      <c r="M1709" s="400">
        <f>TrialBalance!L330</f>
        <v>0</v>
      </c>
      <c r="N1709" s="310"/>
      <c r="O1709" s="401">
        <f>TrialBalance!N330</f>
        <v>0</v>
      </c>
      <c r="R1709" s="348" t="str">
        <f t="shared" si="80"/>
        <v>DELETE</v>
      </c>
    </row>
    <row r="1710" spans="2:21" ht="36" customHeight="1" x14ac:dyDescent="0.5">
      <c r="B1710" s="316"/>
      <c r="C1710" s="450">
        <f>TrialBalance!C344</f>
        <v>0</v>
      </c>
      <c r="D1710" s="450"/>
      <c r="E1710" s="450"/>
      <c r="F1710" s="450"/>
      <c r="G1710" s="459"/>
      <c r="H1710" s="450"/>
      <c r="I1710" s="450"/>
      <c r="J1710" s="450"/>
      <c r="M1710" s="400">
        <f>TrialBalance!L344</f>
        <v>0</v>
      </c>
      <c r="N1710" s="310"/>
      <c r="O1710" s="401">
        <f>TrialBalance!N344</f>
        <v>0</v>
      </c>
      <c r="R1710" s="348" t="str">
        <f t="shared" si="80"/>
        <v>DELETE</v>
      </c>
    </row>
    <row r="1711" spans="2:21" ht="36" customHeight="1" x14ac:dyDescent="0.5">
      <c r="B1711" s="316"/>
      <c r="C1711" s="450">
        <f>TrialBalance!C345</f>
        <v>0</v>
      </c>
      <c r="D1711" s="450"/>
      <c r="E1711" s="450"/>
      <c r="F1711" s="450"/>
      <c r="G1711" s="459"/>
      <c r="H1711" s="450"/>
      <c r="I1711" s="450"/>
      <c r="J1711" s="450"/>
      <c r="M1711" s="400">
        <f>TrialBalance!L345</f>
        <v>0</v>
      </c>
      <c r="N1711" s="310"/>
      <c r="O1711" s="401">
        <f>TrialBalance!N345</f>
        <v>0</v>
      </c>
      <c r="R1711" s="348" t="str">
        <f t="shared" si="80"/>
        <v>DELETE</v>
      </c>
    </row>
    <row r="1712" spans="2:21" ht="36" customHeight="1" x14ac:dyDescent="0.5">
      <c r="B1712" s="316"/>
      <c r="C1712" s="450">
        <f>TrialBalance!C346</f>
        <v>0</v>
      </c>
      <c r="D1712" s="450"/>
      <c r="E1712" s="450"/>
      <c r="F1712" s="450"/>
      <c r="G1712" s="459"/>
      <c r="H1712" s="450"/>
      <c r="I1712" s="450"/>
      <c r="J1712" s="450"/>
      <c r="M1712" s="400">
        <f>TrialBalance!L346</f>
        <v>0</v>
      </c>
      <c r="N1712" s="310"/>
      <c r="O1712" s="401">
        <f>TrialBalance!N346</f>
        <v>0</v>
      </c>
      <c r="R1712" s="348" t="str">
        <f t="shared" ref="R1712" si="83">IF(M1712+O1712=0,"DELETE"," ")</f>
        <v>DELETE</v>
      </c>
    </row>
    <row r="1713" spans="2:21" ht="36" customHeight="1" x14ac:dyDescent="0.5">
      <c r="B1713" s="316"/>
      <c r="C1713" s="450">
        <f>TrialBalance!C347</f>
        <v>0</v>
      </c>
      <c r="D1713" s="450"/>
      <c r="E1713" s="450"/>
      <c r="F1713" s="450"/>
      <c r="G1713" s="459"/>
      <c r="H1713" s="450"/>
      <c r="I1713" s="450"/>
      <c r="J1713" s="450"/>
      <c r="M1713" s="400">
        <f>TrialBalance!L347</f>
        <v>0</v>
      </c>
      <c r="N1713" s="310"/>
      <c r="O1713" s="401">
        <f>TrialBalance!N347</f>
        <v>0</v>
      </c>
      <c r="R1713" s="348" t="str">
        <f t="shared" si="80"/>
        <v>DELETE</v>
      </c>
    </row>
    <row r="1714" spans="2:21" ht="9" customHeight="1" x14ac:dyDescent="0.5">
      <c r="B1714" s="316"/>
      <c r="C1714" s="450"/>
      <c r="D1714" s="450"/>
      <c r="E1714" s="450"/>
      <c r="F1714" s="450"/>
      <c r="G1714" s="459"/>
      <c r="H1714" s="450"/>
      <c r="I1714" s="450"/>
      <c r="J1714" s="450"/>
      <c r="M1714" s="402"/>
      <c r="N1714" s="298"/>
      <c r="O1714" s="403"/>
      <c r="R1714" s="348" t="str">
        <f>R1697</f>
        <v>DELETE</v>
      </c>
    </row>
    <row r="1715" spans="2:21" ht="9" customHeight="1" x14ac:dyDescent="0.5">
      <c r="B1715" s="316"/>
      <c r="C1715" s="450"/>
      <c r="D1715" s="450"/>
      <c r="E1715" s="450"/>
      <c r="F1715" s="450"/>
      <c r="G1715" s="459"/>
      <c r="H1715" s="450"/>
      <c r="I1715" s="450"/>
      <c r="J1715" s="450"/>
      <c r="M1715" s="296"/>
      <c r="N1715" s="296"/>
      <c r="O1715" s="296"/>
      <c r="R1715" s="348" t="str">
        <f>R1714</f>
        <v>DELETE</v>
      </c>
    </row>
    <row r="1716" spans="2:21" ht="36.75" customHeight="1" x14ac:dyDescent="0.5">
      <c r="B1716" s="316"/>
      <c r="C1716" s="450" t="str">
        <f>IF(COUNTIF(O1719:O1733,"&gt;0")&gt;1,"Interest free non-current receivables",IF(COUNTIF(M1719:M1733,"&gt;0")&gt;1,"Interest free non-current receivables","Interest free non-current receivable"))</f>
        <v>Interest free non-current receivable</v>
      </c>
      <c r="D1716" s="450"/>
      <c r="E1716" s="450"/>
      <c r="F1716" s="450"/>
      <c r="G1716" s="459"/>
      <c r="H1716" s="450"/>
      <c r="I1716" s="450"/>
      <c r="J1716" s="450"/>
      <c r="M1716" s="296">
        <f>SUM(M1718:M1734)</f>
        <v>0</v>
      </c>
      <c r="N1716" s="296"/>
      <c r="O1716" s="296">
        <f>SUM(O1718:O1734)</f>
        <v>0</v>
      </c>
      <c r="R1716" s="348" t="str">
        <f>IF(M1716+O1716=0,"DELETE"," ")</f>
        <v>DELETE</v>
      </c>
      <c r="S1716" s="333">
        <f>M1716</f>
        <v>0</v>
      </c>
      <c r="U1716" s="333">
        <f>O1716</f>
        <v>0</v>
      </c>
    </row>
    <row r="1717" spans="2:21" ht="9" customHeight="1" x14ac:dyDescent="0.5">
      <c r="B1717" s="316"/>
      <c r="C1717" s="450"/>
      <c r="D1717" s="450"/>
      <c r="E1717" s="450"/>
      <c r="F1717" s="450"/>
      <c r="G1717" s="459"/>
      <c r="H1717" s="450"/>
      <c r="I1717" s="450"/>
      <c r="J1717" s="450"/>
      <c r="M1717" s="296"/>
      <c r="N1717" s="296"/>
      <c r="O1717" s="296"/>
      <c r="R1717" s="348" t="str">
        <f>R1716</f>
        <v>DELETE</v>
      </c>
    </row>
    <row r="1718" spans="2:21" ht="9" customHeight="1" x14ac:dyDescent="0.5">
      <c r="B1718" s="316"/>
      <c r="C1718" s="450"/>
      <c r="D1718" s="450"/>
      <c r="E1718" s="450"/>
      <c r="F1718" s="450"/>
      <c r="G1718" s="459"/>
      <c r="H1718" s="450"/>
      <c r="I1718" s="450"/>
      <c r="J1718" s="450"/>
      <c r="M1718" s="398"/>
      <c r="N1718" s="297"/>
      <c r="O1718" s="399"/>
      <c r="R1718" s="348" t="str">
        <f>R1717</f>
        <v>DELETE</v>
      </c>
    </row>
    <row r="1719" spans="2:21" ht="36" customHeight="1" x14ac:dyDescent="0.5">
      <c r="B1719" s="316"/>
      <c r="C1719" s="450">
        <f>TrialBalance!C332</f>
        <v>0</v>
      </c>
      <c r="D1719" s="450"/>
      <c r="E1719" s="450"/>
      <c r="F1719" s="450"/>
      <c r="G1719" s="459"/>
      <c r="H1719" s="450"/>
      <c r="I1719" s="450"/>
      <c r="J1719" s="450"/>
      <c r="M1719" s="400">
        <f>TrialBalance!L332</f>
        <v>0</v>
      </c>
      <c r="N1719" s="310"/>
      <c r="O1719" s="401">
        <f>TrialBalance!N332</f>
        <v>0</v>
      </c>
      <c r="R1719" s="348" t="str">
        <f t="shared" si="80"/>
        <v>DELETE</v>
      </c>
    </row>
    <row r="1720" spans="2:21" ht="36" customHeight="1" x14ac:dyDescent="0.5">
      <c r="B1720" s="316"/>
      <c r="C1720" s="450">
        <f>TrialBalance!C333</f>
        <v>0</v>
      </c>
      <c r="D1720" s="450"/>
      <c r="E1720" s="450"/>
      <c r="F1720" s="450"/>
      <c r="G1720" s="459"/>
      <c r="H1720" s="450"/>
      <c r="I1720" s="450"/>
      <c r="J1720" s="450"/>
      <c r="M1720" s="400">
        <f>TrialBalance!L333</f>
        <v>0</v>
      </c>
      <c r="N1720" s="310"/>
      <c r="O1720" s="401">
        <f>TrialBalance!N333</f>
        <v>0</v>
      </c>
      <c r="R1720" s="348" t="str">
        <f t="shared" ref="R1720" si="84">IF(M1720+O1720=0,"DELETE"," ")</f>
        <v>DELETE</v>
      </c>
    </row>
    <row r="1721" spans="2:21" ht="36" customHeight="1" x14ac:dyDescent="0.5">
      <c r="B1721" s="316"/>
      <c r="C1721" s="450">
        <f>TrialBalance!C334</f>
        <v>0</v>
      </c>
      <c r="D1721" s="450"/>
      <c r="E1721" s="450"/>
      <c r="F1721" s="450"/>
      <c r="G1721" s="459"/>
      <c r="H1721" s="450"/>
      <c r="I1721" s="450"/>
      <c r="J1721" s="450"/>
      <c r="M1721" s="400">
        <f>TrialBalance!L334</f>
        <v>0</v>
      </c>
      <c r="N1721" s="310"/>
      <c r="O1721" s="401">
        <f>TrialBalance!N334</f>
        <v>0</v>
      </c>
      <c r="R1721" s="348" t="str">
        <f t="shared" si="80"/>
        <v>DELETE</v>
      </c>
    </row>
    <row r="1722" spans="2:21" ht="36" customHeight="1" x14ac:dyDescent="0.5">
      <c r="B1722" s="316"/>
      <c r="C1722" s="450">
        <f>TrialBalance!C335</f>
        <v>0</v>
      </c>
      <c r="D1722" s="450"/>
      <c r="E1722" s="450"/>
      <c r="F1722" s="450"/>
      <c r="G1722" s="459"/>
      <c r="H1722" s="450"/>
      <c r="I1722" s="450"/>
      <c r="J1722" s="450"/>
      <c r="M1722" s="400">
        <f>TrialBalance!L335</f>
        <v>0</v>
      </c>
      <c r="N1722" s="310"/>
      <c r="O1722" s="401">
        <f>TrialBalance!N335</f>
        <v>0</v>
      </c>
      <c r="R1722" s="348" t="str">
        <f t="shared" ref="R1722:R1727" si="85">IF(M1722+O1722=0,"DELETE"," ")</f>
        <v>DELETE</v>
      </c>
    </row>
    <row r="1723" spans="2:21" ht="36" customHeight="1" x14ac:dyDescent="0.5">
      <c r="B1723" s="316"/>
      <c r="C1723" s="450">
        <f>TrialBalance!C336</f>
        <v>0</v>
      </c>
      <c r="D1723" s="450"/>
      <c r="E1723" s="450"/>
      <c r="F1723" s="450"/>
      <c r="G1723" s="459"/>
      <c r="H1723" s="450"/>
      <c r="I1723" s="450"/>
      <c r="J1723" s="450"/>
      <c r="M1723" s="400">
        <f>TrialBalance!L336</f>
        <v>0</v>
      </c>
      <c r="N1723" s="310"/>
      <c r="O1723" s="401">
        <f>TrialBalance!N336</f>
        <v>0</v>
      </c>
      <c r="R1723" s="348" t="str">
        <f t="shared" si="85"/>
        <v>DELETE</v>
      </c>
    </row>
    <row r="1724" spans="2:21" ht="36" customHeight="1" x14ac:dyDescent="0.5">
      <c r="B1724" s="316"/>
      <c r="C1724" s="450">
        <f>TrialBalance!C337</f>
        <v>0</v>
      </c>
      <c r="D1724" s="450"/>
      <c r="E1724" s="450"/>
      <c r="F1724" s="450"/>
      <c r="G1724" s="459"/>
      <c r="H1724" s="450"/>
      <c r="I1724" s="450"/>
      <c r="J1724" s="450"/>
      <c r="M1724" s="400">
        <f>TrialBalance!L337</f>
        <v>0</v>
      </c>
      <c r="N1724" s="310"/>
      <c r="O1724" s="401">
        <f>TrialBalance!N337</f>
        <v>0</v>
      </c>
      <c r="R1724" s="348" t="str">
        <f t="shared" si="85"/>
        <v>DELETE</v>
      </c>
    </row>
    <row r="1725" spans="2:21" ht="36" customHeight="1" x14ac:dyDescent="0.5">
      <c r="B1725" s="316"/>
      <c r="C1725" s="450">
        <f>TrialBalance!C338</f>
        <v>0</v>
      </c>
      <c r="D1725" s="450"/>
      <c r="E1725" s="450"/>
      <c r="F1725" s="450"/>
      <c r="G1725" s="459"/>
      <c r="H1725" s="450"/>
      <c r="I1725" s="450"/>
      <c r="J1725" s="450"/>
      <c r="M1725" s="400">
        <f>TrialBalance!L338</f>
        <v>0</v>
      </c>
      <c r="N1725" s="310"/>
      <c r="O1725" s="401">
        <f>TrialBalance!N338</f>
        <v>0</v>
      </c>
      <c r="R1725" s="348" t="str">
        <f t="shared" si="85"/>
        <v>DELETE</v>
      </c>
    </row>
    <row r="1726" spans="2:21" ht="36" customHeight="1" x14ac:dyDescent="0.5">
      <c r="B1726" s="316"/>
      <c r="C1726" s="450">
        <f>TrialBalance!C339</f>
        <v>0</v>
      </c>
      <c r="D1726" s="450"/>
      <c r="E1726" s="450"/>
      <c r="F1726" s="450"/>
      <c r="G1726" s="459"/>
      <c r="H1726" s="450"/>
      <c r="I1726" s="450"/>
      <c r="J1726" s="450"/>
      <c r="M1726" s="400">
        <f>TrialBalance!L339</f>
        <v>0</v>
      </c>
      <c r="N1726" s="310"/>
      <c r="O1726" s="401">
        <f>TrialBalance!N339</f>
        <v>0</v>
      </c>
      <c r="R1726" s="348" t="str">
        <f t="shared" si="85"/>
        <v>DELETE</v>
      </c>
    </row>
    <row r="1727" spans="2:21" ht="36" customHeight="1" x14ac:dyDescent="0.5">
      <c r="B1727" s="316"/>
      <c r="C1727" s="450">
        <f>TrialBalance!C340</f>
        <v>0</v>
      </c>
      <c r="D1727" s="450"/>
      <c r="E1727" s="450"/>
      <c r="F1727" s="450"/>
      <c r="G1727" s="459"/>
      <c r="H1727" s="450"/>
      <c r="I1727" s="450"/>
      <c r="J1727" s="450"/>
      <c r="M1727" s="400">
        <f>TrialBalance!L340</f>
        <v>0</v>
      </c>
      <c r="N1727" s="310"/>
      <c r="O1727" s="401">
        <f>TrialBalance!N340</f>
        <v>0</v>
      </c>
      <c r="R1727" s="348" t="str">
        <f t="shared" si="85"/>
        <v>DELETE</v>
      </c>
    </row>
    <row r="1728" spans="2:21" ht="36" customHeight="1" x14ac:dyDescent="0.5">
      <c r="B1728" s="316"/>
      <c r="C1728" s="450">
        <f>TrialBalance!C341</f>
        <v>0</v>
      </c>
      <c r="D1728" s="450"/>
      <c r="E1728" s="450"/>
      <c r="F1728" s="450"/>
      <c r="G1728" s="459"/>
      <c r="H1728" s="450"/>
      <c r="I1728" s="450"/>
      <c r="J1728" s="450"/>
      <c r="M1728" s="400">
        <f>TrialBalance!L341</f>
        <v>0</v>
      </c>
      <c r="N1728" s="310"/>
      <c r="O1728" s="401">
        <f>TrialBalance!N341</f>
        <v>0</v>
      </c>
      <c r="R1728" s="348" t="str">
        <f t="shared" si="80"/>
        <v>DELETE</v>
      </c>
    </row>
    <row r="1729" spans="2:18" ht="36" customHeight="1" x14ac:dyDescent="0.5">
      <c r="B1729" s="316"/>
      <c r="C1729" s="450">
        <f>TrialBalance!C349</f>
        <v>0</v>
      </c>
      <c r="D1729" s="450"/>
      <c r="E1729" s="450"/>
      <c r="F1729" s="450"/>
      <c r="G1729" s="459"/>
      <c r="H1729" s="450"/>
      <c r="I1729" s="450"/>
      <c r="J1729" s="450"/>
      <c r="M1729" s="400">
        <f>TrialBalance!L349</f>
        <v>0</v>
      </c>
      <c r="N1729" s="310"/>
      <c r="O1729" s="401">
        <f>TrialBalance!N349</f>
        <v>0</v>
      </c>
      <c r="R1729" s="348" t="str">
        <f t="shared" si="80"/>
        <v>DELETE</v>
      </c>
    </row>
    <row r="1730" spans="2:18" ht="36" customHeight="1" x14ac:dyDescent="0.5">
      <c r="B1730" s="316"/>
      <c r="C1730" s="450">
        <f>TrialBalance!C350</f>
        <v>0</v>
      </c>
      <c r="D1730" s="450"/>
      <c r="E1730" s="450"/>
      <c r="F1730" s="450"/>
      <c r="G1730" s="459"/>
      <c r="H1730" s="450"/>
      <c r="I1730" s="450"/>
      <c r="J1730" s="450"/>
      <c r="M1730" s="400">
        <f>TrialBalance!L350</f>
        <v>0</v>
      </c>
      <c r="N1730" s="310"/>
      <c r="O1730" s="401">
        <f>TrialBalance!N350</f>
        <v>0</v>
      </c>
      <c r="R1730" s="348" t="str">
        <f t="shared" si="80"/>
        <v>DELETE</v>
      </c>
    </row>
    <row r="1731" spans="2:18" ht="36" customHeight="1" x14ac:dyDescent="0.5">
      <c r="B1731" s="316"/>
      <c r="C1731" s="450">
        <f>TrialBalance!C351</f>
        <v>0</v>
      </c>
      <c r="D1731" s="450"/>
      <c r="E1731" s="450"/>
      <c r="F1731" s="450"/>
      <c r="G1731" s="459"/>
      <c r="H1731" s="450"/>
      <c r="I1731" s="450"/>
      <c r="J1731" s="450"/>
      <c r="M1731" s="400">
        <f>TrialBalance!L351</f>
        <v>0</v>
      </c>
      <c r="N1731" s="310"/>
      <c r="O1731" s="401">
        <f>TrialBalance!N351</f>
        <v>0</v>
      </c>
      <c r="R1731" s="348" t="str">
        <f t="shared" si="80"/>
        <v>DELETE</v>
      </c>
    </row>
    <row r="1732" spans="2:18" ht="36" customHeight="1" x14ac:dyDescent="0.5">
      <c r="B1732" s="316"/>
      <c r="C1732" s="450">
        <f>TrialBalance!C352</f>
        <v>0</v>
      </c>
      <c r="D1732" s="450"/>
      <c r="E1732" s="450"/>
      <c r="F1732" s="450"/>
      <c r="G1732" s="459"/>
      <c r="H1732" s="450"/>
      <c r="I1732" s="450"/>
      <c r="J1732" s="450"/>
      <c r="M1732" s="400">
        <f>TrialBalance!L352</f>
        <v>0</v>
      </c>
      <c r="N1732" s="310"/>
      <c r="O1732" s="401">
        <f>TrialBalance!N352</f>
        <v>0</v>
      </c>
      <c r="R1732" s="348" t="str">
        <f t="shared" si="80"/>
        <v>DELETE</v>
      </c>
    </row>
    <row r="1733" spans="2:18" ht="36" customHeight="1" x14ac:dyDescent="0.5">
      <c r="B1733" s="316"/>
      <c r="C1733" s="450">
        <f>TrialBalance!C353</f>
        <v>0</v>
      </c>
      <c r="D1733" s="450"/>
      <c r="E1733" s="450"/>
      <c r="F1733" s="450"/>
      <c r="G1733" s="459"/>
      <c r="H1733" s="450"/>
      <c r="I1733" s="450"/>
      <c r="J1733" s="450"/>
      <c r="M1733" s="400">
        <f>TrialBalance!L353</f>
        <v>0</v>
      </c>
      <c r="N1733" s="310"/>
      <c r="O1733" s="401">
        <f>TrialBalance!N353</f>
        <v>0</v>
      </c>
      <c r="R1733" s="348" t="str">
        <f t="shared" si="80"/>
        <v>DELETE</v>
      </c>
    </row>
    <row r="1734" spans="2:18" ht="9" customHeight="1" x14ac:dyDescent="0.5">
      <c r="B1734" s="316"/>
      <c r="C1734" s="456"/>
      <c r="D1734" s="450"/>
      <c r="E1734" s="450"/>
      <c r="F1734" s="450"/>
      <c r="G1734" s="450"/>
      <c r="H1734" s="450"/>
      <c r="I1734" s="450"/>
      <c r="J1734" s="450"/>
      <c r="M1734" s="402"/>
      <c r="N1734" s="298"/>
      <c r="O1734" s="403"/>
      <c r="R1734" s="348" t="str">
        <f>R1716</f>
        <v>DELETE</v>
      </c>
    </row>
    <row r="1735" spans="2:18" ht="9" customHeight="1" x14ac:dyDescent="0.5">
      <c r="B1735" s="316"/>
      <c r="C1735" s="456"/>
      <c r="D1735" s="450"/>
      <c r="E1735" s="450"/>
      <c r="F1735" s="450"/>
      <c r="G1735" s="450"/>
      <c r="H1735" s="450"/>
      <c r="I1735" s="450"/>
      <c r="J1735" s="450"/>
      <c r="M1735" s="298"/>
      <c r="N1735" s="298"/>
      <c r="O1735" s="298"/>
      <c r="R1735" s="348" t="str">
        <f t="shared" ref="R1735" si="86">R$1737</f>
        <v>DELETE</v>
      </c>
    </row>
    <row r="1736" spans="2:18" ht="9" customHeight="1" x14ac:dyDescent="0.5">
      <c r="B1736" s="316"/>
      <c r="C1736" s="456"/>
      <c r="D1736" s="450"/>
      <c r="E1736" s="450"/>
      <c r="F1736" s="450"/>
      <c r="G1736" s="450"/>
      <c r="H1736" s="450"/>
      <c r="I1736" s="450"/>
      <c r="J1736" s="450"/>
      <c r="M1736" s="296"/>
      <c r="N1736" s="296"/>
      <c r="O1736" s="296"/>
      <c r="R1736" s="348" t="str">
        <f>R$1737</f>
        <v>DELETE</v>
      </c>
    </row>
    <row r="1737" spans="2:18" ht="36.75" customHeight="1" x14ac:dyDescent="0.5">
      <c r="B1737" s="316"/>
      <c r="C1737" s="456"/>
      <c r="D1737" s="450"/>
      <c r="E1737" s="450"/>
      <c r="F1737" s="450"/>
      <c r="G1737" s="450"/>
      <c r="H1737" s="450"/>
      <c r="I1737" s="450"/>
      <c r="J1737" s="450"/>
      <c r="M1737" s="296">
        <f>SUM(S1697:S1735)</f>
        <v>0</v>
      </c>
      <c r="N1737" s="296"/>
      <c r="O1737" s="296">
        <f>SUM(U1697:U1735)</f>
        <v>0</v>
      </c>
      <c r="R1737" s="348" t="str">
        <f>IF(M1737+O1737=0,"DELETE"," ")</f>
        <v>DELETE</v>
      </c>
    </row>
    <row r="1738" spans="2:18" ht="9" customHeight="1" thickBot="1" x14ac:dyDescent="0.55000000000000004">
      <c r="B1738" s="316"/>
      <c r="C1738" s="456"/>
      <c r="D1738" s="450"/>
      <c r="E1738" s="450"/>
      <c r="F1738" s="450"/>
      <c r="G1738" s="450"/>
      <c r="H1738" s="450"/>
      <c r="I1738" s="450"/>
      <c r="J1738" s="450"/>
      <c r="M1738" s="299"/>
      <c r="N1738" s="299"/>
      <c r="O1738" s="299"/>
      <c r="R1738" s="348" t="str">
        <f t="shared" ref="R1738:R1743" si="87">R$1737</f>
        <v>DELETE</v>
      </c>
    </row>
    <row r="1739" spans="2:18" ht="9" customHeight="1" thickTop="1" x14ac:dyDescent="0.5">
      <c r="B1739" s="316"/>
      <c r="C1739" s="456"/>
      <c r="D1739" s="450"/>
      <c r="E1739" s="450"/>
      <c r="F1739" s="450"/>
      <c r="G1739" s="450"/>
      <c r="H1739" s="450"/>
      <c r="I1739" s="450"/>
      <c r="J1739" s="450"/>
      <c r="M1739" s="310"/>
      <c r="N1739" s="310"/>
      <c r="O1739" s="310"/>
      <c r="R1739" s="348" t="str">
        <f t="shared" si="87"/>
        <v>DELETE</v>
      </c>
    </row>
    <row r="1740" spans="2:18" ht="36" customHeight="1" x14ac:dyDescent="0.5">
      <c r="B1740" s="316"/>
      <c r="C1740" s="456"/>
      <c r="D1740" s="450"/>
      <c r="E1740" s="450"/>
      <c r="F1740" s="450"/>
      <c r="G1740" s="450"/>
      <c r="H1740" s="450"/>
      <c r="I1740" s="450"/>
      <c r="J1740" s="450"/>
      <c r="M1740" s="296"/>
      <c r="N1740" s="296"/>
      <c r="O1740" s="296"/>
      <c r="R1740" s="348" t="str">
        <f t="shared" si="87"/>
        <v>DELETE</v>
      </c>
    </row>
    <row r="1741" spans="2:18" ht="36" customHeight="1" x14ac:dyDescent="0.5">
      <c r="B1741" s="316"/>
      <c r="C1741" s="456"/>
      <c r="D1741" s="450"/>
      <c r="E1741" s="450"/>
      <c r="F1741" s="450"/>
      <c r="G1741" s="450"/>
      <c r="H1741" s="450"/>
      <c r="I1741" s="450"/>
      <c r="J1741" s="450"/>
      <c r="M1741" s="296"/>
      <c r="N1741" s="296"/>
      <c r="O1741" s="296"/>
      <c r="R1741" s="348" t="str">
        <f t="shared" si="87"/>
        <v>DELETE</v>
      </c>
    </row>
    <row r="1742" spans="2:18" ht="36" customHeight="1" x14ac:dyDescent="0.5">
      <c r="B1742" s="316"/>
      <c r="C1742" s="456"/>
      <c r="D1742" s="450"/>
      <c r="E1742" s="450"/>
      <c r="F1742" s="450"/>
      <c r="G1742" s="450"/>
      <c r="H1742" s="450"/>
      <c r="I1742" s="450"/>
      <c r="J1742" s="450"/>
      <c r="M1742" s="310"/>
      <c r="N1742" s="310"/>
      <c r="O1742" s="310"/>
      <c r="P1742" s="356"/>
      <c r="R1742" s="348" t="str">
        <f t="shared" si="87"/>
        <v>DELETE</v>
      </c>
    </row>
    <row r="1743" spans="2:18" ht="36" customHeight="1" x14ac:dyDescent="0.5">
      <c r="B1743" s="354"/>
      <c r="C1743" s="450"/>
      <c r="D1743" s="450"/>
      <c r="E1743" s="450"/>
      <c r="F1743" s="450"/>
      <c r="G1743" s="450"/>
      <c r="H1743" s="450"/>
      <c r="I1743" s="450"/>
      <c r="J1743" s="450"/>
      <c r="M1743" s="351"/>
      <c r="N1743" s="351"/>
      <c r="O1743" s="351"/>
      <c r="R1743" s="348" t="str">
        <f t="shared" si="87"/>
        <v>DELETE</v>
      </c>
    </row>
    <row r="1744" spans="2:18" ht="36" customHeight="1" x14ac:dyDescent="0.5">
      <c r="B1744" s="354"/>
      <c r="C1744" s="450"/>
      <c r="D1744" s="450"/>
      <c r="E1744" s="450"/>
      <c r="F1744" s="450"/>
      <c r="G1744" s="450"/>
      <c r="H1744" s="450"/>
      <c r="I1744" s="450"/>
      <c r="J1744" s="450"/>
      <c r="M1744" s="351"/>
      <c r="N1744" s="351"/>
      <c r="O1744" s="296" t="s">
        <v>89</v>
      </c>
      <c r="Q1744" s="292">
        <f>MAX($Q$105:Q1743)+1</f>
        <v>45</v>
      </c>
      <c r="R1744" s="348" t="str">
        <f>R$1763</f>
        <v>DELETE</v>
      </c>
    </row>
    <row r="1745" spans="2:18" ht="36" customHeight="1" x14ac:dyDescent="0.5">
      <c r="B1745" s="354"/>
      <c r="C1745" s="450"/>
      <c r="D1745" s="456" t="str">
        <f>Criteria!E9</f>
        <v>HOLDING COMPANY 268 (PROPRIETARY) LIMITED</v>
      </c>
      <c r="E1745" s="450"/>
      <c r="F1745" s="450"/>
      <c r="G1745" s="450"/>
      <c r="H1745" s="450"/>
      <c r="I1745" s="450"/>
      <c r="J1745" s="450"/>
      <c r="M1745" s="351"/>
      <c r="N1745" s="351"/>
      <c r="O1745" s="347"/>
      <c r="R1745" s="348" t="str">
        <f>R$1763</f>
        <v>DELETE</v>
      </c>
    </row>
    <row r="1746" spans="2:18" ht="36" customHeight="1" x14ac:dyDescent="0.5">
      <c r="B1746" s="354"/>
      <c r="C1746" s="450"/>
      <c r="D1746" s="456" t="str">
        <f>Criteria!E10</f>
        <v>CONSOLIDATED FINANCIAL STATEMENTS</v>
      </c>
      <c r="E1746" s="450"/>
      <c r="F1746" s="450"/>
      <c r="G1746" s="450"/>
      <c r="H1746" s="450"/>
      <c r="I1746" s="450"/>
      <c r="J1746" s="450"/>
      <c r="M1746" s="351"/>
      <c r="N1746" s="351"/>
      <c r="O1746" s="351"/>
      <c r="R1746" s="348" t="str">
        <f>IF(R$1763="DELETE","DELETE",IF(D1746=0,"DELETE"," "))</f>
        <v>DELETE</v>
      </c>
    </row>
    <row r="1747" spans="2:18" ht="36" customHeight="1" x14ac:dyDescent="0.5">
      <c r="B1747" s="354"/>
      <c r="C1747" s="450"/>
      <c r="D1747" s="450"/>
      <c r="E1747" s="450"/>
      <c r="F1747" s="450"/>
      <c r="G1747" s="450"/>
      <c r="H1747" s="450"/>
      <c r="I1747" s="450"/>
      <c r="J1747" s="450"/>
      <c r="M1747" s="351"/>
      <c r="N1747" s="351"/>
      <c r="O1747" s="351"/>
      <c r="R1747" s="348" t="str">
        <f t="shared" ref="R1747:R1756" si="88">R$1763</f>
        <v>DELETE</v>
      </c>
    </row>
    <row r="1748" spans="2:18" ht="36" customHeight="1" x14ac:dyDescent="0.5">
      <c r="B1748" s="354"/>
      <c r="C1748" s="450"/>
      <c r="D1748" s="456" t="s">
        <v>351</v>
      </c>
      <c r="E1748" s="450"/>
      <c r="F1748" s="450"/>
      <c r="G1748" s="450"/>
      <c r="H1748" s="450"/>
      <c r="I1748" s="450"/>
      <c r="J1748" s="450"/>
      <c r="M1748" s="351"/>
      <c r="N1748" s="351"/>
      <c r="O1748" s="351"/>
      <c r="R1748" s="348" t="str">
        <f t="shared" si="88"/>
        <v>DELETE</v>
      </c>
    </row>
    <row r="1749" spans="2:18" ht="36" customHeight="1" x14ac:dyDescent="0.5">
      <c r="B1749" s="354"/>
      <c r="C1749" s="450"/>
      <c r="D1749" s="456" t="str">
        <f>Criteria!E20</f>
        <v>28 FEBRUARY 2025</v>
      </c>
      <c r="E1749" s="450"/>
      <c r="F1749" s="450"/>
      <c r="G1749" s="450"/>
      <c r="H1749" s="450"/>
      <c r="I1749" s="450"/>
      <c r="J1749" s="450" t="s">
        <v>231</v>
      </c>
      <c r="M1749" s="351"/>
      <c r="N1749" s="351"/>
      <c r="O1749" s="351"/>
      <c r="R1749" s="348" t="str">
        <f t="shared" si="88"/>
        <v>DELETE</v>
      </c>
    </row>
    <row r="1750" spans="2:18" ht="36" customHeight="1" x14ac:dyDescent="0.5">
      <c r="B1750" s="354"/>
      <c r="C1750" s="450"/>
      <c r="D1750" s="456"/>
      <c r="E1750" s="450"/>
      <c r="F1750" s="450"/>
      <c r="G1750" s="450"/>
      <c r="H1750" s="450"/>
      <c r="I1750" s="450"/>
      <c r="J1750" s="450"/>
      <c r="M1750" s="351"/>
      <c r="N1750" s="351"/>
      <c r="O1750" s="351"/>
      <c r="R1750" s="348" t="str">
        <f t="shared" si="88"/>
        <v>DELETE</v>
      </c>
    </row>
    <row r="1751" spans="2:18" ht="36" customHeight="1" x14ac:dyDescent="0.5">
      <c r="B1751" s="447"/>
      <c r="C1751" s="465"/>
      <c r="D1751" s="460"/>
      <c r="E1751" s="460"/>
      <c r="F1751" s="460"/>
      <c r="G1751" s="460"/>
      <c r="H1751" s="460"/>
      <c r="I1751" s="460"/>
      <c r="J1751" s="460"/>
      <c r="K1751" s="364"/>
      <c r="L1751" s="364"/>
      <c r="M1751" s="297"/>
      <c r="N1751" s="297"/>
      <c r="O1751" s="297"/>
      <c r="P1751" s="367"/>
      <c r="Q1751" s="364"/>
      <c r="R1751" s="348" t="str">
        <f t="shared" si="88"/>
        <v>DELETE</v>
      </c>
    </row>
    <row r="1752" spans="2:18" ht="36" customHeight="1" x14ac:dyDescent="0.5">
      <c r="B1752" s="316"/>
      <c r="C1752" s="456"/>
      <c r="D1752" s="450"/>
      <c r="E1752" s="450"/>
      <c r="F1752" s="450"/>
      <c r="G1752" s="450"/>
      <c r="H1752" s="450"/>
      <c r="I1752" s="450"/>
      <c r="J1752" s="450"/>
      <c r="M1752" s="294">
        <f>Criteria!E22</f>
        <v>2025</v>
      </c>
      <c r="N1752" s="294"/>
      <c r="O1752" s="294">
        <f>Criteria!E27</f>
        <v>2024</v>
      </c>
      <c r="R1752" s="348" t="str">
        <f t="shared" si="88"/>
        <v>DELETE</v>
      </c>
    </row>
    <row r="1753" spans="2:18" ht="36" customHeight="1" x14ac:dyDescent="0.5">
      <c r="B1753" s="316"/>
      <c r="C1753" s="456"/>
      <c r="D1753" s="450"/>
      <c r="E1753" s="450"/>
      <c r="F1753" s="450"/>
      <c r="G1753" s="450"/>
      <c r="H1753" s="450"/>
      <c r="I1753" s="450"/>
      <c r="J1753" s="450"/>
      <c r="M1753" s="296"/>
      <c r="N1753" s="296"/>
      <c r="O1753" s="296"/>
      <c r="R1753" s="348" t="str">
        <f t="shared" si="88"/>
        <v>DELETE</v>
      </c>
    </row>
    <row r="1754" spans="2:18" ht="36" customHeight="1" x14ac:dyDescent="0.5">
      <c r="B1754" s="316">
        <f>MAX(B$602:B1753)+1</f>
        <v>16</v>
      </c>
      <c r="C1754" s="456" t="s">
        <v>844</v>
      </c>
      <c r="D1754" s="450"/>
      <c r="E1754" s="450"/>
      <c r="F1754" s="450"/>
      <c r="G1754" s="450"/>
      <c r="H1754" s="450"/>
      <c r="I1754" s="450"/>
      <c r="J1754" s="450"/>
      <c r="M1754" s="296"/>
      <c r="N1754" s="296"/>
      <c r="O1754" s="296"/>
      <c r="R1754" s="348" t="str">
        <f t="shared" si="88"/>
        <v>DELETE</v>
      </c>
    </row>
    <row r="1755" spans="2:18" ht="36" customHeight="1" x14ac:dyDescent="0.5">
      <c r="B1755" s="316"/>
      <c r="C1755" s="456"/>
      <c r="D1755" s="450"/>
      <c r="E1755" s="450"/>
      <c r="F1755" s="450"/>
      <c r="G1755" s="450"/>
      <c r="H1755" s="450"/>
      <c r="I1755" s="450"/>
      <c r="J1755" s="450"/>
      <c r="M1755" s="296"/>
      <c r="N1755" s="296"/>
      <c r="O1755" s="296"/>
      <c r="R1755" s="348" t="str">
        <f t="shared" si="88"/>
        <v>DELETE</v>
      </c>
    </row>
    <row r="1756" spans="2:18" ht="36" customHeight="1" x14ac:dyDescent="0.5">
      <c r="B1756" s="316"/>
      <c r="C1756" s="450" t="s">
        <v>1099</v>
      </c>
      <c r="D1756" s="459"/>
      <c r="E1756" s="450"/>
      <c r="F1756" s="450"/>
      <c r="G1756" s="450"/>
      <c r="H1756" s="450"/>
      <c r="I1756" s="450"/>
      <c r="J1756" s="450"/>
      <c r="M1756" s="296"/>
      <c r="N1756" s="296"/>
      <c r="O1756" s="296"/>
      <c r="R1756" s="348" t="str">
        <f t="shared" si="88"/>
        <v>DELETE</v>
      </c>
    </row>
    <row r="1757" spans="2:18" ht="36" customHeight="1" x14ac:dyDescent="0.5">
      <c r="B1757" s="316"/>
      <c r="C1757" s="450" t="s">
        <v>393</v>
      </c>
      <c r="D1757" s="459"/>
      <c r="E1757" s="450"/>
      <c r="F1757" s="450"/>
      <c r="G1757" s="450"/>
      <c r="H1757" s="450"/>
      <c r="I1757" s="450"/>
      <c r="J1757" s="450"/>
      <c r="M1757" s="296">
        <f>TrialBalance!L355</f>
        <v>0</v>
      </c>
      <c r="N1757" s="296"/>
      <c r="O1757" s="296">
        <f>TrialBalance!N355</f>
        <v>0</v>
      </c>
      <c r="R1757" s="348" t="str">
        <f>IF(M1757+O1757=0,"DELETE"," ")</f>
        <v>DELETE</v>
      </c>
    </row>
    <row r="1758" spans="2:18" ht="36" customHeight="1" x14ac:dyDescent="0.5">
      <c r="B1758" s="316"/>
      <c r="C1758" s="450" t="s">
        <v>20</v>
      </c>
      <c r="D1758" s="459"/>
      <c r="E1758" s="450"/>
      <c r="F1758" s="450"/>
      <c r="G1758" s="450"/>
      <c r="H1758" s="450"/>
      <c r="I1758" s="450"/>
      <c r="J1758" s="450"/>
      <c r="M1758" s="296">
        <f>TrialBalance!L356</f>
        <v>0</v>
      </c>
      <c r="N1758" s="296"/>
      <c r="O1758" s="296">
        <f>TrialBalance!N356</f>
        <v>0</v>
      </c>
      <c r="R1758" s="348" t="str">
        <f>IF(M1758+O1758=0,"DELETE"," ")</f>
        <v>DELETE</v>
      </c>
    </row>
    <row r="1759" spans="2:18" ht="36" customHeight="1" x14ac:dyDescent="0.5">
      <c r="B1759" s="316"/>
      <c r="C1759" s="450" t="s">
        <v>22</v>
      </c>
      <c r="D1759" s="459"/>
      <c r="E1759" s="450"/>
      <c r="F1759" s="450"/>
      <c r="G1759" s="450"/>
      <c r="H1759" s="450"/>
      <c r="I1759" s="450"/>
      <c r="J1759" s="450"/>
      <c r="M1759" s="296">
        <f>TrialBalance!L357</f>
        <v>0</v>
      </c>
      <c r="N1759" s="296"/>
      <c r="O1759" s="296">
        <f>TrialBalance!N357</f>
        <v>0</v>
      </c>
      <c r="R1759" s="348" t="str">
        <f>IF(M1759+O1759=0,"DELETE"," ")</f>
        <v>DELETE</v>
      </c>
    </row>
    <row r="1760" spans="2:18" ht="36" customHeight="1" x14ac:dyDescent="0.5">
      <c r="B1760" s="316"/>
      <c r="C1760" s="450" t="s">
        <v>26</v>
      </c>
      <c r="D1760" s="459"/>
      <c r="E1760" s="450"/>
      <c r="F1760" s="450"/>
      <c r="G1760" s="450"/>
      <c r="H1760" s="450"/>
      <c r="I1760" s="450"/>
      <c r="J1760" s="450"/>
      <c r="M1760" s="296">
        <f>TrialBalance!L358</f>
        <v>0</v>
      </c>
      <c r="N1760" s="296"/>
      <c r="O1760" s="296">
        <f>TrialBalance!N358</f>
        <v>0</v>
      </c>
      <c r="R1760" s="348" t="str">
        <f>IF(M1760+O1760=0,"DELETE"," ")</f>
        <v>DELETE</v>
      </c>
    </row>
    <row r="1761" spans="2:18" ht="9" customHeight="1" x14ac:dyDescent="0.5">
      <c r="B1761" s="316"/>
      <c r="C1761" s="456"/>
      <c r="D1761" s="450"/>
      <c r="E1761" s="450"/>
      <c r="F1761" s="450"/>
      <c r="G1761" s="450"/>
      <c r="H1761" s="450"/>
      <c r="I1761" s="450"/>
      <c r="J1761" s="450"/>
      <c r="M1761" s="298"/>
      <c r="N1761" s="298"/>
      <c r="O1761" s="298"/>
      <c r="R1761" s="348" t="str">
        <f t="shared" ref="R1761:R1769" si="89">R$1763</f>
        <v>DELETE</v>
      </c>
    </row>
    <row r="1762" spans="2:18" ht="9" customHeight="1" x14ac:dyDescent="0.5">
      <c r="B1762" s="316"/>
      <c r="C1762" s="456"/>
      <c r="D1762" s="450"/>
      <c r="E1762" s="450"/>
      <c r="F1762" s="450"/>
      <c r="G1762" s="450"/>
      <c r="H1762" s="450"/>
      <c r="I1762" s="450"/>
      <c r="J1762" s="450"/>
      <c r="M1762" s="296"/>
      <c r="N1762" s="296"/>
      <c r="O1762" s="296"/>
      <c r="R1762" s="348" t="str">
        <f t="shared" si="89"/>
        <v>DELETE</v>
      </c>
    </row>
    <row r="1763" spans="2:18" ht="36.75" customHeight="1" x14ac:dyDescent="0.5">
      <c r="B1763" s="316"/>
      <c r="C1763" s="456"/>
      <c r="D1763" s="450"/>
      <c r="E1763" s="450"/>
      <c r="F1763" s="450"/>
      <c r="G1763" s="450"/>
      <c r="H1763" s="450"/>
      <c r="I1763" s="450"/>
      <c r="J1763" s="450"/>
      <c r="M1763" s="296">
        <f>SUM(M1757:M1762)</f>
        <v>0</v>
      </c>
      <c r="N1763" s="296"/>
      <c r="O1763" s="296">
        <f>SUM(O1757:O1762)</f>
        <v>0</v>
      </c>
      <c r="R1763" s="348" t="str">
        <f>IF(M1763+O1763=0,"DELETE"," ")</f>
        <v>DELETE</v>
      </c>
    </row>
    <row r="1764" spans="2:18" ht="9" customHeight="1" thickBot="1" x14ac:dyDescent="0.55000000000000004">
      <c r="B1764" s="316"/>
      <c r="C1764" s="456"/>
      <c r="D1764" s="450"/>
      <c r="E1764" s="450"/>
      <c r="F1764" s="450"/>
      <c r="G1764" s="450"/>
      <c r="H1764" s="450"/>
      <c r="I1764" s="450"/>
      <c r="J1764" s="450"/>
      <c r="M1764" s="299"/>
      <c r="N1764" s="299"/>
      <c r="O1764" s="299"/>
      <c r="R1764" s="348" t="str">
        <f t="shared" si="89"/>
        <v>DELETE</v>
      </c>
    </row>
    <row r="1765" spans="2:18" ht="9" customHeight="1" thickTop="1" x14ac:dyDescent="0.5">
      <c r="B1765" s="316"/>
      <c r="C1765" s="456"/>
      <c r="D1765" s="450"/>
      <c r="E1765" s="450"/>
      <c r="F1765" s="450"/>
      <c r="G1765" s="450"/>
      <c r="H1765" s="450"/>
      <c r="I1765" s="450"/>
      <c r="J1765" s="450"/>
      <c r="M1765" s="310"/>
      <c r="N1765" s="310"/>
      <c r="O1765" s="310"/>
      <c r="R1765" s="348" t="str">
        <f t="shared" si="89"/>
        <v>DELETE</v>
      </c>
    </row>
    <row r="1766" spans="2:18" ht="36" customHeight="1" x14ac:dyDescent="0.5">
      <c r="B1766" s="316"/>
      <c r="C1766" s="456"/>
      <c r="D1766" s="450"/>
      <c r="E1766" s="450"/>
      <c r="F1766" s="450"/>
      <c r="G1766" s="450"/>
      <c r="H1766" s="450"/>
      <c r="I1766" s="450"/>
      <c r="J1766" s="450"/>
      <c r="M1766" s="296"/>
      <c r="N1766" s="296"/>
      <c r="O1766" s="296"/>
      <c r="R1766" s="348" t="str">
        <f t="shared" si="89"/>
        <v>DELETE</v>
      </c>
    </row>
    <row r="1767" spans="2:18" ht="36" customHeight="1" x14ac:dyDescent="0.5">
      <c r="B1767" s="316"/>
      <c r="C1767" s="456"/>
      <c r="D1767" s="450"/>
      <c r="E1767" s="450"/>
      <c r="F1767" s="450"/>
      <c r="G1767" s="450"/>
      <c r="H1767" s="450"/>
      <c r="I1767" s="450"/>
      <c r="J1767" s="450"/>
      <c r="M1767" s="296"/>
      <c r="N1767" s="296"/>
      <c r="O1767" s="296"/>
      <c r="R1767" s="348" t="str">
        <f t="shared" si="89"/>
        <v>DELETE</v>
      </c>
    </row>
    <row r="1768" spans="2:18" ht="36" customHeight="1" x14ac:dyDescent="0.5">
      <c r="B1768" s="316"/>
      <c r="C1768" s="456"/>
      <c r="D1768" s="450"/>
      <c r="E1768" s="450"/>
      <c r="F1768" s="450"/>
      <c r="G1768" s="450"/>
      <c r="H1768" s="450"/>
      <c r="I1768" s="450"/>
      <c r="J1768" s="450"/>
      <c r="M1768" s="310"/>
      <c r="N1768" s="310"/>
      <c r="O1768" s="310"/>
      <c r="P1768" s="356"/>
      <c r="R1768" s="348" t="str">
        <f t="shared" si="89"/>
        <v>DELETE</v>
      </c>
    </row>
    <row r="1769" spans="2:18" ht="36" customHeight="1" x14ac:dyDescent="0.5">
      <c r="B1769" s="316"/>
      <c r="C1769" s="456"/>
      <c r="D1769" s="450"/>
      <c r="E1769" s="450"/>
      <c r="F1769" s="450"/>
      <c r="G1769" s="450"/>
      <c r="H1769" s="450"/>
      <c r="I1769" s="450"/>
      <c r="J1769" s="450"/>
      <c r="M1769" s="296"/>
      <c r="N1769" s="296"/>
      <c r="O1769" s="296"/>
      <c r="R1769" s="348" t="str">
        <f t="shared" si="89"/>
        <v>DELETE</v>
      </c>
    </row>
    <row r="1770" spans="2:18" ht="36" customHeight="1" x14ac:dyDescent="0.5">
      <c r="B1770" s="354"/>
      <c r="C1770" s="450"/>
      <c r="D1770" s="450"/>
      <c r="E1770" s="450"/>
      <c r="F1770" s="450"/>
      <c r="G1770" s="450"/>
      <c r="H1770" s="450"/>
      <c r="I1770" s="450"/>
      <c r="J1770" s="450"/>
      <c r="M1770" s="351"/>
      <c r="N1770" s="351"/>
      <c r="O1770" s="296" t="s">
        <v>89</v>
      </c>
      <c r="Q1770" s="292">
        <f>MAX($Q$105:Q1769)+1</f>
        <v>46</v>
      </c>
      <c r="R1770" s="348" t="str">
        <f>R$1794</f>
        <v>DELETE</v>
      </c>
    </row>
    <row r="1771" spans="2:18" ht="36" customHeight="1" x14ac:dyDescent="0.5">
      <c r="B1771" s="354"/>
      <c r="C1771" s="450"/>
      <c r="D1771" s="456" t="str">
        <f>Criteria!E9</f>
        <v>HOLDING COMPANY 268 (PROPRIETARY) LIMITED</v>
      </c>
      <c r="E1771" s="450"/>
      <c r="F1771" s="450"/>
      <c r="G1771" s="450"/>
      <c r="H1771" s="450"/>
      <c r="I1771" s="450"/>
      <c r="J1771" s="450"/>
      <c r="M1771" s="351"/>
      <c r="N1771" s="351"/>
      <c r="O1771" s="347"/>
      <c r="R1771" s="348" t="str">
        <f t="shared" ref="R1771:R1781" si="90">R$1794</f>
        <v>DELETE</v>
      </c>
    </row>
    <row r="1772" spans="2:18" ht="36" customHeight="1" x14ac:dyDescent="0.5">
      <c r="B1772" s="354"/>
      <c r="C1772" s="450"/>
      <c r="D1772" s="456" t="str">
        <f>Criteria!E10</f>
        <v>CONSOLIDATED FINANCIAL STATEMENTS</v>
      </c>
      <c r="E1772" s="450"/>
      <c r="F1772" s="450"/>
      <c r="G1772" s="450"/>
      <c r="H1772" s="450"/>
      <c r="I1772" s="450"/>
      <c r="J1772" s="450"/>
      <c r="M1772" s="351"/>
      <c r="N1772" s="351"/>
      <c r="O1772" s="351"/>
      <c r="R1772" s="348" t="str">
        <f>IF(R$1794="DELETE","DELETE",IF(D1772=0,"DELETE"," "))</f>
        <v>DELETE</v>
      </c>
    </row>
    <row r="1773" spans="2:18" ht="36" customHeight="1" x14ac:dyDescent="0.5">
      <c r="B1773" s="354"/>
      <c r="C1773" s="450"/>
      <c r="D1773" s="450"/>
      <c r="E1773" s="450"/>
      <c r="F1773" s="450"/>
      <c r="G1773" s="450"/>
      <c r="H1773" s="450"/>
      <c r="I1773" s="450"/>
      <c r="J1773" s="450"/>
      <c r="M1773" s="351"/>
      <c r="N1773" s="351"/>
      <c r="O1773" s="351"/>
      <c r="R1773" s="348" t="str">
        <f t="shared" si="90"/>
        <v>DELETE</v>
      </c>
    </row>
    <row r="1774" spans="2:18" ht="36" customHeight="1" x14ac:dyDescent="0.5">
      <c r="B1774" s="354"/>
      <c r="C1774" s="450"/>
      <c r="D1774" s="456" t="s">
        <v>351</v>
      </c>
      <c r="E1774" s="450"/>
      <c r="F1774" s="450"/>
      <c r="G1774" s="450"/>
      <c r="H1774" s="450"/>
      <c r="I1774" s="450"/>
      <c r="J1774" s="450"/>
      <c r="M1774" s="351"/>
      <c r="N1774" s="351"/>
      <c r="O1774" s="351"/>
      <c r="R1774" s="348" t="str">
        <f t="shared" si="90"/>
        <v>DELETE</v>
      </c>
    </row>
    <row r="1775" spans="2:18" ht="36" customHeight="1" x14ac:dyDescent="0.5">
      <c r="B1775" s="354"/>
      <c r="C1775" s="450"/>
      <c r="D1775" s="456" t="str">
        <f>Criteria!E20</f>
        <v>28 FEBRUARY 2025</v>
      </c>
      <c r="E1775" s="450"/>
      <c r="F1775" s="450"/>
      <c r="G1775" s="450"/>
      <c r="H1775" s="450"/>
      <c r="I1775" s="450"/>
      <c r="J1775" s="450" t="s">
        <v>231</v>
      </c>
      <c r="M1775" s="351"/>
      <c r="N1775" s="351"/>
      <c r="O1775" s="351"/>
      <c r="R1775" s="348" t="str">
        <f t="shared" si="90"/>
        <v>DELETE</v>
      </c>
    </row>
    <row r="1776" spans="2:18" ht="36" customHeight="1" x14ac:dyDescent="0.5">
      <c r="B1776" s="354"/>
      <c r="C1776" s="450"/>
      <c r="D1776" s="450"/>
      <c r="E1776" s="450"/>
      <c r="F1776" s="450"/>
      <c r="G1776" s="450"/>
      <c r="H1776" s="450"/>
      <c r="I1776" s="450"/>
      <c r="J1776" s="450"/>
      <c r="M1776" s="372"/>
      <c r="N1776" s="372"/>
      <c r="O1776" s="372"/>
      <c r="R1776" s="348" t="str">
        <f t="shared" si="90"/>
        <v>DELETE</v>
      </c>
    </row>
    <row r="1777" spans="2:24" ht="36" customHeight="1" x14ac:dyDescent="0.5">
      <c r="B1777" s="368"/>
      <c r="C1777" s="460"/>
      <c r="D1777" s="460"/>
      <c r="E1777" s="460"/>
      <c r="F1777" s="460"/>
      <c r="G1777" s="460"/>
      <c r="H1777" s="460"/>
      <c r="I1777" s="460"/>
      <c r="J1777" s="460"/>
      <c r="K1777" s="364"/>
      <c r="L1777" s="364"/>
      <c r="M1777" s="378"/>
      <c r="N1777" s="378"/>
      <c r="O1777" s="378"/>
      <c r="P1777" s="367"/>
      <c r="Q1777" s="364"/>
      <c r="R1777" s="348" t="str">
        <f t="shared" si="90"/>
        <v>DELETE</v>
      </c>
    </row>
    <row r="1778" spans="2:24" ht="36" customHeight="1" x14ac:dyDescent="0.5">
      <c r="B1778" s="354"/>
      <c r="C1778" s="450"/>
      <c r="D1778" s="450"/>
      <c r="E1778" s="450"/>
      <c r="F1778" s="450"/>
      <c r="G1778" s="450"/>
      <c r="H1778" s="450"/>
      <c r="I1778" s="450"/>
      <c r="J1778" s="450"/>
      <c r="M1778" s="294">
        <f>Criteria!E22</f>
        <v>2025</v>
      </c>
      <c r="N1778" s="294"/>
      <c r="O1778" s="294">
        <f>Criteria!E27</f>
        <v>2024</v>
      </c>
      <c r="R1778" s="348" t="str">
        <f t="shared" si="90"/>
        <v>DELETE</v>
      </c>
    </row>
    <row r="1779" spans="2:24" ht="36" customHeight="1" x14ac:dyDescent="0.5">
      <c r="B1779" s="316"/>
      <c r="C1779" s="456"/>
      <c r="D1779" s="450"/>
      <c r="E1779" s="450"/>
      <c r="F1779" s="450"/>
      <c r="G1779" s="450"/>
      <c r="H1779" s="450"/>
      <c r="I1779" s="450"/>
      <c r="J1779" s="450"/>
      <c r="M1779" s="296"/>
      <c r="N1779" s="296"/>
      <c r="O1779" s="296"/>
      <c r="R1779" s="348" t="str">
        <f t="shared" si="90"/>
        <v>DELETE</v>
      </c>
    </row>
    <row r="1780" spans="2:24" ht="36" customHeight="1" x14ac:dyDescent="0.5">
      <c r="B1780" s="316">
        <f>MAX(B$602:B1779)+1</f>
        <v>17</v>
      </c>
      <c r="C1780" s="456" t="s">
        <v>677</v>
      </c>
      <c r="D1780" s="450"/>
      <c r="E1780" s="450"/>
      <c r="F1780" s="450"/>
      <c r="G1780" s="450"/>
      <c r="H1780" s="450"/>
      <c r="I1780" s="450"/>
      <c r="J1780" s="450"/>
      <c r="M1780" s="296"/>
      <c r="N1780" s="296"/>
      <c r="O1780" s="296"/>
      <c r="R1780" s="348" t="str">
        <f t="shared" si="90"/>
        <v>DELETE</v>
      </c>
    </row>
    <row r="1781" spans="2:24" ht="36" customHeight="1" x14ac:dyDescent="0.5">
      <c r="B1781" s="316"/>
      <c r="C1781" s="456"/>
      <c r="D1781" s="450"/>
      <c r="E1781" s="450"/>
      <c r="F1781" s="450"/>
      <c r="G1781" s="450"/>
      <c r="H1781" s="450"/>
      <c r="I1781" s="450"/>
      <c r="J1781" s="450"/>
      <c r="M1781" s="296"/>
      <c r="N1781" s="296"/>
      <c r="O1781" s="296"/>
      <c r="R1781" s="348" t="str">
        <f t="shared" si="90"/>
        <v>DELETE</v>
      </c>
    </row>
    <row r="1782" spans="2:24" ht="36" customHeight="1" x14ac:dyDescent="0.5">
      <c r="B1782" s="316"/>
      <c r="C1782" s="450" t="s">
        <v>521</v>
      </c>
      <c r="D1782" s="459"/>
      <c r="E1782" s="450"/>
      <c r="F1782" s="450"/>
      <c r="G1782" s="450"/>
      <c r="H1782" s="450"/>
      <c r="I1782" s="450"/>
      <c r="J1782" s="450"/>
      <c r="M1782" s="296">
        <f>TrialBalance!L360</f>
        <v>0</v>
      </c>
      <c r="N1782" s="296"/>
      <c r="O1782" s="296">
        <f>TrialBalance!N360</f>
        <v>0</v>
      </c>
      <c r="R1782" s="348" t="str">
        <f>IF(M1782+O1782=0,"DELETE"," ")</f>
        <v>DELETE</v>
      </c>
      <c r="S1782" s="336">
        <f>M1782</f>
        <v>0</v>
      </c>
      <c r="T1782" s="336"/>
      <c r="U1782" s="336">
        <f>O1782</f>
        <v>0</v>
      </c>
      <c r="V1782" s="336"/>
      <c r="W1782" s="336"/>
      <c r="X1782" s="336"/>
    </row>
    <row r="1783" spans="2:24" ht="36" customHeight="1" x14ac:dyDescent="0.5">
      <c r="B1783" s="316"/>
      <c r="C1783" s="450" t="s">
        <v>614</v>
      </c>
      <c r="D1783" s="459"/>
      <c r="E1783" s="450"/>
      <c r="F1783" s="450"/>
      <c r="G1783" s="450"/>
      <c r="H1783" s="450"/>
      <c r="I1783" s="450"/>
      <c r="J1783" s="450"/>
      <c r="M1783" s="296">
        <f>TrialBalance!L361</f>
        <v>0</v>
      </c>
      <c r="N1783" s="296"/>
      <c r="O1783" s="296">
        <f>TrialBalance!N361</f>
        <v>0</v>
      </c>
      <c r="R1783" s="348" t="str">
        <f>IF(M1783+O1783=0,"DELETE"," ")</f>
        <v>DELETE</v>
      </c>
      <c r="S1783" s="336">
        <f>M1783</f>
        <v>0</v>
      </c>
      <c r="T1783" s="336"/>
      <c r="U1783" s="336">
        <f>O1783</f>
        <v>0</v>
      </c>
      <c r="V1783" s="336"/>
      <c r="W1783" s="336"/>
      <c r="X1783" s="336"/>
    </row>
    <row r="1784" spans="2:24" ht="9" customHeight="1" x14ac:dyDescent="0.5">
      <c r="B1784" s="316"/>
      <c r="C1784" s="450"/>
      <c r="D1784" s="459"/>
      <c r="E1784" s="450"/>
      <c r="F1784" s="450"/>
      <c r="G1784" s="450"/>
      <c r="H1784" s="450"/>
      <c r="I1784" s="450"/>
      <c r="J1784" s="450"/>
      <c r="M1784" s="298"/>
      <c r="N1784" s="298"/>
      <c r="O1784" s="298"/>
      <c r="R1784" s="348" t="str">
        <f>R$1786</f>
        <v>DELETE</v>
      </c>
    </row>
    <row r="1785" spans="2:24" ht="10.5" customHeight="1" x14ac:dyDescent="0.5">
      <c r="B1785" s="316"/>
      <c r="C1785" s="450"/>
      <c r="D1785" s="459"/>
      <c r="E1785" s="450"/>
      <c r="F1785" s="450"/>
      <c r="G1785" s="450"/>
      <c r="H1785" s="450"/>
      <c r="I1785" s="450"/>
      <c r="J1785" s="450"/>
      <c r="M1785" s="296"/>
      <c r="N1785" s="296"/>
      <c r="O1785" s="296"/>
      <c r="R1785" s="348" t="str">
        <f>R$1786</f>
        <v>DELETE</v>
      </c>
    </row>
    <row r="1786" spans="2:24" ht="36" customHeight="1" x14ac:dyDescent="0.5">
      <c r="B1786" s="316"/>
      <c r="C1786" s="450"/>
      <c r="D1786" s="459"/>
      <c r="E1786" s="450"/>
      <c r="F1786" s="450"/>
      <c r="G1786" s="450"/>
      <c r="H1786" s="450"/>
      <c r="I1786" s="450"/>
      <c r="J1786" s="450"/>
      <c r="M1786" s="296">
        <f>SUM(M1782:M1785)</f>
        <v>0</v>
      </c>
      <c r="N1786" s="296"/>
      <c r="O1786" s="296">
        <f>SUM(O1782:O1785)</f>
        <v>0</v>
      </c>
      <c r="R1786" s="348" t="str">
        <f>IF(R1794="DELETE","DELETE",IF(M1783+O1783=0,"DELETE",IF(M1786+O1786=0,"DELETE",IF(O1786=O1794,IF(M1786=M1794,"DELETE"," ")," "))))</f>
        <v>DELETE</v>
      </c>
    </row>
    <row r="1787" spans="2:24" ht="36" customHeight="1" x14ac:dyDescent="0.5">
      <c r="B1787" s="316"/>
      <c r="C1787" s="450" t="s">
        <v>307</v>
      </c>
      <c r="D1787" s="459"/>
      <c r="E1787" s="450"/>
      <c r="F1787" s="450"/>
      <c r="G1787" s="450"/>
      <c r="H1787" s="450"/>
      <c r="I1787" s="450"/>
      <c r="J1787" s="450"/>
      <c r="M1787" s="296">
        <f>TrialBalance!L362</f>
        <v>0</v>
      </c>
      <c r="N1787" s="296"/>
      <c r="O1787" s="296">
        <f>TrialBalance!N362</f>
        <v>0</v>
      </c>
      <c r="R1787" s="348" t="str">
        <f>IF(M1787+O1787=0,"DELETE"," ")</f>
        <v>DELETE</v>
      </c>
      <c r="S1787" s="336">
        <f t="shared" ref="S1787:S1791" si="91">M1787</f>
        <v>0</v>
      </c>
      <c r="T1787" s="336"/>
      <c r="U1787" s="336">
        <f t="shared" ref="U1787:U1791" si="92">O1787</f>
        <v>0</v>
      </c>
      <c r="V1787" s="336"/>
      <c r="W1787" s="336"/>
      <c r="X1787" s="336"/>
    </row>
    <row r="1788" spans="2:24" ht="36" customHeight="1" x14ac:dyDescent="0.5">
      <c r="B1788" s="316"/>
      <c r="C1788" s="450" t="s">
        <v>273</v>
      </c>
      <c r="D1788" s="459"/>
      <c r="E1788" s="450"/>
      <c r="F1788" s="450"/>
      <c r="G1788" s="450"/>
      <c r="H1788" s="450"/>
      <c r="I1788" s="450"/>
      <c r="J1788" s="450"/>
      <c r="M1788" s="296">
        <f>TrialBalance!L363</f>
        <v>0</v>
      </c>
      <c r="N1788" s="296"/>
      <c r="O1788" s="296">
        <f>TrialBalance!N363</f>
        <v>0</v>
      </c>
      <c r="R1788" s="348" t="str">
        <f>IF(M1788+O1788=0,"DELETE"," ")</f>
        <v>DELETE</v>
      </c>
      <c r="S1788" s="336">
        <f t="shared" si="91"/>
        <v>0</v>
      </c>
      <c r="T1788" s="336"/>
      <c r="U1788" s="336">
        <f t="shared" si="92"/>
        <v>0</v>
      </c>
      <c r="V1788" s="336"/>
      <c r="W1788" s="336"/>
      <c r="X1788" s="336"/>
    </row>
    <row r="1789" spans="2:24" ht="36" customHeight="1" x14ac:dyDescent="0.5">
      <c r="B1789" s="316"/>
      <c r="C1789" s="450" t="s">
        <v>350</v>
      </c>
      <c r="D1789" s="459"/>
      <c r="E1789" s="450"/>
      <c r="F1789" s="450"/>
      <c r="G1789" s="450"/>
      <c r="H1789" s="450"/>
      <c r="I1789" s="450"/>
      <c r="J1789" s="450"/>
      <c r="M1789" s="296">
        <f>TrialBalance!L364</f>
        <v>0</v>
      </c>
      <c r="N1789" s="296"/>
      <c r="O1789" s="296">
        <f>TrialBalance!N364</f>
        <v>0</v>
      </c>
      <c r="R1789" s="348" t="str">
        <f>IF(M1789+O1789=0,"DELETE"," ")</f>
        <v>DELETE</v>
      </c>
      <c r="S1789" s="336">
        <f t="shared" si="91"/>
        <v>0</v>
      </c>
      <c r="T1789" s="336"/>
      <c r="U1789" s="336">
        <f t="shared" si="92"/>
        <v>0</v>
      </c>
      <c r="V1789" s="336"/>
      <c r="W1789" s="336"/>
      <c r="X1789" s="336"/>
    </row>
    <row r="1790" spans="2:24" ht="36" customHeight="1" x14ac:dyDescent="0.5">
      <c r="B1790" s="316"/>
      <c r="C1790" s="450" t="s">
        <v>523</v>
      </c>
      <c r="D1790" s="459"/>
      <c r="E1790" s="450"/>
      <c r="F1790" s="450"/>
      <c r="G1790" s="450"/>
      <c r="H1790" s="450"/>
      <c r="I1790" s="450"/>
      <c r="J1790" s="450"/>
      <c r="M1790" s="296">
        <f>TrialBalance!L365</f>
        <v>0</v>
      </c>
      <c r="N1790" s="296"/>
      <c r="O1790" s="296">
        <f>TrialBalance!N365</f>
        <v>0</v>
      </c>
      <c r="R1790" s="348" t="str">
        <f>IF(M1790+O1790=0,"DELETE"," ")</f>
        <v>DELETE</v>
      </c>
      <c r="S1790" s="336">
        <f t="shared" si="91"/>
        <v>0</v>
      </c>
      <c r="T1790" s="336"/>
      <c r="U1790" s="336">
        <f t="shared" si="92"/>
        <v>0</v>
      </c>
      <c r="V1790" s="336"/>
      <c r="W1790" s="336"/>
      <c r="X1790" s="336"/>
    </row>
    <row r="1791" spans="2:24" ht="36" customHeight="1" x14ac:dyDescent="0.5">
      <c r="B1791" s="316"/>
      <c r="C1791" s="450" t="s">
        <v>522</v>
      </c>
      <c r="D1791" s="459"/>
      <c r="E1791" s="450"/>
      <c r="F1791" s="450"/>
      <c r="G1791" s="450"/>
      <c r="H1791" s="450"/>
      <c r="I1791" s="450"/>
      <c r="J1791" s="450"/>
      <c r="M1791" s="296">
        <f>IF(TrialBalance!L399&gt;0,TrialBalance!L399,0)+IF(TrialBalance!L398&gt;0,TrialBalance!L398,0)</f>
        <v>0</v>
      </c>
      <c r="N1791" s="296"/>
      <c r="O1791" s="296">
        <f>IF(TrialBalance!N399&gt;0,TrialBalance!N399,0)+IF(TrialBalance!N398&gt;0,TrialBalance!N398,0)</f>
        <v>0</v>
      </c>
      <c r="R1791" s="348" t="str">
        <f>IF(M1791+O1791=0,"DELETE"," ")</f>
        <v>DELETE</v>
      </c>
      <c r="S1791" s="336">
        <f t="shared" si="91"/>
        <v>0</v>
      </c>
      <c r="T1791" s="336"/>
      <c r="U1791" s="336">
        <f t="shared" si="92"/>
        <v>0</v>
      </c>
      <c r="V1791" s="336"/>
      <c r="W1791" s="336"/>
      <c r="X1791" s="336"/>
    </row>
    <row r="1792" spans="2:24" ht="9" customHeight="1" x14ac:dyDescent="0.5">
      <c r="B1792" s="316"/>
      <c r="C1792" s="456"/>
      <c r="D1792" s="450"/>
      <c r="E1792" s="450"/>
      <c r="F1792" s="450"/>
      <c r="G1792" s="450"/>
      <c r="H1792" s="450"/>
      <c r="I1792" s="450"/>
      <c r="J1792" s="450"/>
      <c r="M1792" s="298"/>
      <c r="N1792" s="298"/>
      <c r="O1792" s="298"/>
      <c r="R1792" s="348" t="str">
        <f t="shared" ref="R1792:R1801" si="93">R$1794</f>
        <v>DELETE</v>
      </c>
    </row>
    <row r="1793" spans="2:21" ht="9" customHeight="1" x14ac:dyDescent="0.5">
      <c r="B1793" s="316"/>
      <c r="C1793" s="456"/>
      <c r="D1793" s="450"/>
      <c r="E1793" s="450"/>
      <c r="F1793" s="450"/>
      <c r="G1793" s="450"/>
      <c r="H1793" s="450"/>
      <c r="I1793" s="450"/>
      <c r="J1793" s="450"/>
      <c r="M1793" s="296"/>
      <c r="N1793" s="296"/>
      <c r="O1793" s="296"/>
      <c r="R1793" s="348" t="str">
        <f t="shared" si="93"/>
        <v>DELETE</v>
      </c>
    </row>
    <row r="1794" spans="2:21" ht="36.75" customHeight="1" x14ac:dyDescent="0.5">
      <c r="B1794" s="316"/>
      <c r="C1794" s="456"/>
      <c r="D1794" s="450"/>
      <c r="E1794" s="450"/>
      <c r="F1794" s="450"/>
      <c r="G1794" s="450"/>
      <c r="H1794" s="450"/>
      <c r="I1794" s="450"/>
      <c r="J1794" s="450"/>
      <c r="M1794" s="296">
        <f>SUM(S1782:S1791)</f>
        <v>0</v>
      </c>
      <c r="N1794" s="296"/>
      <c r="O1794" s="296">
        <f>SUM(U1782:U1791)</f>
        <v>0</v>
      </c>
      <c r="R1794" s="348" t="str">
        <f>IF(M1794+O1794=0,"DELETE"," ")</f>
        <v>DELETE</v>
      </c>
      <c r="S1794" s="333"/>
      <c r="T1794" s="333"/>
      <c r="U1794" s="333"/>
    </row>
    <row r="1795" spans="2:21" ht="9" customHeight="1" thickBot="1" x14ac:dyDescent="0.55000000000000004">
      <c r="B1795" s="316"/>
      <c r="C1795" s="456"/>
      <c r="D1795" s="450"/>
      <c r="E1795" s="450"/>
      <c r="F1795" s="450"/>
      <c r="G1795" s="450"/>
      <c r="H1795" s="450"/>
      <c r="I1795" s="450"/>
      <c r="J1795" s="450"/>
      <c r="M1795" s="299"/>
      <c r="N1795" s="299"/>
      <c r="O1795" s="299"/>
      <c r="R1795" s="348" t="str">
        <f t="shared" si="93"/>
        <v>DELETE</v>
      </c>
    </row>
    <row r="1796" spans="2:21" ht="9" customHeight="1" thickTop="1" x14ac:dyDescent="0.5">
      <c r="B1796" s="316"/>
      <c r="C1796" s="456"/>
      <c r="D1796" s="450"/>
      <c r="E1796" s="450"/>
      <c r="F1796" s="450"/>
      <c r="G1796" s="450"/>
      <c r="H1796" s="450"/>
      <c r="I1796" s="450"/>
      <c r="J1796" s="450"/>
      <c r="M1796" s="310"/>
      <c r="N1796" s="310"/>
      <c r="O1796" s="310"/>
      <c r="R1796" s="348" t="str">
        <f t="shared" si="93"/>
        <v>DELETE</v>
      </c>
    </row>
    <row r="1797" spans="2:21" ht="36" customHeight="1" x14ac:dyDescent="0.5">
      <c r="B1797" s="316"/>
      <c r="C1797" s="450" t="str">
        <f>IF(Criteria!G270="Yes",Criteria!G272," ")</f>
        <v xml:space="preserve"> </v>
      </c>
      <c r="D1797" s="459"/>
      <c r="E1797" s="450"/>
      <c r="F1797" s="450"/>
      <c r="G1797" s="450"/>
      <c r="H1797" s="450"/>
      <c r="I1797" s="450"/>
      <c r="J1797" s="450"/>
      <c r="M1797" s="296"/>
      <c r="N1797" s="296"/>
      <c r="O1797" s="296"/>
      <c r="R1797" s="348" t="str">
        <f>IF(C1797=" ","DELETE",IF(C1797=0,"DELETE"," "))</f>
        <v>DELETE</v>
      </c>
    </row>
    <row r="1798" spans="2:21" ht="36" customHeight="1" x14ac:dyDescent="0.5">
      <c r="B1798" s="316"/>
      <c r="C1798" s="450" t="str">
        <f>IF(Criteria!G270="Yes",Criteria!G273," ")</f>
        <v xml:space="preserve"> </v>
      </c>
      <c r="D1798" s="459"/>
      <c r="E1798" s="450"/>
      <c r="F1798" s="450"/>
      <c r="G1798" s="450"/>
      <c r="H1798" s="450"/>
      <c r="I1798" s="450"/>
      <c r="J1798" s="450"/>
      <c r="M1798" s="296"/>
      <c r="N1798" s="296"/>
      <c r="O1798" s="296"/>
      <c r="R1798" s="348" t="str">
        <f>IF(C1798=" ","DELETE",IF(C1798=0,"DELETE"," "))</f>
        <v>DELETE</v>
      </c>
    </row>
    <row r="1799" spans="2:21" ht="36" customHeight="1" x14ac:dyDescent="0.5">
      <c r="B1799" s="316"/>
      <c r="C1799" s="456"/>
      <c r="D1799" s="450"/>
      <c r="E1799" s="450"/>
      <c r="F1799" s="450"/>
      <c r="G1799" s="450"/>
      <c r="H1799" s="450"/>
      <c r="I1799" s="450"/>
      <c r="J1799" s="450"/>
      <c r="M1799" s="296"/>
      <c r="N1799" s="296"/>
      <c r="O1799" s="296"/>
      <c r="R1799" s="348" t="str">
        <f t="shared" si="93"/>
        <v>DELETE</v>
      </c>
    </row>
    <row r="1800" spans="2:21" ht="36" customHeight="1" x14ac:dyDescent="0.5">
      <c r="B1800" s="316"/>
      <c r="C1800" s="456"/>
      <c r="D1800" s="450"/>
      <c r="E1800" s="450"/>
      <c r="F1800" s="450"/>
      <c r="G1800" s="450"/>
      <c r="H1800" s="450"/>
      <c r="I1800" s="450"/>
      <c r="J1800" s="450"/>
      <c r="M1800" s="310"/>
      <c r="N1800" s="310"/>
      <c r="O1800" s="310"/>
      <c r="P1800" s="356"/>
      <c r="R1800" s="348" t="str">
        <f t="shared" si="93"/>
        <v>DELETE</v>
      </c>
    </row>
    <row r="1801" spans="2:21" ht="36" customHeight="1" x14ac:dyDescent="0.5">
      <c r="B1801" s="354"/>
      <c r="C1801" s="450"/>
      <c r="D1801" s="450"/>
      <c r="E1801" s="450"/>
      <c r="F1801" s="450"/>
      <c r="G1801" s="450"/>
      <c r="H1801" s="450"/>
      <c r="I1801" s="450"/>
      <c r="J1801" s="450"/>
      <c r="M1801" s="351"/>
      <c r="N1801" s="351"/>
      <c r="O1801" s="351"/>
      <c r="R1801" s="348" t="str">
        <f t="shared" si="93"/>
        <v>DELETE</v>
      </c>
    </row>
    <row r="1802" spans="2:21" ht="36" customHeight="1" x14ac:dyDescent="0.5">
      <c r="B1802" s="354"/>
      <c r="C1802" s="450"/>
      <c r="D1802" s="450"/>
      <c r="E1802" s="450"/>
      <c r="F1802" s="450"/>
      <c r="G1802" s="450"/>
      <c r="H1802" s="450"/>
      <c r="I1802" s="450"/>
      <c r="J1802" s="450"/>
      <c r="M1802" s="351"/>
      <c r="N1802" s="351"/>
      <c r="O1802" s="296" t="s">
        <v>89</v>
      </c>
      <c r="Q1802" s="292">
        <f>MAX($Q$105:Q1801)+1</f>
        <v>47</v>
      </c>
      <c r="R1802" s="348" t="str">
        <f>R$1823</f>
        <v>DELETE</v>
      </c>
    </row>
    <row r="1803" spans="2:21" ht="36" customHeight="1" x14ac:dyDescent="0.5">
      <c r="B1803" s="354"/>
      <c r="C1803" s="450"/>
      <c r="D1803" s="456" t="str">
        <f>Criteria!E9</f>
        <v>HOLDING COMPANY 268 (PROPRIETARY) LIMITED</v>
      </c>
      <c r="E1803" s="450"/>
      <c r="F1803" s="450"/>
      <c r="G1803" s="450"/>
      <c r="H1803" s="450"/>
      <c r="I1803" s="450"/>
      <c r="J1803" s="450"/>
      <c r="M1803" s="351"/>
      <c r="N1803" s="351"/>
      <c r="O1803" s="347"/>
      <c r="R1803" s="348" t="str">
        <f t="shared" ref="R1803:R1813" si="94">R$1823</f>
        <v>DELETE</v>
      </c>
    </row>
    <row r="1804" spans="2:21" ht="36" customHeight="1" x14ac:dyDescent="0.5">
      <c r="B1804" s="354"/>
      <c r="C1804" s="450"/>
      <c r="D1804" s="456" t="str">
        <f>Criteria!E10</f>
        <v>CONSOLIDATED FINANCIAL STATEMENTS</v>
      </c>
      <c r="E1804" s="450"/>
      <c r="F1804" s="450"/>
      <c r="G1804" s="450"/>
      <c r="H1804" s="450"/>
      <c r="I1804" s="450"/>
      <c r="J1804" s="450"/>
      <c r="M1804" s="351"/>
      <c r="N1804" s="351"/>
      <c r="O1804" s="351"/>
      <c r="R1804" s="348" t="str">
        <f>IF(R$1823="DELETE","DELETE",IF(D1804=0,"DELETE"," "))</f>
        <v>DELETE</v>
      </c>
    </row>
    <row r="1805" spans="2:21" ht="36" customHeight="1" x14ac:dyDescent="0.5">
      <c r="B1805" s="354"/>
      <c r="C1805" s="450"/>
      <c r="D1805" s="450"/>
      <c r="E1805" s="450"/>
      <c r="F1805" s="450"/>
      <c r="G1805" s="450"/>
      <c r="H1805" s="450"/>
      <c r="I1805" s="450"/>
      <c r="J1805" s="450"/>
      <c r="M1805" s="351"/>
      <c r="N1805" s="351"/>
      <c r="O1805" s="351"/>
      <c r="R1805" s="348" t="str">
        <f t="shared" si="94"/>
        <v>DELETE</v>
      </c>
    </row>
    <row r="1806" spans="2:21" ht="36" customHeight="1" x14ac:dyDescent="0.5">
      <c r="B1806" s="354"/>
      <c r="C1806" s="450"/>
      <c r="D1806" s="456" t="s">
        <v>351</v>
      </c>
      <c r="E1806" s="450"/>
      <c r="F1806" s="450"/>
      <c r="G1806" s="450"/>
      <c r="H1806" s="450"/>
      <c r="I1806" s="450"/>
      <c r="J1806" s="450"/>
      <c r="M1806" s="351"/>
      <c r="N1806" s="351"/>
      <c r="O1806" s="351"/>
      <c r="R1806" s="348" t="str">
        <f t="shared" si="94"/>
        <v>DELETE</v>
      </c>
    </row>
    <row r="1807" spans="2:21" ht="36" customHeight="1" x14ac:dyDescent="0.5">
      <c r="B1807" s="354"/>
      <c r="C1807" s="450"/>
      <c r="D1807" s="456" t="str">
        <f>Criteria!E20</f>
        <v>28 FEBRUARY 2025</v>
      </c>
      <c r="E1807" s="450"/>
      <c r="F1807" s="450"/>
      <c r="G1807" s="450"/>
      <c r="H1807" s="450"/>
      <c r="I1807" s="450"/>
      <c r="J1807" s="450" t="s">
        <v>231</v>
      </c>
      <c r="M1807" s="351"/>
      <c r="N1807" s="351"/>
      <c r="O1807" s="351"/>
      <c r="R1807" s="348" t="str">
        <f t="shared" si="94"/>
        <v>DELETE</v>
      </c>
    </row>
    <row r="1808" spans="2:21" ht="36" customHeight="1" x14ac:dyDescent="0.5">
      <c r="B1808" s="354"/>
      <c r="C1808" s="450"/>
      <c r="D1808" s="456"/>
      <c r="E1808" s="450"/>
      <c r="F1808" s="450"/>
      <c r="G1808" s="450"/>
      <c r="H1808" s="450"/>
      <c r="I1808" s="450"/>
      <c r="J1808" s="450"/>
      <c r="M1808" s="351"/>
      <c r="N1808" s="351"/>
      <c r="O1808" s="351"/>
      <c r="R1808" s="348" t="str">
        <f t="shared" si="94"/>
        <v>DELETE</v>
      </c>
    </row>
    <row r="1809" spans="2:24" ht="36" customHeight="1" x14ac:dyDescent="0.5">
      <c r="B1809" s="447"/>
      <c r="C1809" s="465"/>
      <c r="D1809" s="460"/>
      <c r="E1809" s="460"/>
      <c r="F1809" s="460"/>
      <c r="G1809" s="460"/>
      <c r="H1809" s="460"/>
      <c r="I1809" s="460"/>
      <c r="J1809" s="460"/>
      <c r="K1809" s="364"/>
      <c r="L1809" s="364"/>
      <c r="M1809" s="297"/>
      <c r="N1809" s="297"/>
      <c r="O1809" s="297"/>
      <c r="P1809" s="367"/>
      <c r="Q1809" s="364"/>
      <c r="R1809" s="348" t="str">
        <f t="shared" si="94"/>
        <v>DELETE</v>
      </c>
    </row>
    <row r="1810" spans="2:24" ht="36" customHeight="1" x14ac:dyDescent="0.5">
      <c r="B1810" s="316"/>
      <c r="C1810" s="456"/>
      <c r="D1810" s="450"/>
      <c r="E1810" s="450"/>
      <c r="F1810" s="450"/>
      <c r="G1810" s="450"/>
      <c r="H1810" s="450"/>
      <c r="I1810" s="450"/>
      <c r="J1810" s="450"/>
      <c r="M1810" s="294">
        <f>Criteria!E22</f>
        <v>2025</v>
      </c>
      <c r="N1810" s="294"/>
      <c r="O1810" s="294">
        <f>Criteria!E27</f>
        <v>2024</v>
      </c>
      <c r="R1810" s="348" t="str">
        <f t="shared" si="94"/>
        <v>DELETE</v>
      </c>
    </row>
    <row r="1811" spans="2:24" ht="36" customHeight="1" x14ac:dyDescent="0.5">
      <c r="B1811" s="316"/>
      <c r="C1811" s="456"/>
      <c r="D1811" s="450"/>
      <c r="E1811" s="450"/>
      <c r="F1811" s="450"/>
      <c r="G1811" s="450"/>
      <c r="H1811" s="450"/>
      <c r="I1811" s="450"/>
      <c r="J1811" s="450"/>
      <c r="M1811" s="296"/>
      <c r="N1811" s="296"/>
      <c r="O1811" s="296"/>
      <c r="R1811" s="348" t="str">
        <f t="shared" si="94"/>
        <v>DELETE</v>
      </c>
    </row>
    <row r="1812" spans="2:24" ht="36" customHeight="1" x14ac:dyDescent="0.5">
      <c r="B1812" s="316">
        <f>MAX(B$602:B1811)+1</f>
        <v>18</v>
      </c>
      <c r="C1812" s="456" t="s">
        <v>643</v>
      </c>
      <c r="D1812" s="450"/>
      <c r="E1812" s="450"/>
      <c r="F1812" s="450"/>
      <c r="G1812" s="450"/>
      <c r="H1812" s="450"/>
      <c r="I1812" s="450"/>
      <c r="J1812" s="450"/>
      <c r="M1812" s="296"/>
      <c r="N1812" s="296"/>
      <c r="O1812" s="296"/>
      <c r="R1812" s="348" t="str">
        <f t="shared" si="94"/>
        <v>DELETE</v>
      </c>
    </row>
    <row r="1813" spans="2:24" ht="36" customHeight="1" x14ac:dyDescent="0.5">
      <c r="B1813" s="316"/>
      <c r="C1813" s="456"/>
      <c r="D1813" s="450"/>
      <c r="E1813" s="450"/>
      <c r="F1813" s="450"/>
      <c r="G1813" s="450"/>
      <c r="H1813" s="450"/>
      <c r="I1813" s="450"/>
      <c r="J1813" s="450"/>
      <c r="M1813" s="296"/>
      <c r="N1813" s="296"/>
      <c r="O1813" s="296"/>
      <c r="R1813" s="348" t="str">
        <f t="shared" si="94"/>
        <v>DELETE</v>
      </c>
    </row>
    <row r="1814" spans="2:24" ht="36" customHeight="1" x14ac:dyDescent="0.5">
      <c r="B1814" s="316"/>
      <c r="C1814" s="450">
        <f>TrialBalance!C367</f>
        <v>0</v>
      </c>
      <c r="D1814" s="459"/>
      <c r="E1814" s="450"/>
      <c r="F1814" s="450"/>
      <c r="G1814" s="450"/>
      <c r="H1814" s="450"/>
      <c r="I1814" s="450"/>
      <c r="J1814" s="450"/>
      <c r="M1814" s="296">
        <f>IF(TrialBalance!L367&gt;0,TrialBalance!L367,0)</f>
        <v>0</v>
      </c>
      <c r="N1814" s="296"/>
      <c r="O1814" s="296">
        <f>IF(TrialBalance!N367&gt;0,TrialBalance!N367,0)</f>
        <v>0</v>
      </c>
      <c r="R1814" s="348" t="str">
        <f>IF(M1814+O1814=0,"DELETE"," ")</f>
        <v>DELETE</v>
      </c>
    </row>
    <row r="1815" spans="2:24" ht="36" customHeight="1" x14ac:dyDescent="0.5">
      <c r="B1815" s="316"/>
      <c r="C1815" s="450">
        <f>TrialBalance!C368</f>
        <v>0</v>
      </c>
      <c r="D1815" s="459"/>
      <c r="E1815" s="450"/>
      <c r="F1815" s="450"/>
      <c r="G1815" s="450"/>
      <c r="H1815" s="450"/>
      <c r="I1815" s="450"/>
      <c r="J1815" s="450"/>
      <c r="M1815" s="296">
        <f>IF(TrialBalance!L368&gt;0,TrialBalance!L368,0)</f>
        <v>0</v>
      </c>
      <c r="N1815" s="296"/>
      <c r="O1815" s="296">
        <f>IF(TrialBalance!N368&gt;0,TrialBalance!N368,0)</f>
        <v>0</v>
      </c>
      <c r="R1815" s="348" t="str">
        <f t="shared" ref="R1815:R1819" si="95">IF(M1815+O1815=0,"DELETE"," ")</f>
        <v>DELETE</v>
      </c>
    </row>
    <row r="1816" spans="2:24" ht="36" customHeight="1" x14ac:dyDescent="0.5">
      <c r="B1816" s="316"/>
      <c r="C1816" s="450">
        <f>TrialBalance!C369</f>
        <v>0</v>
      </c>
      <c r="D1816" s="459"/>
      <c r="E1816" s="450"/>
      <c r="F1816" s="450"/>
      <c r="G1816" s="450"/>
      <c r="H1816" s="450"/>
      <c r="I1816" s="450"/>
      <c r="J1816" s="450"/>
      <c r="M1816" s="296">
        <f>IF(TrialBalance!L369&gt;0,TrialBalance!L369,0)</f>
        <v>0</v>
      </c>
      <c r="N1816" s="296"/>
      <c r="O1816" s="296">
        <f>IF(TrialBalance!N369&gt;0,TrialBalance!N369,0)</f>
        <v>0</v>
      </c>
      <c r="R1816" s="348" t="str">
        <f t="shared" si="95"/>
        <v>DELETE</v>
      </c>
    </row>
    <row r="1817" spans="2:24" ht="36" customHeight="1" x14ac:dyDescent="0.5">
      <c r="B1817" s="316"/>
      <c r="C1817" s="450">
        <f>TrialBalance!C370</f>
        <v>0</v>
      </c>
      <c r="D1817" s="459"/>
      <c r="E1817" s="450"/>
      <c r="F1817" s="450"/>
      <c r="G1817" s="450"/>
      <c r="H1817" s="450"/>
      <c r="I1817" s="450"/>
      <c r="J1817" s="450"/>
      <c r="M1817" s="296">
        <f>IF(TrialBalance!L370&gt;0,TrialBalance!L370,0)</f>
        <v>0</v>
      </c>
      <c r="N1817" s="296"/>
      <c r="O1817" s="296">
        <f>IF(TrialBalance!N370&gt;0,TrialBalance!N370,0)</f>
        <v>0</v>
      </c>
      <c r="R1817" s="348" t="str">
        <f t="shared" si="95"/>
        <v>DELETE</v>
      </c>
    </row>
    <row r="1818" spans="2:24" ht="36" customHeight="1" x14ac:dyDescent="0.5">
      <c r="B1818" s="316"/>
      <c r="C1818" s="450">
        <f>TrialBalance!C371</f>
        <v>0</v>
      </c>
      <c r="D1818" s="459"/>
      <c r="E1818" s="450"/>
      <c r="F1818" s="450"/>
      <c r="G1818" s="450"/>
      <c r="H1818" s="450"/>
      <c r="I1818" s="450"/>
      <c r="J1818" s="450"/>
      <c r="M1818" s="296">
        <f>IF(TrialBalance!L371&gt;0,TrialBalance!L371,0)</f>
        <v>0</v>
      </c>
      <c r="N1818" s="296"/>
      <c r="O1818" s="296">
        <f>IF(TrialBalance!N371&gt;0,TrialBalance!N371,0)</f>
        <v>0</v>
      </c>
      <c r="R1818" s="348" t="str">
        <f t="shared" si="95"/>
        <v>DELETE</v>
      </c>
    </row>
    <row r="1819" spans="2:24" ht="36" customHeight="1" x14ac:dyDescent="0.5">
      <c r="B1819" s="316"/>
      <c r="C1819" s="450">
        <f>TrialBalance!C372</f>
        <v>0</v>
      </c>
      <c r="D1819" s="459"/>
      <c r="E1819" s="450"/>
      <c r="F1819" s="450"/>
      <c r="G1819" s="450"/>
      <c r="H1819" s="450"/>
      <c r="I1819" s="450"/>
      <c r="J1819" s="450"/>
      <c r="M1819" s="296">
        <f>IF(TrialBalance!L372&gt;0,TrialBalance!L372,0)</f>
        <v>0</v>
      </c>
      <c r="N1819" s="296"/>
      <c r="O1819" s="296">
        <f>IF(TrialBalance!N372&gt;0,TrialBalance!N372,0)</f>
        <v>0</v>
      </c>
      <c r="R1819" s="348" t="str">
        <f t="shared" si="95"/>
        <v>DELETE</v>
      </c>
    </row>
    <row r="1820" spans="2:24" ht="36" customHeight="1" x14ac:dyDescent="0.5">
      <c r="B1820" s="316"/>
      <c r="C1820" s="450" t="s">
        <v>399</v>
      </c>
      <c r="D1820" s="459"/>
      <c r="E1820" s="450"/>
      <c r="F1820" s="450"/>
      <c r="G1820" s="450"/>
      <c r="H1820" s="450"/>
      <c r="I1820" s="450"/>
      <c r="J1820" s="450"/>
      <c r="M1820" s="296">
        <f>TrialBalance!L373</f>
        <v>0</v>
      </c>
      <c r="N1820" s="296"/>
      <c r="O1820" s="296">
        <f>TrialBalance!N373</f>
        <v>0</v>
      </c>
      <c r="R1820" s="348" t="str">
        <f>IF(M1820+O1820=0,"DELETE"," ")</f>
        <v>DELETE</v>
      </c>
    </row>
    <row r="1821" spans="2:24" ht="9" customHeight="1" x14ac:dyDescent="0.5">
      <c r="B1821" s="316"/>
      <c r="C1821" s="456"/>
      <c r="D1821" s="450"/>
      <c r="E1821" s="450"/>
      <c r="F1821" s="450"/>
      <c r="G1821" s="450"/>
      <c r="H1821" s="450"/>
      <c r="I1821" s="450"/>
      <c r="J1821" s="450"/>
      <c r="M1821" s="298"/>
      <c r="N1821" s="298"/>
      <c r="O1821" s="298"/>
      <c r="R1821" s="348" t="str">
        <f t="shared" ref="R1821:R1829" si="96">R$1823</f>
        <v>DELETE</v>
      </c>
    </row>
    <row r="1822" spans="2:24" ht="9" customHeight="1" x14ac:dyDescent="0.5">
      <c r="B1822" s="316"/>
      <c r="C1822" s="456"/>
      <c r="D1822" s="450"/>
      <c r="E1822" s="450"/>
      <c r="F1822" s="450"/>
      <c r="G1822" s="450"/>
      <c r="H1822" s="450"/>
      <c r="I1822" s="450"/>
      <c r="J1822" s="450"/>
      <c r="M1822" s="296"/>
      <c r="N1822" s="296"/>
      <c r="O1822" s="296"/>
      <c r="R1822" s="348" t="str">
        <f t="shared" si="96"/>
        <v>DELETE</v>
      </c>
    </row>
    <row r="1823" spans="2:24" ht="36.75" customHeight="1" x14ac:dyDescent="0.5">
      <c r="B1823" s="316"/>
      <c r="C1823" s="456"/>
      <c r="D1823" s="450"/>
      <c r="E1823" s="450"/>
      <c r="F1823" s="450"/>
      <c r="G1823" s="450"/>
      <c r="H1823" s="450"/>
      <c r="I1823" s="450"/>
      <c r="J1823" s="450"/>
      <c r="M1823" s="296">
        <f>SUM(M1814:M1822)</f>
        <v>0</v>
      </c>
      <c r="N1823" s="296"/>
      <c r="O1823" s="296">
        <f>SUM(O1814:O1822)</f>
        <v>0</v>
      </c>
      <c r="R1823" s="348" t="str">
        <f>IF(M1823+O1823=0,"DELETE"," ")</f>
        <v>DELETE</v>
      </c>
      <c r="V1823" s="336"/>
      <c r="W1823" s="336"/>
      <c r="X1823" s="336"/>
    </row>
    <row r="1824" spans="2:24" ht="9" customHeight="1" thickBot="1" x14ac:dyDescent="0.55000000000000004">
      <c r="B1824" s="316"/>
      <c r="C1824" s="456"/>
      <c r="D1824" s="450"/>
      <c r="E1824" s="450"/>
      <c r="F1824" s="450"/>
      <c r="G1824" s="450"/>
      <c r="H1824" s="450"/>
      <c r="I1824" s="450"/>
      <c r="J1824" s="450"/>
      <c r="M1824" s="299"/>
      <c r="N1824" s="299"/>
      <c r="O1824" s="299"/>
      <c r="R1824" s="348" t="str">
        <f t="shared" si="96"/>
        <v>DELETE</v>
      </c>
    </row>
    <row r="1825" spans="2:18" ht="9" customHeight="1" thickTop="1" x14ac:dyDescent="0.5">
      <c r="B1825" s="316"/>
      <c r="C1825" s="456"/>
      <c r="D1825" s="450"/>
      <c r="E1825" s="450"/>
      <c r="F1825" s="450"/>
      <c r="G1825" s="450"/>
      <c r="H1825" s="450"/>
      <c r="I1825" s="450"/>
      <c r="J1825" s="450"/>
      <c r="M1825" s="310"/>
      <c r="N1825" s="310"/>
      <c r="O1825" s="310"/>
      <c r="R1825" s="348" t="str">
        <f t="shared" si="96"/>
        <v>DELETE</v>
      </c>
    </row>
    <row r="1826" spans="2:18" ht="36" customHeight="1" x14ac:dyDescent="0.5">
      <c r="B1826" s="316"/>
      <c r="C1826" s="456"/>
      <c r="D1826" s="450"/>
      <c r="E1826" s="450"/>
      <c r="F1826" s="450"/>
      <c r="G1826" s="450"/>
      <c r="H1826" s="450"/>
      <c r="I1826" s="450"/>
      <c r="J1826" s="450"/>
      <c r="M1826" s="296"/>
      <c r="N1826" s="296"/>
      <c r="O1826" s="296"/>
      <c r="R1826" s="348" t="str">
        <f t="shared" si="96"/>
        <v>DELETE</v>
      </c>
    </row>
    <row r="1827" spans="2:18" ht="36" customHeight="1" x14ac:dyDescent="0.5">
      <c r="B1827" s="316"/>
      <c r="C1827" s="456"/>
      <c r="D1827" s="450"/>
      <c r="E1827" s="450"/>
      <c r="F1827" s="450"/>
      <c r="G1827" s="450"/>
      <c r="H1827" s="450"/>
      <c r="I1827" s="450"/>
      <c r="J1827" s="450"/>
      <c r="M1827" s="296"/>
      <c r="N1827" s="296"/>
      <c r="O1827" s="296"/>
      <c r="R1827" s="348" t="str">
        <f t="shared" si="96"/>
        <v>DELETE</v>
      </c>
    </row>
    <row r="1828" spans="2:18" ht="36" customHeight="1" x14ac:dyDescent="0.5">
      <c r="B1828" s="316"/>
      <c r="C1828" s="456"/>
      <c r="D1828" s="450"/>
      <c r="E1828" s="450"/>
      <c r="F1828" s="450"/>
      <c r="G1828" s="450"/>
      <c r="H1828" s="450"/>
      <c r="I1828" s="450"/>
      <c r="J1828" s="450"/>
      <c r="M1828" s="310"/>
      <c r="N1828" s="310"/>
      <c r="O1828" s="310"/>
      <c r="P1828" s="356"/>
      <c r="R1828" s="348" t="str">
        <f t="shared" si="96"/>
        <v>DELETE</v>
      </c>
    </row>
    <row r="1829" spans="2:18" ht="36" customHeight="1" x14ac:dyDescent="0.5">
      <c r="B1829" s="316"/>
      <c r="C1829" s="456"/>
      <c r="D1829" s="450"/>
      <c r="E1829" s="450"/>
      <c r="F1829" s="450"/>
      <c r="G1829" s="450"/>
      <c r="H1829" s="450"/>
      <c r="I1829" s="450"/>
      <c r="J1829" s="450"/>
      <c r="M1829" s="296"/>
      <c r="N1829" s="296"/>
      <c r="O1829" s="296"/>
      <c r="R1829" s="348" t="str">
        <f t="shared" si="96"/>
        <v>DELETE</v>
      </c>
    </row>
    <row r="1830" spans="2:18" ht="36" customHeight="1" x14ac:dyDescent="0.5">
      <c r="B1830" s="316"/>
      <c r="C1830" s="456"/>
      <c r="D1830" s="450"/>
      <c r="E1830" s="450"/>
      <c r="F1830" s="450"/>
      <c r="G1830" s="450"/>
      <c r="H1830" s="450"/>
      <c r="I1830" s="450"/>
      <c r="J1830" s="450"/>
      <c r="M1830" s="296"/>
      <c r="N1830" s="296"/>
      <c r="O1830" s="296" t="s">
        <v>89</v>
      </c>
      <c r="Q1830" s="292">
        <f>MAX($Q$105:Q1829)+1</f>
        <v>48</v>
      </c>
    </row>
    <row r="1831" spans="2:18" ht="36" customHeight="1" x14ac:dyDescent="0.5">
      <c r="B1831" s="354"/>
      <c r="C1831" s="450"/>
      <c r="D1831" s="456" t="str">
        <f>Criteria!E9</f>
        <v>HOLDING COMPANY 268 (PROPRIETARY) LIMITED</v>
      </c>
      <c r="E1831" s="450"/>
      <c r="F1831" s="450"/>
      <c r="G1831" s="450"/>
      <c r="H1831" s="450"/>
      <c r="I1831" s="450"/>
      <c r="J1831" s="450"/>
      <c r="M1831" s="351"/>
      <c r="N1831" s="351"/>
      <c r="O1831" s="347"/>
    </row>
    <row r="1832" spans="2:18" ht="36" customHeight="1" x14ac:dyDescent="0.5">
      <c r="B1832" s="354"/>
      <c r="C1832" s="450"/>
      <c r="D1832" s="456" t="str">
        <f>Criteria!E10</f>
        <v>CONSOLIDATED FINANCIAL STATEMENTS</v>
      </c>
      <c r="E1832" s="450"/>
      <c r="F1832" s="450"/>
      <c r="G1832" s="450"/>
      <c r="H1832" s="450"/>
      <c r="I1832" s="450"/>
      <c r="J1832" s="450"/>
      <c r="M1832" s="351"/>
      <c r="N1832" s="351"/>
      <c r="O1832" s="351"/>
      <c r="R1832" s="348" t="str">
        <f>IF(D1832=0,"DELETE"," ")</f>
        <v xml:space="preserve"> </v>
      </c>
    </row>
    <row r="1833" spans="2:18" ht="36" customHeight="1" x14ac:dyDescent="0.5">
      <c r="B1833" s="354"/>
      <c r="C1833" s="450"/>
      <c r="D1833" s="450"/>
      <c r="E1833" s="450"/>
      <c r="F1833" s="450"/>
      <c r="G1833" s="450"/>
      <c r="H1833" s="450"/>
      <c r="I1833" s="450"/>
      <c r="J1833" s="450"/>
      <c r="M1833" s="351"/>
      <c r="N1833" s="351"/>
      <c r="O1833" s="351"/>
    </row>
    <row r="1834" spans="2:18" ht="36" customHeight="1" x14ac:dyDescent="0.5">
      <c r="B1834" s="354"/>
      <c r="C1834" s="450"/>
      <c r="D1834" s="456" t="s">
        <v>351</v>
      </c>
      <c r="E1834" s="450"/>
      <c r="F1834" s="450"/>
      <c r="G1834" s="450"/>
      <c r="H1834" s="450"/>
      <c r="I1834" s="450"/>
      <c r="J1834" s="450"/>
      <c r="M1834" s="351"/>
      <c r="N1834" s="351"/>
      <c r="O1834" s="351"/>
    </row>
    <row r="1835" spans="2:18" ht="36" customHeight="1" x14ac:dyDescent="0.5">
      <c r="B1835" s="354"/>
      <c r="C1835" s="450"/>
      <c r="D1835" s="456" t="str">
        <f>Criteria!E20</f>
        <v>28 FEBRUARY 2025</v>
      </c>
      <c r="E1835" s="450"/>
      <c r="F1835" s="450"/>
      <c r="G1835" s="450"/>
      <c r="H1835" s="450"/>
      <c r="I1835" s="450"/>
      <c r="J1835" s="450" t="s">
        <v>231</v>
      </c>
      <c r="M1835" s="351"/>
      <c r="N1835" s="351"/>
      <c r="O1835" s="351"/>
    </row>
    <row r="1836" spans="2:18" ht="36" customHeight="1" x14ac:dyDescent="0.5">
      <c r="B1836" s="354"/>
      <c r="C1836" s="450"/>
      <c r="D1836" s="456"/>
      <c r="E1836" s="450"/>
      <c r="F1836" s="450"/>
      <c r="G1836" s="450"/>
      <c r="H1836" s="450"/>
      <c r="I1836" s="450"/>
      <c r="J1836" s="450"/>
      <c r="M1836" s="351"/>
      <c r="N1836" s="351"/>
      <c r="O1836" s="351"/>
    </row>
    <row r="1837" spans="2:18" ht="36" customHeight="1" x14ac:dyDescent="0.5">
      <c r="B1837" s="447"/>
      <c r="C1837" s="465"/>
      <c r="D1837" s="460"/>
      <c r="E1837" s="460"/>
      <c r="F1837" s="460"/>
      <c r="G1837" s="460"/>
      <c r="H1837" s="460"/>
      <c r="I1837" s="460"/>
      <c r="J1837" s="460"/>
      <c r="K1837" s="364"/>
      <c r="L1837" s="364"/>
      <c r="M1837" s="297"/>
      <c r="N1837" s="297"/>
      <c r="O1837" s="297"/>
      <c r="P1837" s="367"/>
      <c r="Q1837" s="364"/>
    </row>
    <row r="1838" spans="2:18" ht="36" customHeight="1" x14ac:dyDescent="0.5">
      <c r="B1838" s="316"/>
      <c r="C1838" s="456"/>
      <c r="D1838" s="450"/>
      <c r="E1838" s="450"/>
      <c r="F1838" s="450"/>
      <c r="G1838" s="450"/>
      <c r="H1838" s="450"/>
      <c r="I1838" s="450"/>
      <c r="J1838" s="450"/>
      <c r="M1838" s="294">
        <f>Criteria!E22</f>
        <v>2025</v>
      </c>
      <c r="N1838" s="294"/>
      <c r="O1838" s="294">
        <f>Criteria!E27</f>
        <v>2024</v>
      </c>
    </row>
    <row r="1839" spans="2:18" ht="36" customHeight="1" x14ac:dyDescent="0.5">
      <c r="B1839" s="316"/>
      <c r="C1839" s="456"/>
      <c r="D1839" s="450"/>
      <c r="E1839" s="450"/>
      <c r="F1839" s="450"/>
      <c r="G1839" s="450"/>
      <c r="H1839" s="450"/>
      <c r="I1839" s="450"/>
      <c r="J1839" s="450"/>
      <c r="M1839" s="296"/>
      <c r="N1839" s="296"/>
      <c r="O1839" s="296"/>
    </row>
    <row r="1840" spans="2:18" ht="36" customHeight="1" x14ac:dyDescent="0.5">
      <c r="B1840" s="316">
        <f>MAX(B$602:B1839)+1</f>
        <v>19</v>
      </c>
      <c r="C1840" s="456" t="s">
        <v>515</v>
      </c>
      <c r="D1840" s="450"/>
      <c r="E1840" s="450"/>
      <c r="F1840" s="450"/>
      <c r="G1840" s="450"/>
      <c r="H1840" s="450"/>
      <c r="I1840" s="450"/>
      <c r="J1840" s="450"/>
      <c r="M1840" s="296"/>
      <c r="N1840" s="296"/>
      <c r="O1840" s="296"/>
    </row>
    <row r="1841" spans="2:18" ht="36" customHeight="1" x14ac:dyDescent="0.5">
      <c r="B1841" s="316"/>
      <c r="C1841" s="456"/>
      <c r="D1841" s="450"/>
      <c r="E1841" s="450"/>
      <c r="F1841" s="450"/>
      <c r="G1841" s="450"/>
      <c r="H1841" s="450"/>
      <c r="I1841" s="450"/>
      <c r="J1841" s="450"/>
      <c r="M1841" s="296"/>
      <c r="N1841" s="296"/>
      <c r="O1841" s="296"/>
    </row>
    <row r="1842" spans="2:18" ht="36" customHeight="1" x14ac:dyDescent="0.5">
      <c r="B1842" s="316"/>
      <c r="C1842" s="450" t="s">
        <v>880</v>
      </c>
      <c r="D1842" s="459"/>
      <c r="E1842" s="450"/>
      <c r="F1842" s="450"/>
      <c r="G1842" s="450"/>
      <c r="H1842" s="450"/>
      <c r="I1842" s="450"/>
      <c r="J1842" s="450"/>
      <c r="K1842" s="292"/>
      <c r="M1842" s="292"/>
      <c r="N1842" s="345"/>
      <c r="O1842" s="292"/>
    </row>
    <row r="1843" spans="2:18" ht="36" customHeight="1" x14ac:dyDescent="0.5">
      <c r="B1843" s="316"/>
      <c r="C1843" s="450" t="str">
        <f>Criteria!G111</f>
        <v>1000 Ordinary shares of R1 each</v>
      </c>
      <c r="D1843" s="459"/>
      <c r="E1843" s="450"/>
      <c r="F1843" s="450"/>
      <c r="G1843" s="450"/>
      <c r="H1843" s="464"/>
      <c r="I1843" s="450"/>
      <c r="J1843" s="464"/>
      <c r="K1843" s="311"/>
      <c r="M1843" s="300">
        <f>Criteria!E111*Criteria!E112</f>
        <v>1000</v>
      </c>
      <c r="N1843" s="300"/>
      <c r="O1843" s="300">
        <f>Criteria!F111*Criteria!F112</f>
        <v>1000</v>
      </c>
    </row>
    <row r="1844" spans="2:18" ht="9" customHeight="1" thickBot="1" x14ac:dyDescent="0.55000000000000004">
      <c r="B1844" s="316"/>
      <c r="C1844" s="450"/>
      <c r="D1844" s="459"/>
      <c r="E1844" s="450"/>
      <c r="F1844" s="450"/>
      <c r="G1844" s="450"/>
      <c r="H1844" s="467"/>
      <c r="I1844" s="450"/>
      <c r="J1844" s="467"/>
      <c r="K1844" s="380"/>
      <c r="M1844" s="308"/>
      <c r="N1844" s="308"/>
      <c r="O1844" s="308"/>
    </row>
    <row r="1845" spans="2:18" ht="36" customHeight="1" thickTop="1" x14ac:dyDescent="0.5">
      <c r="B1845" s="316"/>
      <c r="C1845" s="450"/>
      <c r="D1845" s="459"/>
      <c r="E1845" s="450"/>
      <c r="F1845" s="450"/>
      <c r="G1845" s="450"/>
      <c r="H1845" s="450"/>
      <c r="I1845" s="450"/>
      <c r="J1845" s="450"/>
      <c r="M1845" s="296"/>
      <c r="N1845" s="296"/>
      <c r="O1845" s="296"/>
    </row>
    <row r="1846" spans="2:18" ht="36" customHeight="1" x14ac:dyDescent="0.5">
      <c r="B1846" s="316"/>
      <c r="C1846" s="450" t="s">
        <v>709</v>
      </c>
      <c r="D1846" s="459"/>
      <c r="E1846" s="450"/>
      <c r="F1846" s="450"/>
      <c r="G1846" s="450"/>
      <c r="H1846" s="450"/>
      <c r="I1846" s="450"/>
      <c r="J1846" s="450"/>
      <c r="M1846" s="350"/>
      <c r="N1846" s="350"/>
      <c r="O1846" s="350"/>
    </row>
    <row r="1847" spans="2:18" ht="36" customHeight="1" x14ac:dyDescent="0.5">
      <c r="B1847" s="316"/>
      <c r="C1847" s="450" t="str">
        <f>Criteria!G114</f>
        <v>100 Ordinary shares of R1 each</v>
      </c>
      <c r="D1847" s="459"/>
      <c r="E1847" s="450"/>
      <c r="F1847" s="450"/>
      <c r="G1847" s="450"/>
      <c r="H1847" s="468"/>
      <c r="I1847" s="450"/>
      <c r="J1847" s="467"/>
      <c r="K1847" s="380"/>
      <c r="L1847" s="380"/>
      <c r="M1847" s="380">
        <f>-TrialBalance!L170-TrialBalance!L171</f>
        <v>0</v>
      </c>
      <c r="N1847" s="383"/>
      <c r="O1847" s="296">
        <f>-TrialBalance!N170-TrialBalance!N171</f>
        <v>0</v>
      </c>
      <c r="P1847" s="351"/>
    </row>
    <row r="1848" spans="2:18" ht="9" customHeight="1" thickBot="1" x14ac:dyDescent="0.55000000000000004">
      <c r="B1848" s="316"/>
      <c r="C1848" s="456"/>
      <c r="D1848" s="450"/>
      <c r="E1848" s="450"/>
      <c r="F1848" s="450"/>
      <c r="G1848" s="450"/>
      <c r="H1848" s="450"/>
      <c r="I1848" s="450"/>
      <c r="J1848" s="467"/>
      <c r="K1848" s="380"/>
      <c r="L1848" s="380"/>
      <c r="M1848" s="308"/>
      <c r="N1848" s="308"/>
      <c r="O1848" s="308"/>
      <c r="P1848" s="351"/>
    </row>
    <row r="1849" spans="2:18" ht="36" customHeight="1" thickTop="1" x14ac:dyDescent="0.5">
      <c r="B1849" s="316"/>
      <c r="C1849" s="456"/>
      <c r="D1849" s="450"/>
      <c r="E1849" s="450"/>
      <c r="F1849" s="450"/>
      <c r="G1849" s="450"/>
      <c r="H1849" s="468"/>
      <c r="I1849" s="450"/>
      <c r="J1849" s="467"/>
      <c r="K1849" s="380"/>
      <c r="L1849" s="380"/>
      <c r="M1849" s="296"/>
      <c r="N1849" s="296"/>
      <c r="O1849" s="296"/>
      <c r="P1849" s="351"/>
    </row>
    <row r="1850" spans="2:18" ht="36" customHeight="1" x14ac:dyDescent="0.5">
      <c r="B1850" s="316"/>
      <c r="C1850" s="456"/>
      <c r="D1850" s="450"/>
      <c r="E1850" s="450"/>
      <c r="F1850" s="450"/>
      <c r="G1850" s="450"/>
      <c r="H1850" s="468"/>
      <c r="I1850" s="450"/>
      <c r="J1850" s="467"/>
      <c r="K1850" s="380"/>
      <c r="L1850" s="380"/>
      <c r="M1850" s="296"/>
      <c r="N1850" s="296"/>
      <c r="O1850" s="296"/>
      <c r="P1850" s="351"/>
    </row>
    <row r="1851" spans="2:18" ht="36" customHeight="1" x14ac:dyDescent="0.5">
      <c r="B1851" s="316"/>
      <c r="C1851" s="456"/>
      <c r="D1851" s="450"/>
      <c r="E1851" s="450"/>
      <c r="F1851" s="450"/>
      <c r="G1851" s="450"/>
      <c r="H1851" s="469"/>
      <c r="I1851" s="450"/>
      <c r="J1851" s="467"/>
      <c r="K1851" s="380"/>
      <c r="L1851" s="380"/>
      <c r="M1851" s="310"/>
      <c r="N1851" s="310"/>
      <c r="O1851" s="310"/>
      <c r="P1851" s="371"/>
    </row>
    <row r="1852" spans="2:18" ht="36" customHeight="1" x14ac:dyDescent="0.5">
      <c r="B1852" s="316"/>
      <c r="C1852" s="456"/>
      <c r="D1852" s="450"/>
      <c r="E1852" s="450"/>
      <c r="F1852" s="450"/>
      <c r="G1852" s="450"/>
      <c r="H1852" s="450"/>
      <c r="I1852" s="450"/>
      <c r="J1852" s="450"/>
      <c r="M1852" s="296"/>
      <c r="N1852" s="296"/>
      <c r="O1852" s="296"/>
    </row>
    <row r="1853" spans="2:18" ht="36" customHeight="1" x14ac:dyDescent="0.5">
      <c r="B1853" s="316"/>
      <c r="C1853" s="456"/>
      <c r="D1853" s="450"/>
      <c r="E1853" s="450"/>
      <c r="F1853" s="450"/>
      <c r="G1853" s="450"/>
      <c r="H1853" s="450"/>
      <c r="I1853" s="450"/>
      <c r="J1853" s="450"/>
      <c r="M1853" s="296"/>
      <c r="N1853" s="296"/>
      <c r="O1853" s="296" t="s">
        <v>89</v>
      </c>
      <c r="Q1853" s="292">
        <f>MAX($Q$105:Q1852)+1</f>
        <v>49</v>
      </c>
      <c r="R1853" s="348" t="str">
        <f>R$1870</f>
        <v>DELETE</v>
      </c>
    </row>
    <row r="1854" spans="2:18" ht="36" customHeight="1" x14ac:dyDescent="0.5">
      <c r="B1854" s="354"/>
      <c r="C1854" s="450"/>
      <c r="D1854" s="456" t="str">
        <f>Criteria!E9</f>
        <v>HOLDING COMPANY 268 (PROPRIETARY) LIMITED</v>
      </c>
      <c r="E1854" s="450"/>
      <c r="F1854" s="450"/>
      <c r="G1854" s="450"/>
      <c r="H1854" s="450"/>
      <c r="I1854" s="450"/>
      <c r="J1854" s="450"/>
      <c r="M1854" s="351"/>
      <c r="N1854" s="351"/>
      <c r="O1854" s="347"/>
      <c r="R1854" s="348" t="str">
        <f t="shared" ref="R1854:R1864" si="97">R$1870</f>
        <v>DELETE</v>
      </c>
    </row>
    <row r="1855" spans="2:18" ht="36" customHeight="1" x14ac:dyDescent="0.5">
      <c r="B1855" s="354"/>
      <c r="C1855" s="450"/>
      <c r="D1855" s="456" t="str">
        <f>Criteria!E10</f>
        <v>CONSOLIDATED FINANCIAL STATEMENTS</v>
      </c>
      <c r="E1855" s="450"/>
      <c r="F1855" s="450"/>
      <c r="G1855" s="450"/>
      <c r="H1855" s="450"/>
      <c r="I1855" s="450"/>
      <c r="J1855" s="450"/>
      <c r="M1855" s="351"/>
      <c r="N1855" s="351"/>
      <c r="O1855" s="351"/>
      <c r="R1855" s="348" t="str">
        <f>IF(R$1870="DELETE","DELETE",IF(D1855=0,"DELETE"," "))</f>
        <v>DELETE</v>
      </c>
    </row>
    <row r="1856" spans="2:18" ht="36" customHeight="1" x14ac:dyDescent="0.5">
      <c r="B1856" s="354"/>
      <c r="C1856" s="450"/>
      <c r="D1856" s="450"/>
      <c r="E1856" s="450"/>
      <c r="F1856" s="450"/>
      <c r="G1856" s="450"/>
      <c r="H1856" s="450"/>
      <c r="I1856" s="450"/>
      <c r="J1856" s="450"/>
      <c r="M1856" s="351"/>
      <c r="N1856" s="351"/>
      <c r="O1856" s="351"/>
      <c r="R1856" s="348" t="str">
        <f t="shared" si="97"/>
        <v>DELETE</v>
      </c>
    </row>
    <row r="1857" spans="2:18" ht="36" customHeight="1" x14ac:dyDescent="0.5">
      <c r="B1857" s="354"/>
      <c r="C1857" s="450"/>
      <c r="D1857" s="456" t="s">
        <v>351</v>
      </c>
      <c r="E1857" s="450"/>
      <c r="F1857" s="450"/>
      <c r="G1857" s="450"/>
      <c r="H1857" s="450"/>
      <c r="I1857" s="450"/>
      <c r="J1857" s="450"/>
      <c r="M1857" s="351"/>
      <c r="N1857" s="351"/>
      <c r="O1857" s="351"/>
      <c r="R1857" s="348" t="str">
        <f t="shared" si="97"/>
        <v>DELETE</v>
      </c>
    </row>
    <row r="1858" spans="2:18" ht="36" customHeight="1" x14ac:dyDescent="0.5">
      <c r="B1858" s="354"/>
      <c r="C1858" s="450"/>
      <c r="D1858" s="456" t="str">
        <f>Criteria!E20</f>
        <v>28 FEBRUARY 2025</v>
      </c>
      <c r="E1858" s="450"/>
      <c r="F1858" s="450"/>
      <c r="G1858" s="450"/>
      <c r="H1858" s="450"/>
      <c r="I1858" s="450"/>
      <c r="J1858" s="450" t="s">
        <v>231</v>
      </c>
      <c r="M1858" s="351"/>
      <c r="N1858" s="351"/>
      <c r="O1858" s="351"/>
      <c r="R1858" s="348" t="str">
        <f t="shared" si="97"/>
        <v>DELETE</v>
      </c>
    </row>
    <row r="1859" spans="2:18" ht="36" customHeight="1" x14ac:dyDescent="0.5">
      <c r="B1859" s="354"/>
      <c r="C1859" s="450"/>
      <c r="D1859" s="456"/>
      <c r="E1859" s="450"/>
      <c r="F1859" s="450"/>
      <c r="G1859" s="450"/>
      <c r="H1859" s="450"/>
      <c r="I1859" s="450"/>
      <c r="J1859" s="450"/>
      <c r="M1859" s="351"/>
      <c r="N1859" s="351"/>
      <c r="O1859" s="351"/>
      <c r="R1859" s="348" t="str">
        <f t="shared" si="97"/>
        <v>DELETE</v>
      </c>
    </row>
    <row r="1860" spans="2:18" ht="36" customHeight="1" x14ac:dyDescent="0.5">
      <c r="B1860" s="447"/>
      <c r="C1860" s="465"/>
      <c r="D1860" s="460"/>
      <c r="E1860" s="460"/>
      <c r="F1860" s="460"/>
      <c r="G1860" s="460"/>
      <c r="H1860" s="470"/>
      <c r="I1860" s="460"/>
      <c r="J1860" s="471"/>
      <c r="K1860" s="384"/>
      <c r="L1860" s="384"/>
      <c r="M1860" s="297"/>
      <c r="N1860" s="297"/>
      <c r="O1860" s="297"/>
      <c r="P1860" s="378"/>
      <c r="Q1860" s="364"/>
      <c r="R1860" s="348" t="str">
        <f t="shared" si="97"/>
        <v>DELETE</v>
      </c>
    </row>
    <row r="1861" spans="2:18" ht="36" customHeight="1" x14ac:dyDescent="0.5">
      <c r="B1861" s="316"/>
      <c r="C1861" s="456"/>
      <c r="D1861" s="450"/>
      <c r="E1861" s="450"/>
      <c r="F1861" s="450"/>
      <c r="G1861" s="450"/>
      <c r="H1861" s="468"/>
      <c r="I1861" s="450"/>
      <c r="J1861" s="467"/>
      <c r="K1861" s="380"/>
      <c r="L1861" s="380"/>
      <c r="M1861" s="294">
        <f>Criteria!E22</f>
        <v>2025</v>
      </c>
      <c r="N1861" s="294"/>
      <c r="O1861" s="294">
        <f>Criteria!E27</f>
        <v>2024</v>
      </c>
      <c r="P1861" s="351"/>
      <c r="R1861" s="348" t="str">
        <f t="shared" si="97"/>
        <v>DELETE</v>
      </c>
    </row>
    <row r="1862" spans="2:18" ht="36" customHeight="1" x14ac:dyDescent="0.5">
      <c r="B1862" s="316"/>
      <c r="C1862" s="456"/>
      <c r="D1862" s="450"/>
      <c r="E1862" s="450"/>
      <c r="F1862" s="450"/>
      <c r="G1862" s="450"/>
      <c r="H1862" s="468"/>
      <c r="I1862" s="450"/>
      <c r="J1862" s="467"/>
      <c r="K1862" s="380"/>
      <c r="L1862" s="380"/>
      <c r="M1862" s="296"/>
      <c r="N1862" s="296"/>
      <c r="O1862" s="296"/>
      <c r="P1862" s="351"/>
      <c r="R1862" s="348" t="str">
        <f t="shared" si="97"/>
        <v>DELETE</v>
      </c>
    </row>
    <row r="1863" spans="2:18" ht="36" customHeight="1" x14ac:dyDescent="0.5">
      <c r="B1863" s="316">
        <f>MAX(B$602:B1862)+1</f>
        <v>20</v>
      </c>
      <c r="C1863" s="456" t="s">
        <v>516</v>
      </c>
      <c r="D1863" s="450"/>
      <c r="E1863" s="450"/>
      <c r="F1863" s="450"/>
      <c r="G1863" s="450"/>
      <c r="H1863" s="468"/>
      <c r="I1863" s="450"/>
      <c r="J1863" s="467"/>
      <c r="K1863" s="380"/>
      <c r="L1863" s="380"/>
      <c r="M1863" s="296"/>
      <c r="N1863" s="296"/>
      <c r="O1863" s="296"/>
      <c r="P1863" s="351"/>
      <c r="R1863" s="348" t="str">
        <f t="shared" si="97"/>
        <v>DELETE</v>
      </c>
    </row>
    <row r="1864" spans="2:18" ht="36" customHeight="1" x14ac:dyDescent="0.5">
      <c r="B1864" s="316"/>
      <c r="C1864" s="456"/>
      <c r="D1864" s="450"/>
      <c r="E1864" s="450"/>
      <c r="F1864" s="450"/>
      <c r="G1864" s="450"/>
      <c r="H1864" s="468"/>
      <c r="I1864" s="450"/>
      <c r="J1864" s="467"/>
      <c r="K1864" s="380"/>
      <c r="L1864" s="380"/>
      <c r="M1864" s="296"/>
      <c r="N1864" s="296"/>
      <c r="O1864" s="296"/>
      <c r="P1864" s="351"/>
      <c r="R1864" s="348" t="str">
        <f t="shared" si="97"/>
        <v>DELETE</v>
      </c>
    </row>
    <row r="1865" spans="2:18" ht="36" customHeight="1" x14ac:dyDescent="0.5">
      <c r="B1865" s="316"/>
      <c r="C1865" s="450" t="s">
        <v>105</v>
      </c>
      <c r="D1865" s="459"/>
      <c r="E1865" s="450"/>
      <c r="F1865" s="450"/>
      <c r="G1865" s="450"/>
      <c r="H1865" s="468"/>
      <c r="I1865" s="450"/>
      <c r="J1865" s="467"/>
      <c r="K1865" s="380"/>
      <c r="L1865" s="380"/>
      <c r="M1865" s="296">
        <f>-TrialBalance!L173</f>
        <v>0</v>
      </c>
      <c r="N1865" s="296"/>
      <c r="O1865" s="296">
        <f>-TrialBalance!N173</f>
        <v>0</v>
      </c>
      <c r="P1865" s="351"/>
      <c r="R1865" s="348" t="str">
        <f>R1870</f>
        <v>DELETE</v>
      </c>
    </row>
    <row r="1866" spans="2:18" ht="36" customHeight="1" x14ac:dyDescent="0.5">
      <c r="B1866" s="316"/>
      <c r="C1866" s="450" t="s">
        <v>467</v>
      </c>
      <c r="D1866" s="459"/>
      <c r="E1866" s="450"/>
      <c r="F1866" s="450"/>
      <c r="G1866" s="450"/>
      <c r="H1866" s="468"/>
      <c r="I1866" s="450"/>
      <c r="J1866" s="467"/>
      <c r="K1866" s="380"/>
      <c r="L1866" s="380"/>
      <c r="M1866" s="296">
        <f>-TrialBalance!L174</f>
        <v>0</v>
      </c>
      <c r="N1866" s="296"/>
      <c r="O1866" s="296">
        <f>-TrialBalance!N174</f>
        <v>0</v>
      </c>
      <c r="P1866" s="351"/>
      <c r="R1866" s="348" t="str">
        <f t="shared" ref="R1866:R1867" si="98">IF(M1866+O1866=0,"DELETE"," ")</f>
        <v>DELETE</v>
      </c>
    </row>
    <row r="1867" spans="2:18" ht="36" customHeight="1" x14ac:dyDescent="0.5">
      <c r="B1867" s="316"/>
      <c r="C1867" s="450" t="s">
        <v>468</v>
      </c>
      <c r="D1867" s="459"/>
      <c r="E1867" s="450"/>
      <c r="F1867" s="450"/>
      <c r="G1867" s="450"/>
      <c r="H1867" s="468"/>
      <c r="I1867" s="450"/>
      <c r="J1867" s="467"/>
      <c r="K1867" s="380"/>
      <c r="L1867" s="380"/>
      <c r="M1867" s="296">
        <f>-TrialBalance!L175</f>
        <v>0</v>
      </c>
      <c r="N1867" s="296"/>
      <c r="O1867" s="296">
        <f>-TrialBalance!N175</f>
        <v>0</v>
      </c>
      <c r="P1867" s="351"/>
      <c r="R1867" s="348" t="str">
        <f t="shared" si="98"/>
        <v>DELETE</v>
      </c>
    </row>
    <row r="1868" spans="2:18" ht="9" customHeight="1" x14ac:dyDescent="0.5">
      <c r="B1868" s="316"/>
      <c r="C1868" s="456"/>
      <c r="D1868" s="450"/>
      <c r="E1868" s="450"/>
      <c r="F1868" s="450"/>
      <c r="G1868" s="450"/>
      <c r="H1868" s="468"/>
      <c r="I1868" s="450"/>
      <c r="J1868" s="467"/>
      <c r="K1868" s="380"/>
      <c r="L1868" s="380"/>
      <c r="M1868" s="298"/>
      <c r="N1868" s="298"/>
      <c r="O1868" s="298"/>
      <c r="P1868" s="351"/>
      <c r="R1868" s="348" t="str">
        <f t="shared" ref="R1868:R1876" si="99">R$1870</f>
        <v>DELETE</v>
      </c>
    </row>
    <row r="1869" spans="2:18" ht="9" customHeight="1" x14ac:dyDescent="0.5">
      <c r="B1869" s="316"/>
      <c r="C1869" s="456"/>
      <c r="D1869" s="450"/>
      <c r="E1869" s="450"/>
      <c r="F1869" s="450"/>
      <c r="G1869" s="450"/>
      <c r="H1869" s="468"/>
      <c r="I1869" s="450"/>
      <c r="J1869" s="467"/>
      <c r="K1869" s="380"/>
      <c r="L1869" s="380"/>
      <c r="M1869" s="296"/>
      <c r="N1869" s="296"/>
      <c r="O1869" s="296"/>
      <c r="P1869" s="351"/>
      <c r="R1869" s="348" t="str">
        <f t="shared" si="99"/>
        <v>DELETE</v>
      </c>
    </row>
    <row r="1870" spans="2:18" ht="36.75" customHeight="1" x14ac:dyDescent="0.5">
      <c r="B1870" s="316"/>
      <c r="C1870" s="456"/>
      <c r="D1870" s="450"/>
      <c r="E1870" s="450"/>
      <c r="F1870" s="450"/>
      <c r="G1870" s="450"/>
      <c r="H1870" s="468"/>
      <c r="I1870" s="450"/>
      <c r="J1870" s="467"/>
      <c r="K1870" s="380"/>
      <c r="L1870" s="380"/>
      <c r="M1870" s="296">
        <f>SUM(M1865:M1869)</f>
        <v>0</v>
      </c>
      <c r="N1870" s="296"/>
      <c r="O1870" s="296">
        <f>SUM(O1865:O1869)</f>
        <v>0</v>
      </c>
      <c r="P1870" s="351"/>
      <c r="R1870" s="348" t="str">
        <f>IF(COUNTIF(O1865:O1867,"&gt;0")&gt;0," ",IF(COUNTIF(M1865:M1867,"&gt;0")&gt;0," ","DELETE"))</f>
        <v>DELETE</v>
      </c>
    </row>
    <row r="1871" spans="2:18" ht="9" customHeight="1" thickBot="1" x14ac:dyDescent="0.55000000000000004">
      <c r="B1871" s="316"/>
      <c r="C1871" s="456"/>
      <c r="D1871" s="450"/>
      <c r="E1871" s="450"/>
      <c r="F1871" s="450"/>
      <c r="G1871" s="450"/>
      <c r="H1871" s="468"/>
      <c r="I1871" s="450"/>
      <c r="J1871" s="467"/>
      <c r="K1871" s="380"/>
      <c r="L1871" s="380"/>
      <c r="M1871" s="299"/>
      <c r="N1871" s="299"/>
      <c r="O1871" s="299"/>
      <c r="P1871" s="351"/>
      <c r="R1871" s="348" t="str">
        <f t="shared" si="99"/>
        <v>DELETE</v>
      </c>
    </row>
    <row r="1872" spans="2:18" ht="9" customHeight="1" thickTop="1" x14ac:dyDescent="0.5">
      <c r="B1872" s="316"/>
      <c r="C1872" s="456"/>
      <c r="D1872" s="450"/>
      <c r="E1872" s="450"/>
      <c r="F1872" s="450"/>
      <c r="G1872" s="450"/>
      <c r="H1872" s="468"/>
      <c r="I1872" s="450"/>
      <c r="J1872" s="467"/>
      <c r="K1872" s="380"/>
      <c r="L1872" s="380"/>
      <c r="M1872" s="310"/>
      <c r="N1872" s="310"/>
      <c r="O1872" s="310"/>
      <c r="P1872" s="351"/>
      <c r="R1872" s="348" t="str">
        <f t="shared" si="99"/>
        <v>DELETE</v>
      </c>
    </row>
    <row r="1873" spans="2:18" ht="36" customHeight="1" x14ac:dyDescent="0.5">
      <c r="B1873" s="316"/>
      <c r="C1873" s="456"/>
      <c r="D1873" s="450"/>
      <c r="E1873" s="450"/>
      <c r="F1873" s="450"/>
      <c r="G1873" s="450"/>
      <c r="H1873" s="450"/>
      <c r="I1873" s="450"/>
      <c r="J1873" s="467"/>
      <c r="K1873" s="380"/>
      <c r="L1873" s="380"/>
      <c r="M1873" s="296"/>
      <c r="N1873" s="296"/>
      <c r="O1873" s="296"/>
      <c r="P1873" s="351"/>
      <c r="R1873" s="348" t="str">
        <f t="shared" si="99"/>
        <v>DELETE</v>
      </c>
    </row>
    <row r="1874" spans="2:18" ht="36" customHeight="1" x14ac:dyDescent="0.5">
      <c r="B1874" s="316"/>
      <c r="C1874" s="456"/>
      <c r="D1874" s="450"/>
      <c r="E1874" s="450"/>
      <c r="F1874" s="450"/>
      <c r="G1874" s="450"/>
      <c r="H1874" s="450"/>
      <c r="I1874" s="450"/>
      <c r="J1874" s="467"/>
      <c r="K1874" s="380"/>
      <c r="L1874" s="380"/>
      <c r="M1874" s="296"/>
      <c r="N1874" s="296"/>
      <c r="O1874" s="296"/>
      <c r="P1874" s="351"/>
      <c r="R1874" s="348" t="str">
        <f t="shared" si="99"/>
        <v>DELETE</v>
      </c>
    </row>
    <row r="1875" spans="2:18" ht="36" customHeight="1" x14ac:dyDescent="0.5">
      <c r="B1875" s="316"/>
      <c r="C1875" s="456"/>
      <c r="D1875" s="450"/>
      <c r="E1875" s="450"/>
      <c r="F1875" s="450"/>
      <c r="G1875" s="450"/>
      <c r="H1875" s="450"/>
      <c r="I1875" s="450"/>
      <c r="J1875" s="467"/>
      <c r="K1875" s="380"/>
      <c r="L1875" s="380"/>
      <c r="M1875" s="310"/>
      <c r="N1875" s="310"/>
      <c r="O1875" s="310"/>
      <c r="P1875" s="371"/>
      <c r="R1875" s="348" t="str">
        <f t="shared" si="99"/>
        <v>DELETE</v>
      </c>
    </row>
    <row r="1876" spans="2:18" ht="36" customHeight="1" x14ac:dyDescent="0.5">
      <c r="B1876" s="316"/>
      <c r="C1876" s="456"/>
      <c r="D1876" s="450"/>
      <c r="E1876" s="450"/>
      <c r="F1876" s="450"/>
      <c r="G1876" s="450"/>
      <c r="H1876" s="450"/>
      <c r="I1876" s="450"/>
      <c r="J1876" s="450"/>
      <c r="M1876" s="296"/>
      <c r="N1876" s="296"/>
      <c r="O1876" s="296"/>
      <c r="R1876" s="348" t="str">
        <f t="shared" si="99"/>
        <v>DELETE</v>
      </c>
    </row>
    <row r="1877" spans="2:18" ht="36" customHeight="1" x14ac:dyDescent="0.5">
      <c r="B1877" s="316"/>
      <c r="C1877" s="456"/>
      <c r="D1877" s="450"/>
      <c r="E1877" s="450"/>
      <c r="F1877" s="450"/>
      <c r="G1877" s="450"/>
      <c r="H1877" s="450"/>
      <c r="I1877" s="450"/>
      <c r="J1877" s="450"/>
      <c r="M1877" s="296"/>
      <c r="N1877" s="296"/>
      <c r="O1877" s="296" t="s">
        <v>89</v>
      </c>
      <c r="Q1877" s="292">
        <f>MAX($Q$105:Q1876)+1</f>
        <v>50</v>
      </c>
      <c r="R1877" s="348" t="str">
        <f>R$1906</f>
        <v>DELETE</v>
      </c>
    </row>
    <row r="1878" spans="2:18" ht="36" customHeight="1" x14ac:dyDescent="0.5">
      <c r="B1878" s="354"/>
      <c r="C1878" s="450"/>
      <c r="D1878" s="456" t="str">
        <f>Criteria!E9</f>
        <v>HOLDING COMPANY 268 (PROPRIETARY) LIMITED</v>
      </c>
      <c r="E1878" s="450"/>
      <c r="F1878" s="450"/>
      <c r="G1878" s="450"/>
      <c r="H1878" s="450"/>
      <c r="I1878" s="450"/>
      <c r="J1878" s="450"/>
      <c r="M1878" s="351"/>
      <c r="N1878" s="351"/>
      <c r="O1878" s="347"/>
      <c r="R1878" s="348" t="str">
        <f t="shared" ref="R1878:R1888" si="100">R$1906</f>
        <v>DELETE</v>
      </c>
    </row>
    <row r="1879" spans="2:18" ht="36" customHeight="1" x14ac:dyDescent="0.5">
      <c r="B1879" s="354"/>
      <c r="C1879" s="450"/>
      <c r="D1879" s="456" t="str">
        <f>Criteria!E10</f>
        <v>CONSOLIDATED FINANCIAL STATEMENTS</v>
      </c>
      <c r="E1879" s="450"/>
      <c r="F1879" s="450"/>
      <c r="G1879" s="450"/>
      <c r="H1879" s="450"/>
      <c r="I1879" s="450"/>
      <c r="J1879" s="450"/>
      <c r="M1879" s="351"/>
      <c r="N1879" s="351"/>
      <c r="O1879" s="351"/>
      <c r="R1879" s="348" t="str">
        <f>IF(R$1906="DELETE","DELETE",IF(D1879=0,"DELETE"," "))</f>
        <v>DELETE</v>
      </c>
    </row>
    <row r="1880" spans="2:18" ht="36" customHeight="1" x14ac:dyDescent="0.5">
      <c r="B1880" s="354"/>
      <c r="C1880" s="450"/>
      <c r="D1880" s="450"/>
      <c r="E1880" s="450"/>
      <c r="F1880" s="450"/>
      <c r="G1880" s="450"/>
      <c r="H1880" s="450"/>
      <c r="I1880" s="450"/>
      <c r="J1880" s="450"/>
      <c r="M1880" s="351"/>
      <c r="N1880" s="351"/>
      <c r="O1880" s="351"/>
      <c r="R1880" s="348" t="str">
        <f t="shared" si="100"/>
        <v>DELETE</v>
      </c>
    </row>
    <row r="1881" spans="2:18" ht="36" customHeight="1" x14ac:dyDescent="0.5">
      <c r="B1881" s="354"/>
      <c r="C1881" s="450"/>
      <c r="D1881" s="456" t="s">
        <v>351</v>
      </c>
      <c r="E1881" s="450"/>
      <c r="F1881" s="450"/>
      <c r="G1881" s="450"/>
      <c r="H1881" s="450"/>
      <c r="I1881" s="450"/>
      <c r="J1881" s="450"/>
      <c r="M1881" s="351"/>
      <c r="N1881" s="351"/>
      <c r="O1881" s="351"/>
      <c r="R1881" s="348" t="str">
        <f t="shared" si="100"/>
        <v>DELETE</v>
      </c>
    </row>
    <row r="1882" spans="2:18" ht="36" customHeight="1" x14ac:dyDescent="0.5">
      <c r="B1882" s="354"/>
      <c r="C1882" s="450"/>
      <c r="D1882" s="456" t="str">
        <f>Criteria!E20</f>
        <v>28 FEBRUARY 2025</v>
      </c>
      <c r="E1882" s="450"/>
      <c r="F1882" s="450"/>
      <c r="G1882" s="450"/>
      <c r="H1882" s="450"/>
      <c r="I1882" s="450"/>
      <c r="J1882" s="450" t="s">
        <v>231</v>
      </c>
      <c r="M1882" s="351"/>
      <c r="N1882" s="351"/>
      <c r="O1882" s="351"/>
      <c r="R1882" s="348" t="str">
        <f t="shared" si="100"/>
        <v>DELETE</v>
      </c>
    </row>
    <row r="1883" spans="2:18" ht="36" customHeight="1" x14ac:dyDescent="0.5">
      <c r="B1883" s="354"/>
      <c r="C1883" s="450"/>
      <c r="D1883" s="456"/>
      <c r="E1883" s="450"/>
      <c r="F1883" s="450"/>
      <c r="G1883" s="450"/>
      <c r="H1883" s="450"/>
      <c r="I1883" s="450"/>
      <c r="J1883" s="450"/>
      <c r="M1883" s="351"/>
      <c r="N1883" s="351"/>
      <c r="O1883" s="351"/>
      <c r="R1883" s="348" t="str">
        <f t="shared" si="100"/>
        <v>DELETE</v>
      </c>
    </row>
    <row r="1884" spans="2:18" ht="36" customHeight="1" x14ac:dyDescent="0.5">
      <c r="B1884" s="447"/>
      <c r="C1884" s="465"/>
      <c r="D1884" s="460"/>
      <c r="E1884" s="460"/>
      <c r="F1884" s="460"/>
      <c r="G1884" s="460"/>
      <c r="H1884" s="460"/>
      <c r="I1884" s="460"/>
      <c r="J1884" s="471"/>
      <c r="K1884" s="384"/>
      <c r="L1884" s="384"/>
      <c r="M1884" s="297"/>
      <c r="N1884" s="297"/>
      <c r="O1884" s="297"/>
      <c r="P1884" s="378"/>
      <c r="Q1884" s="364"/>
      <c r="R1884" s="348" t="str">
        <f t="shared" si="100"/>
        <v>DELETE</v>
      </c>
    </row>
    <row r="1885" spans="2:18" ht="36" customHeight="1" x14ac:dyDescent="0.5">
      <c r="B1885" s="316"/>
      <c r="C1885" s="456"/>
      <c r="D1885" s="450"/>
      <c r="E1885" s="450"/>
      <c r="F1885" s="450"/>
      <c r="G1885" s="450"/>
      <c r="H1885" s="450"/>
      <c r="I1885" s="450"/>
      <c r="J1885" s="467"/>
      <c r="K1885" s="380"/>
      <c r="L1885" s="380"/>
      <c r="M1885" s="294">
        <f>Criteria!E22</f>
        <v>2025</v>
      </c>
      <c r="N1885" s="294"/>
      <c r="O1885" s="294">
        <f>Criteria!E27</f>
        <v>2024</v>
      </c>
      <c r="P1885" s="351"/>
      <c r="R1885" s="348" t="str">
        <f t="shared" si="100"/>
        <v>DELETE</v>
      </c>
    </row>
    <row r="1886" spans="2:18" ht="36" customHeight="1" x14ac:dyDescent="0.5">
      <c r="B1886" s="316"/>
      <c r="C1886" s="456"/>
      <c r="D1886" s="450"/>
      <c r="E1886" s="450"/>
      <c r="F1886" s="450"/>
      <c r="G1886" s="450"/>
      <c r="H1886" s="450"/>
      <c r="I1886" s="450"/>
      <c r="J1886" s="467"/>
      <c r="K1886" s="380"/>
      <c r="L1886" s="380"/>
      <c r="M1886" s="296"/>
      <c r="N1886" s="296"/>
      <c r="O1886" s="296"/>
      <c r="P1886" s="351"/>
      <c r="R1886" s="348" t="str">
        <f t="shared" si="100"/>
        <v>DELETE</v>
      </c>
    </row>
    <row r="1887" spans="2:18" ht="36" customHeight="1" x14ac:dyDescent="0.5">
      <c r="B1887" s="316">
        <f>MAX(B$602:B1886)+1</f>
        <v>21</v>
      </c>
      <c r="C1887" s="456" t="s">
        <v>13</v>
      </c>
      <c r="D1887" s="450"/>
      <c r="E1887" s="450"/>
      <c r="F1887" s="450"/>
      <c r="G1887" s="450"/>
      <c r="H1887" s="450"/>
      <c r="I1887" s="450"/>
      <c r="J1887" s="450"/>
      <c r="M1887" s="296"/>
      <c r="N1887" s="296"/>
      <c r="O1887" s="296"/>
      <c r="R1887" s="348" t="str">
        <f t="shared" si="100"/>
        <v>DELETE</v>
      </c>
    </row>
    <row r="1888" spans="2:18" ht="36" customHeight="1" x14ac:dyDescent="0.5">
      <c r="B1888" s="316"/>
      <c r="C1888" s="456"/>
      <c r="D1888" s="450"/>
      <c r="E1888" s="450"/>
      <c r="F1888" s="450"/>
      <c r="G1888" s="450"/>
      <c r="H1888" s="450"/>
      <c r="I1888" s="450"/>
      <c r="J1888" s="450"/>
      <c r="M1888" s="296"/>
      <c r="N1888" s="296"/>
      <c r="O1888" s="296"/>
      <c r="R1888" s="348" t="str">
        <f t="shared" si="100"/>
        <v>DELETE</v>
      </c>
    </row>
    <row r="1889" spans="2:24" ht="36" customHeight="1" x14ac:dyDescent="0.5">
      <c r="B1889" s="316"/>
      <c r="C1889" s="450" t="s">
        <v>1066</v>
      </c>
      <c r="D1889" s="459"/>
      <c r="E1889" s="450"/>
      <c r="F1889" s="450"/>
      <c r="G1889" s="450"/>
      <c r="H1889" s="450"/>
      <c r="I1889" s="450"/>
      <c r="J1889" s="450"/>
      <c r="M1889" s="296">
        <f>SUM(M1892:M1894)</f>
        <v>0</v>
      </c>
      <c r="N1889" s="296"/>
      <c r="O1889" s="296">
        <f>SUM(O1892:O1894)</f>
        <v>0</v>
      </c>
      <c r="R1889" s="348" t="str">
        <f>IF(COUNTIF(O1892:O1894,"&gt;0")&gt;0," ",IF(COUNTIF(M1892:M1894,"&gt;0")&gt;0," ","DELETE"))</f>
        <v>DELETE</v>
      </c>
      <c r="S1889" s="333">
        <f>M1889</f>
        <v>0</v>
      </c>
      <c r="T1889" s="333"/>
      <c r="U1889" s="333">
        <f>O1889</f>
        <v>0</v>
      </c>
      <c r="V1889" s="333"/>
      <c r="W1889" s="333"/>
      <c r="X1889" s="333"/>
    </row>
    <row r="1890" spans="2:24" ht="9" customHeight="1" x14ac:dyDescent="0.5">
      <c r="B1890" s="316"/>
      <c r="C1890" s="450"/>
      <c r="D1890" s="459"/>
      <c r="E1890" s="450"/>
      <c r="F1890" s="450"/>
      <c r="G1890" s="450"/>
      <c r="H1890" s="450"/>
      <c r="I1890" s="450"/>
      <c r="J1890" s="450"/>
      <c r="M1890" s="296"/>
      <c r="N1890" s="296"/>
      <c r="O1890" s="296"/>
      <c r="R1890" s="348" t="str">
        <f t="shared" ref="R1890" si="101">R1889</f>
        <v>DELETE</v>
      </c>
    </row>
    <row r="1891" spans="2:24" ht="9" customHeight="1" x14ac:dyDescent="0.5">
      <c r="B1891" s="316"/>
      <c r="C1891" s="450"/>
      <c r="D1891" s="459"/>
      <c r="E1891" s="450"/>
      <c r="F1891" s="450"/>
      <c r="G1891" s="450"/>
      <c r="H1891" s="450"/>
      <c r="I1891" s="450"/>
      <c r="J1891" s="450"/>
      <c r="M1891" s="398"/>
      <c r="N1891" s="297"/>
      <c r="O1891" s="399"/>
      <c r="R1891" s="348" t="str">
        <f>R1889</f>
        <v>DELETE</v>
      </c>
    </row>
    <row r="1892" spans="2:24" ht="36" customHeight="1" x14ac:dyDescent="0.5">
      <c r="B1892" s="316"/>
      <c r="C1892" s="450" t="s">
        <v>105</v>
      </c>
      <c r="D1892" s="459"/>
      <c r="E1892" s="450"/>
      <c r="F1892" s="450"/>
      <c r="G1892" s="450"/>
      <c r="H1892" s="450"/>
      <c r="I1892" s="450"/>
      <c r="J1892" s="450"/>
      <c r="M1892" s="400">
        <f>-TrialBalance!L177</f>
        <v>0</v>
      </c>
      <c r="N1892" s="296"/>
      <c r="O1892" s="401">
        <f>-TrialBalance!N177</f>
        <v>0</v>
      </c>
      <c r="R1892" s="348" t="str">
        <f>R1889</f>
        <v>DELETE</v>
      </c>
      <c r="V1892" s="331" t="b">
        <f>M1892=O1889</f>
        <v>1</v>
      </c>
    </row>
    <row r="1893" spans="2:24" ht="36" customHeight="1" x14ac:dyDescent="0.5">
      <c r="B1893" s="316"/>
      <c r="C1893" s="450" t="s">
        <v>956</v>
      </c>
      <c r="D1893" s="459"/>
      <c r="E1893" s="450"/>
      <c r="F1893" s="450"/>
      <c r="G1893" s="450"/>
      <c r="H1893" s="450"/>
      <c r="I1893" s="450"/>
      <c r="J1893" s="450"/>
      <c r="M1893" s="400">
        <f>-TrialBalance!L178</f>
        <v>0</v>
      </c>
      <c r="N1893" s="296"/>
      <c r="O1893" s="401">
        <f>-TrialBalance!N178</f>
        <v>0</v>
      </c>
      <c r="R1893" s="348" t="str">
        <f t="shared" ref="R1893:R1894" si="102">IF(M1893+O1893=0,"DELETE"," ")</f>
        <v>DELETE</v>
      </c>
    </row>
    <row r="1894" spans="2:24" ht="36" customHeight="1" x14ac:dyDescent="0.5">
      <c r="B1894" s="316"/>
      <c r="C1894" s="450" t="s">
        <v>957</v>
      </c>
      <c r="D1894" s="459"/>
      <c r="E1894" s="450"/>
      <c r="F1894" s="450"/>
      <c r="G1894" s="450"/>
      <c r="H1894" s="450"/>
      <c r="I1894" s="450"/>
      <c r="J1894" s="450"/>
      <c r="M1894" s="400">
        <f>-TrialBalance!L179</f>
        <v>0</v>
      </c>
      <c r="N1894" s="296"/>
      <c r="O1894" s="401">
        <f>-TrialBalance!N179</f>
        <v>0</v>
      </c>
      <c r="R1894" s="348" t="str">
        <f t="shared" si="102"/>
        <v>DELETE</v>
      </c>
    </row>
    <row r="1895" spans="2:24" ht="9" customHeight="1" x14ac:dyDescent="0.5">
      <c r="B1895" s="316"/>
      <c r="C1895" s="450"/>
      <c r="D1895" s="459"/>
      <c r="E1895" s="450"/>
      <c r="F1895" s="450"/>
      <c r="G1895" s="450"/>
      <c r="H1895" s="450"/>
      <c r="I1895" s="450"/>
      <c r="J1895" s="450"/>
      <c r="M1895" s="402"/>
      <c r="N1895" s="298"/>
      <c r="O1895" s="403"/>
      <c r="R1895" s="348" t="str">
        <f>R1889</f>
        <v>DELETE</v>
      </c>
    </row>
    <row r="1896" spans="2:24" ht="9" customHeight="1" x14ac:dyDescent="0.5">
      <c r="B1896" s="316"/>
      <c r="C1896" s="450"/>
      <c r="D1896" s="459"/>
      <c r="E1896" s="450"/>
      <c r="F1896" s="450"/>
      <c r="G1896" s="450"/>
      <c r="H1896" s="450"/>
      <c r="I1896" s="450"/>
      <c r="J1896" s="450"/>
      <c r="M1896" s="296"/>
      <c r="N1896" s="296"/>
      <c r="O1896" s="296"/>
      <c r="R1896" s="348" t="str">
        <f>R1889</f>
        <v>DELETE</v>
      </c>
    </row>
    <row r="1897" spans="2:24" ht="36.75" customHeight="1" x14ac:dyDescent="0.5">
      <c r="B1897" s="316"/>
      <c r="C1897" s="450" t="s">
        <v>1067</v>
      </c>
      <c r="D1897" s="459"/>
      <c r="E1897" s="450"/>
      <c r="F1897" s="450"/>
      <c r="G1897" s="450"/>
      <c r="H1897" s="450"/>
      <c r="I1897" s="450"/>
      <c r="J1897" s="450"/>
      <c r="M1897" s="296">
        <f>SUM(M1900:M1902)</f>
        <v>0</v>
      </c>
      <c r="N1897" s="296"/>
      <c r="O1897" s="296">
        <f>SUM(O1900:O1902)</f>
        <v>0</v>
      </c>
      <c r="R1897" s="348" t="str">
        <f>IF(COUNTIF(O1900:O1902,"&gt;0")&gt;0," ",IF(COUNTIF(M1900:M1902,"&gt;0")&gt;0," ","DELETE"))</f>
        <v>DELETE</v>
      </c>
      <c r="S1897" s="333">
        <f>M1897</f>
        <v>0</v>
      </c>
      <c r="T1897" s="333"/>
      <c r="U1897" s="333">
        <f>O1897</f>
        <v>0</v>
      </c>
      <c r="V1897" s="333"/>
      <c r="W1897" s="333"/>
      <c r="X1897" s="333"/>
    </row>
    <row r="1898" spans="2:24" ht="9" customHeight="1" x14ac:dyDescent="0.5">
      <c r="B1898" s="316"/>
      <c r="C1898" s="450"/>
      <c r="D1898" s="459"/>
      <c r="E1898" s="450"/>
      <c r="F1898" s="450"/>
      <c r="G1898" s="450"/>
      <c r="H1898" s="450"/>
      <c r="I1898" s="450"/>
      <c r="J1898" s="450"/>
      <c r="M1898" s="296"/>
      <c r="N1898" s="296"/>
      <c r="O1898" s="296"/>
      <c r="R1898" s="348" t="str">
        <f>R1897</f>
        <v>DELETE</v>
      </c>
    </row>
    <row r="1899" spans="2:24" ht="9" customHeight="1" x14ac:dyDescent="0.5">
      <c r="B1899" s="316"/>
      <c r="C1899" s="450"/>
      <c r="D1899" s="459"/>
      <c r="E1899" s="450"/>
      <c r="F1899" s="450"/>
      <c r="G1899" s="450"/>
      <c r="H1899" s="450"/>
      <c r="I1899" s="450"/>
      <c r="J1899" s="450"/>
      <c r="M1899" s="398"/>
      <c r="N1899" s="297"/>
      <c r="O1899" s="399"/>
      <c r="R1899" s="348" t="str">
        <f>R1897</f>
        <v>DELETE</v>
      </c>
    </row>
    <row r="1900" spans="2:24" ht="36" customHeight="1" x14ac:dyDescent="0.5">
      <c r="B1900" s="316"/>
      <c r="C1900" s="450" t="s">
        <v>105</v>
      </c>
      <c r="D1900" s="459"/>
      <c r="E1900" s="450"/>
      <c r="F1900" s="450"/>
      <c r="G1900" s="450"/>
      <c r="H1900" s="450"/>
      <c r="I1900" s="450"/>
      <c r="J1900" s="450"/>
      <c r="M1900" s="400">
        <f>-TrialBalance!L181</f>
        <v>0</v>
      </c>
      <c r="N1900" s="296"/>
      <c r="O1900" s="401">
        <f>-TrialBalance!N181</f>
        <v>0</v>
      </c>
      <c r="R1900" s="348" t="str">
        <f>R1897</f>
        <v>DELETE</v>
      </c>
      <c r="V1900" s="331" t="b">
        <f>M1900=O1897</f>
        <v>1</v>
      </c>
    </row>
    <row r="1901" spans="2:24" ht="36" customHeight="1" x14ac:dyDescent="0.5">
      <c r="B1901" s="316"/>
      <c r="C1901" s="450" t="s">
        <v>958</v>
      </c>
      <c r="D1901" s="459"/>
      <c r="E1901" s="450"/>
      <c r="F1901" s="450"/>
      <c r="G1901" s="450"/>
      <c r="H1901" s="450"/>
      <c r="I1901" s="450"/>
      <c r="J1901" s="450"/>
      <c r="M1901" s="400">
        <f>-TrialBalance!L182</f>
        <v>0</v>
      </c>
      <c r="N1901" s="296"/>
      <c r="O1901" s="401">
        <f>-TrialBalance!N182</f>
        <v>0</v>
      </c>
      <c r="R1901" s="348" t="str">
        <f t="shared" ref="R1901:R1902" si="103">IF(M1901+O1901=0,"DELETE"," ")</f>
        <v>DELETE</v>
      </c>
    </row>
    <row r="1902" spans="2:24" ht="36" customHeight="1" x14ac:dyDescent="0.5">
      <c r="B1902" s="316"/>
      <c r="C1902" s="450" t="s">
        <v>959</v>
      </c>
      <c r="D1902" s="459"/>
      <c r="E1902" s="450"/>
      <c r="F1902" s="450"/>
      <c r="G1902" s="450"/>
      <c r="H1902" s="450"/>
      <c r="I1902" s="450"/>
      <c r="J1902" s="450"/>
      <c r="M1902" s="400">
        <f>-TrialBalance!L183</f>
        <v>0</v>
      </c>
      <c r="N1902" s="296"/>
      <c r="O1902" s="401">
        <f>-TrialBalance!N183</f>
        <v>0</v>
      </c>
      <c r="R1902" s="348" t="str">
        <f t="shared" si="103"/>
        <v>DELETE</v>
      </c>
    </row>
    <row r="1903" spans="2:24" ht="9" customHeight="1" x14ac:dyDescent="0.5">
      <c r="B1903" s="316"/>
      <c r="C1903" s="456"/>
      <c r="D1903" s="450"/>
      <c r="E1903" s="450"/>
      <c r="F1903" s="450"/>
      <c r="G1903" s="450"/>
      <c r="H1903" s="450"/>
      <c r="I1903" s="450"/>
      <c r="J1903" s="450"/>
      <c r="M1903" s="402"/>
      <c r="N1903" s="298"/>
      <c r="O1903" s="403"/>
      <c r="R1903" s="348" t="str">
        <f>R1897</f>
        <v>DELETE</v>
      </c>
    </row>
    <row r="1904" spans="2:24" ht="9" customHeight="1" x14ac:dyDescent="0.5">
      <c r="B1904" s="316"/>
      <c r="C1904" s="456"/>
      <c r="D1904" s="450"/>
      <c r="E1904" s="450"/>
      <c r="F1904" s="450"/>
      <c r="G1904" s="450"/>
      <c r="H1904" s="450"/>
      <c r="I1904" s="450"/>
      <c r="J1904" s="450"/>
      <c r="M1904" s="298"/>
      <c r="N1904" s="298"/>
      <c r="O1904" s="298"/>
      <c r="R1904" s="348" t="str">
        <f>R1906</f>
        <v>DELETE</v>
      </c>
    </row>
    <row r="1905" spans="2:18" ht="9" customHeight="1" x14ac:dyDescent="0.5">
      <c r="B1905" s="316"/>
      <c r="C1905" s="456"/>
      <c r="D1905" s="450"/>
      <c r="E1905" s="450"/>
      <c r="F1905" s="450"/>
      <c r="G1905" s="450"/>
      <c r="H1905" s="450"/>
      <c r="I1905" s="450"/>
      <c r="J1905" s="450"/>
      <c r="M1905" s="296"/>
      <c r="N1905" s="296"/>
      <c r="O1905" s="296"/>
      <c r="R1905" s="348" t="str">
        <f>R1906</f>
        <v>DELETE</v>
      </c>
    </row>
    <row r="1906" spans="2:18" ht="36.75" customHeight="1" x14ac:dyDescent="0.5">
      <c r="B1906" s="316"/>
      <c r="C1906" s="456"/>
      <c r="D1906" s="450"/>
      <c r="E1906" s="450"/>
      <c r="F1906" s="450"/>
      <c r="G1906" s="450"/>
      <c r="H1906" s="450"/>
      <c r="I1906" s="450"/>
      <c r="J1906" s="450"/>
      <c r="M1906" s="296">
        <f>SUM(S1889:S1904)</f>
        <v>0</v>
      </c>
      <c r="N1906" s="296"/>
      <c r="O1906" s="296">
        <f>SUM(U1889:U1904)</f>
        <v>0</v>
      </c>
      <c r="R1906" s="348" t="str">
        <f>IF(R1889=" "," ",IF(R1897=" "," ","DELETE"))</f>
        <v>DELETE</v>
      </c>
    </row>
    <row r="1907" spans="2:18" ht="9" customHeight="1" thickBot="1" x14ac:dyDescent="0.55000000000000004">
      <c r="B1907" s="316"/>
      <c r="C1907" s="456"/>
      <c r="D1907" s="450"/>
      <c r="E1907" s="450"/>
      <c r="F1907" s="450"/>
      <c r="G1907" s="450"/>
      <c r="H1907" s="450"/>
      <c r="I1907" s="450"/>
      <c r="J1907" s="450"/>
      <c r="M1907" s="299"/>
      <c r="N1907" s="299"/>
      <c r="O1907" s="299"/>
      <c r="R1907" s="348" t="str">
        <f>R1906</f>
        <v>DELETE</v>
      </c>
    </row>
    <row r="1908" spans="2:18" ht="9" customHeight="1" thickTop="1" x14ac:dyDescent="0.5">
      <c r="B1908" s="316"/>
      <c r="C1908" s="456"/>
      <c r="D1908" s="450"/>
      <c r="E1908" s="450"/>
      <c r="F1908" s="450"/>
      <c r="G1908" s="450"/>
      <c r="H1908" s="450"/>
      <c r="I1908" s="450"/>
      <c r="J1908" s="450"/>
      <c r="M1908" s="296"/>
      <c r="N1908" s="296"/>
      <c r="O1908" s="296"/>
      <c r="R1908" s="348" t="str">
        <f>R1906</f>
        <v>DELETE</v>
      </c>
    </row>
    <row r="1909" spans="2:18" ht="36" customHeight="1" x14ac:dyDescent="0.5">
      <c r="B1909" s="316"/>
      <c r="C1909" s="456"/>
      <c r="D1909" s="450"/>
      <c r="E1909" s="450"/>
      <c r="F1909" s="450"/>
      <c r="G1909" s="450"/>
      <c r="H1909" s="450"/>
      <c r="I1909" s="450"/>
      <c r="J1909" s="450"/>
      <c r="M1909" s="296"/>
      <c r="N1909" s="296"/>
      <c r="O1909" s="296"/>
      <c r="R1909" s="348" t="str">
        <f>R$1906</f>
        <v>DELETE</v>
      </c>
    </row>
    <row r="1910" spans="2:18" ht="36" customHeight="1" x14ac:dyDescent="0.5">
      <c r="B1910" s="316"/>
      <c r="C1910" s="456"/>
      <c r="D1910" s="450"/>
      <c r="E1910" s="450"/>
      <c r="F1910" s="450"/>
      <c r="G1910" s="450"/>
      <c r="H1910" s="450"/>
      <c r="I1910" s="450"/>
      <c r="J1910" s="450"/>
      <c r="M1910" s="296"/>
      <c r="N1910" s="296"/>
      <c r="O1910" s="296"/>
      <c r="R1910" s="348" t="str">
        <f>R$1906</f>
        <v>DELETE</v>
      </c>
    </row>
    <row r="1911" spans="2:18" ht="36" customHeight="1" x14ac:dyDescent="0.5">
      <c r="B1911" s="354"/>
      <c r="C1911" s="450"/>
      <c r="D1911" s="450"/>
      <c r="E1911" s="450"/>
      <c r="F1911" s="450"/>
      <c r="G1911" s="450"/>
      <c r="H1911" s="450"/>
      <c r="I1911" s="450"/>
      <c r="J1911" s="450"/>
      <c r="M1911" s="371"/>
      <c r="N1911" s="371"/>
      <c r="O1911" s="371"/>
      <c r="P1911" s="356"/>
      <c r="R1911" s="348" t="str">
        <f>R$1906</f>
        <v>DELETE</v>
      </c>
    </row>
    <row r="1912" spans="2:18" ht="36" customHeight="1" x14ac:dyDescent="0.5">
      <c r="B1912" s="354"/>
      <c r="C1912" s="450"/>
      <c r="D1912" s="450"/>
      <c r="E1912" s="450"/>
      <c r="F1912" s="450"/>
      <c r="G1912" s="450"/>
      <c r="H1912" s="450"/>
      <c r="I1912" s="450"/>
      <c r="J1912" s="450"/>
      <c r="M1912" s="351"/>
      <c r="N1912" s="351"/>
      <c r="O1912" s="351"/>
      <c r="R1912" s="348" t="str">
        <f>R$1906</f>
        <v>DELETE</v>
      </c>
    </row>
    <row r="1913" spans="2:18" ht="36" customHeight="1" x14ac:dyDescent="0.5">
      <c r="B1913" s="354"/>
      <c r="C1913" s="450"/>
      <c r="D1913" s="450"/>
      <c r="E1913" s="450"/>
      <c r="F1913" s="450"/>
      <c r="G1913" s="450"/>
      <c r="H1913" s="450"/>
      <c r="I1913" s="450"/>
      <c r="J1913" s="450"/>
      <c r="M1913" s="351"/>
      <c r="N1913" s="351"/>
      <c r="O1913" s="296" t="s">
        <v>89</v>
      </c>
      <c r="Q1913" s="292">
        <f>MAX($Q$105:Q1912)+1</f>
        <v>51</v>
      </c>
      <c r="R1913" s="348" t="str">
        <f>R$1946</f>
        <v>DELETE</v>
      </c>
    </row>
    <row r="1914" spans="2:18" ht="36" customHeight="1" x14ac:dyDescent="0.5">
      <c r="B1914" s="354"/>
      <c r="C1914" s="450"/>
      <c r="D1914" s="456" t="str">
        <f>Criteria!E9</f>
        <v>HOLDING COMPANY 268 (PROPRIETARY) LIMITED</v>
      </c>
      <c r="E1914" s="450"/>
      <c r="F1914" s="450"/>
      <c r="G1914" s="450"/>
      <c r="H1914" s="450"/>
      <c r="I1914" s="450"/>
      <c r="J1914" s="450"/>
      <c r="M1914" s="351"/>
      <c r="N1914" s="351"/>
      <c r="O1914" s="347"/>
      <c r="R1914" s="348" t="str">
        <f>R$1946</f>
        <v>DELETE</v>
      </c>
    </row>
    <row r="1915" spans="2:18" ht="36" customHeight="1" x14ac:dyDescent="0.5">
      <c r="B1915" s="354"/>
      <c r="C1915" s="450"/>
      <c r="D1915" s="456" t="str">
        <f>Criteria!E10</f>
        <v>CONSOLIDATED FINANCIAL STATEMENTS</v>
      </c>
      <c r="E1915" s="450"/>
      <c r="F1915" s="450"/>
      <c r="G1915" s="450"/>
      <c r="H1915" s="450"/>
      <c r="I1915" s="450"/>
      <c r="J1915" s="450"/>
      <c r="M1915" s="351"/>
      <c r="N1915" s="351"/>
      <c r="O1915" s="351"/>
      <c r="R1915" s="348" t="str">
        <f>IF(R$1946="DELETE","DELETE",IF(D1915=0,"DELETE"," "))</f>
        <v>DELETE</v>
      </c>
    </row>
    <row r="1916" spans="2:18" ht="36" customHeight="1" x14ac:dyDescent="0.5">
      <c r="B1916" s="354"/>
      <c r="C1916" s="450"/>
      <c r="D1916" s="450"/>
      <c r="E1916" s="450"/>
      <c r="F1916" s="450"/>
      <c r="G1916" s="450"/>
      <c r="H1916" s="450"/>
      <c r="I1916" s="450"/>
      <c r="J1916" s="450"/>
      <c r="M1916" s="351"/>
      <c r="N1916" s="351"/>
      <c r="O1916" s="351"/>
      <c r="R1916" s="348" t="str">
        <f t="shared" ref="R1916:R1924" si="104">R$1946</f>
        <v>DELETE</v>
      </c>
    </row>
    <row r="1917" spans="2:18" ht="36" customHeight="1" x14ac:dyDescent="0.5">
      <c r="B1917" s="354"/>
      <c r="C1917" s="450"/>
      <c r="D1917" s="456" t="s">
        <v>351</v>
      </c>
      <c r="E1917" s="450"/>
      <c r="F1917" s="450"/>
      <c r="G1917" s="450"/>
      <c r="H1917" s="450"/>
      <c r="I1917" s="450"/>
      <c r="J1917" s="450"/>
      <c r="M1917" s="351"/>
      <c r="N1917" s="351"/>
      <c r="O1917" s="351"/>
      <c r="R1917" s="348" t="str">
        <f t="shared" si="104"/>
        <v>DELETE</v>
      </c>
    </row>
    <row r="1918" spans="2:18" ht="36" customHeight="1" x14ac:dyDescent="0.5">
      <c r="B1918" s="354"/>
      <c r="C1918" s="450"/>
      <c r="D1918" s="456" t="str">
        <f>Criteria!E20</f>
        <v>28 FEBRUARY 2025</v>
      </c>
      <c r="E1918" s="450"/>
      <c r="F1918" s="450"/>
      <c r="G1918" s="450"/>
      <c r="H1918" s="450"/>
      <c r="I1918" s="450"/>
      <c r="J1918" s="450" t="s">
        <v>231</v>
      </c>
      <c r="M1918" s="351"/>
      <c r="N1918" s="351"/>
      <c r="O1918" s="351"/>
      <c r="R1918" s="348" t="str">
        <f t="shared" si="104"/>
        <v>DELETE</v>
      </c>
    </row>
    <row r="1919" spans="2:18" ht="36" customHeight="1" x14ac:dyDescent="0.5">
      <c r="B1919" s="354"/>
      <c r="C1919" s="450"/>
      <c r="D1919" s="450"/>
      <c r="E1919" s="450"/>
      <c r="F1919" s="450"/>
      <c r="G1919" s="450"/>
      <c r="H1919" s="450"/>
      <c r="I1919" s="450"/>
      <c r="J1919" s="450"/>
      <c r="M1919" s="372"/>
      <c r="N1919" s="372"/>
      <c r="O1919" s="372"/>
      <c r="R1919" s="348" t="str">
        <f t="shared" si="104"/>
        <v>DELETE</v>
      </c>
    </row>
    <row r="1920" spans="2:18" ht="36" customHeight="1" x14ac:dyDescent="0.5">
      <c r="B1920" s="368"/>
      <c r="C1920" s="460"/>
      <c r="D1920" s="460"/>
      <c r="E1920" s="460"/>
      <c r="F1920" s="460"/>
      <c r="G1920" s="460"/>
      <c r="H1920" s="460"/>
      <c r="I1920" s="460"/>
      <c r="J1920" s="460"/>
      <c r="K1920" s="364"/>
      <c r="L1920" s="364"/>
      <c r="M1920" s="378"/>
      <c r="N1920" s="378"/>
      <c r="O1920" s="378"/>
      <c r="P1920" s="367"/>
      <c r="Q1920" s="364"/>
      <c r="R1920" s="348" t="str">
        <f t="shared" si="104"/>
        <v>DELETE</v>
      </c>
    </row>
    <row r="1921" spans="2:21" ht="36" customHeight="1" x14ac:dyDescent="0.5">
      <c r="B1921" s="354"/>
      <c r="C1921" s="450"/>
      <c r="D1921" s="450"/>
      <c r="E1921" s="450"/>
      <c r="F1921" s="450"/>
      <c r="G1921" s="450"/>
      <c r="H1921" s="450"/>
      <c r="I1921" s="450"/>
      <c r="J1921" s="450"/>
      <c r="M1921" s="294">
        <f>Criteria!E22</f>
        <v>2025</v>
      </c>
      <c r="N1921" s="294"/>
      <c r="O1921" s="294">
        <f>Criteria!E27</f>
        <v>2024</v>
      </c>
      <c r="R1921" s="348" t="str">
        <f t="shared" si="104"/>
        <v>DELETE</v>
      </c>
    </row>
    <row r="1922" spans="2:21" ht="36" customHeight="1" x14ac:dyDescent="0.5">
      <c r="B1922" s="316"/>
      <c r="C1922" s="456"/>
      <c r="D1922" s="450"/>
      <c r="E1922" s="450"/>
      <c r="F1922" s="450"/>
      <c r="G1922" s="450"/>
      <c r="H1922" s="450"/>
      <c r="I1922" s="450"/>
      <c r="J1922" s="450"/>
      <c r="M1922" s="296"/>
      <c r="N1922" s="296"/>
      <c r="O1922" s="296"/>
      <c r="R1922" s="348" t="str">
        <f t="shared" si="104"/>
        <v>DELETE</v>
      </c>
    </row>
    <row r="1923" spans="2:21" ht="36" customHeight="1" x14ac:dyDescent="0.5">
      <c r="B1923" s="316">
        <f>MAX(B$602:B1922)+1</f>
        <v>22</v>
      </c>
      <c r="C1923" s="456" t="str">
        <f>IF(COUNTIF(TrialBalance!N186:N200,"&lt;0")&gt;1,"Interest bearing borrowings",IF(COUNTIF(TrialBalance!L186:L200,"&lt;0")&gt;1,"Interest bearing borrowings","Interest bearing borrowing"))</f>
        <v>Interest bearing borrowing</v>
      </c>
      <c r="D1923" s="450"/>
      <c r="E1923" s="450"/>
      <c r="F1923" s="450"/>
      <c r="G1923" s="450"/>
      <c r="H1923" s="450"/>
      <c r="I1923" s="450"/>
      <c r="J1923" s="450"/>
      <c r="M1923" s="296"/>
      <c r="N1923" s="296"/>
      <c r="O1923" s="296"/>
      <c r="R1923" s="348" t="str">
        <f t="shared" si="104"/>
        <v>DELETE</v>
      </c>
      <c r="S1923" s="333">
        <f>SUM(M1925:M1940)</f>
        <v>0</v>
      </c>
      <c r="T1923" s="333"/>
      <c r="U1923" s="333">
        <f>SUM(O1925:O1940)</f>
        <v>0</v>
      </c>
    </row>
    <row r="1924" spans="2:21" ht="36" customHeight="1" x14ac:dyDescent="0.5">
      <c r="B1924" s="316"/>
      <c r="C1924" s="456"/>
      <c r="D1924" s="450"/>
      <c r="E1924" s="450"/>
      <c r="F1924" s="450"/>
      <c r="G1924" s="450"/>
      <c r="H1924" s="450"/>
      <c r="I1924" s="450"/>
      <c r="J1924" s="450"/>
      <c r="M1924" s="296"/>
      <c r="N1924" s="296"/>
      <c r="O1924" s="296"/>
      <c r="R1924" s="348" t="str">
        <f t="shared" si="104"/>
        <v>DELETE</v>
      </c>
      <c r="S1924" s="333"/>
      <c r="T1924" s="333"/>
      <c r="U1924" s="333"/>
    </row>
    <row r="1925" spans="2:21" ht="36" customHeight="1" x14ac:dyDescent="0.5">
      <c r="B1925" s="316"/>
      <c r="C1925" s="450">
        <f>TrialBalance!C186</f>
        <v>0</v>
      </c>
      <c r="D1925" s="459"/>
      <c r="E1925" s="450"/>
      <c r="F1925" s="450"/>
      <c r="G1925" s="450"/>
      <c r="H1925" s="450"/>
      <c r="I1925" s="450"/>
      <c r="J1925" s="450"/>
      <c r="M1925" s="296">
        <f>-TrialBalance!L186</f>
        <v>0</v>
      </c>
      <c r="N1925" s="296"/>
      <c r="O1925" s="296">
        <f>-TrialBalance!N186</f>
        <v>0</v>
      </c>
      <c r="R1925" s="348" t="str">
        <f>IF(M1925+O1925=0,"DELETE"," ")</f>
        <v>DELETE</v>
      </c>
    </row>
    <row r="1926" spans="2:21" ht="36" customHeight="1" x14ac:dyDescent="0.5">
      <c r="B1926" s="316"/>
      <c r="C1926" s="450">
        <f>TrialBalance!C187</f>
        <v>0</v>
      </c>
      <c r="D1926" s="459"/>
      <c r="E1926" s="450"/>
      <c r="F1926" s="450"/>
      <c r="G1926" s="450"/>
      <c r="H1926" s="450"/>
      <c r="I1926" s="450"/>
      <c r="J1926" s="450"/>
      <c r="M1926" s="296">
        <f>-TrialBalance!L187</f>
        <v>0</v>
      </c>
      <c r="N1926" s="296"/>
      <c r="O1926" s="296">
        <f>-TrialBalance!N187</f>
        <v>0</v>
      </c>
      <c r="R1926" s="348" t="str">
        <f t="shared" ref="R1926:R1939" si="105">IF(M1926+O1926=0,"DELETE"," ")</f>
        <v>DELETE</v>
      </c>
    </row>
    <row r="1927" spans="2:21" ht="36" customHeight="1" x14ac:dyDescent="0.5">
      <c r="B1927" s="316"/>
      <c r="C1927" s="450">
        <f>TrialBalance!C188</f>
        <v>0</v>
      </c>
      <c r="D1927" s="459"/>
      <c r="E1927" s="450"/>
      <c r="F1927" s="450"/>
      <c r="G1927" s="450"/>
      <c r="H1927" s="450"/>
      <c r="I1927" s="450"/>
      <c r="J1927" s="450"/>
      <c r="M1927" s="296">
        <f>-TrialBalance!L188</f>
        <v>0</v>
      </c>
      <c r="N1927" s="296"/>
      <c r="O1927" s="296">
        <f>-TrialBalance!N188</f>
        <v>0</v>
      </c>
      <c r="R1927" s="348" t="str">
        <f t="shared" si="105"/>
        <v>DELETE</v>
      </c>
    </row>
    <row r="1928" spans="2:21" ht="36" customHeight="1" x14ac:dyDescent="0.5">
      <c r="B1928" s="316"/>
      <c r="C1928" s="450">
        <f>TrialBalance!C189</f>
        <v>0</v>
      </c>
      <c r="D1928" s="459"/>
      <c r="E1928" s="450"/>
      <c r="F1928" s="450"/>
      <c r="G1928" s="450"/>
      <c r="H1928" s="450"/>
      <c r="I1928" s="450"/>
      <c r="J1928" s="450"/>
      <c r="M1928" s="296">
        <f>-TrialBalance!L189</f>
        <v>0</v>
      </c>
      <c r="N1928" s="296"/>
      <c r="O1928" s="296">
        <f>-TrialBalance!N189</f>
        <v>0</v>
      </c>
      <c r="R1928" s="348" t="str">
        <f t="shared" si="105"/>
        <v>DELETE</v>
      </c>
    </row>
    <row r="1929" spans="2:21" ht="36" customHeight="1" x14ac:dyDescent="0.5">
      <c r="B1929" s="316"/>
      <c r="C1929" s="450">
        <f>TrialBalance!C190</f>
        <v>0</v>
      </c>
      <c r="D1929" s="459"/>
      <c r="E1929" s="450"/>
      <c r="F1929" s="450"/>
      <c r="G1929" s="450"/>
      <c r="H1929" s="450"/>
      <c r="I1929" s="450"/>
      <c r="J1929" s="450"/>
      <c r="M1929" s="296">
        <f>-TrialBalance!L190</f>
        <v>0</v>
      </c>
      <c r="N1929" s="296"/>
      <c r="O1929" s="296">
        <f>-TrialBalance!N190</f>
        <v>0</v>
      </c>
      <c r="R1929" s="348" t="str">
        <f t="shared" si="105"/>
        <v>DELETE</v>
      </c>
    </row>
    <row r="1930" spans="2:21" ht="36" customHeight="1" x14ac:dyDescent="0.5">
      <c r="B1930" s="316"/>
      <c r="C1930" s="450">
        <f>TrialBalance!C191</f>
        <v>0</v>
      </c>
      <c r="D1930" s="459"/>
      <c r="E1930" s="450"/>
      <c r="F1930" s="450"/>
      <c r="G1930" s="450"/>
      <c r="H1930" s="450"/>
      <c r="I1930" s="450"/>
      <c r="J1930" s="450"/>
      <c r="M1930" s="296">
        <f>-TrialBalance!L191</f>
        <v>0</v>
      </c>
      <c r="N1930" s="296"/>
      <c r="O1930" s="296">
        <f>-TrialBalance!N191</f>
        <v>0</v>
      </c>
      <c r="R1930" s="348" t="str">
        <f t="shared" si="105"/>
        <v>DELETE</v>
      </c>
    </row>
    <row r="1931" spans="2:21" ht="36" customHeight="1" x14ac:dyDescent="0.5">
      <c r="B1931" s="316"/>
      <c r="C1931" s="450">
        <f>TrialBalance!C192</f>
        <v>0</v>
      </c>
      <c r="D1931" s="459"/>
      <c r="E1931" s="450"/>
      <c r="F1931" s="450"/>
      <c r="G1931" s="450"/>
      <c r="H1931" s="450"/>
      <c r="I1931" s="450"/>
      <c r="J1931" s="450"/>
      <c r="M1931" s="296">
        <f>-TrialBalance!L192</f>
        <v>0</v>
      </c>
      <c r="N1931" s="296"/>
      <c r="O1931" s="296">
        <f>-TrialBalance!N192</f>
        <v>0</v>
      </c>
      <c r="R1931" s="348" t="str">
        <f t="shared" si="105"/>
        <v>DELETE</v>
      </c>
    </row>
    <row r="1932" spans="2:21" ht="36" customHeight="1" x14ac:dyDescent="0.5">
      <c r="B1932" s="316"/>
      <c r="C1932" s="450">
        <f>TrialBalance!C193</f>
        <v>0</v>
      </c>
      <c r="D1932" s="459"/>
      <c r="E1932" s="450"/>
      <c r="F1932" s="450"/>
      <c r="G1932" s="450"/>
      <c r="H1932" s="450"/>
      <c r="I1932" s="450"/>
      <c r="J1932" s="450"/>
      <c r="M1932" s="296">
        <f>-TrialBalance!L193</f>
        <v>0</v>
      </c>
      <c r="N1932" s="296"/>
      <c r="O1932" s="296">
        <f>-TrialBalance!N193</f>
        <v>0</v>
      </c>
      <c r="R1932" s="348" t="str">
        <f t="shared" si="105"/>
        <v>DELETE</v>
      </c>
    </row>
    <row r="1933" spans="2:21" ht="36" customHeight="1" x14ac:dyDescent="0.5">
      <c r="B1933" s="316"/>
      <c r="C1933" s="450">
        <f>TrialBalance!C194</f>
        <v>0</v>
      </c>
      <c r="D1933" s="459"/>
      <c r="E1933" s="450"/>
      <c r="F1933" s="450"/>
      <c r="G1933" s="450"/>
      <c r="H1933" s="450"/>
      <c r="I1933" s="450"/>
      <c r="J1933" s="450"/>
      <c r="M1933" s="296">
        <f>-TrialBalance!L194</f>
        <v>0</v>
      </c>
      <c r="N1933" s="296"/>
      <c r="O1933" s="296">
        <f>-TrialBalance!N194</f>
        <v>0</v>
      </c>
      <c r="R1933" s="348" t="str">
        <f t="shared" si="105"/>
        <v>DELETE</v>
      </c>
    </row>
    <row r="1934" spans="2:21" ht="36" customHeight="1" x14ac:dyDescent="0.5">
      <c r="B1934" s="316"/>
      <c r="C1934" s="450">
        <f>TrialBalance!C195</f>
        <v>0</v>
      </c>
      <c r="D1934" s="459"/>
      <c r="E1934" s="450"/>
      <c r="F1934" s="450"/>
      <c r="G1934" s="450"/>
      <c r="H1934" s="450"/>
      <c r="I1934" s="450"/>
      <c r="J1934" s="450"/>
      <c r="M1934" s="296">
        <f>-TrialBalance!L195</f>
        <v>0</v>
      </c>
      <c r="N1934" s="296"/>
      <c r="O1934" s="296">
        <f>-TrialBalance!N195</f>
        <v>0</v>
      </c>
      <c r="R1934" s="348" t="str">
        <f t="shared" si="105"/>
        <v>DELETE</v>
      </c>
    </row>
    <row r="1935" spans="2:21" ht="36" customHeight="1" x14ac:dyDescent="0.5">
      <c r="B1935" s="316"/>
      <c r="C1935" s="450">
        <f>TrialBalance!C196</f>
        <v>0</v>
      </c>
      <c r="D1935" s="459"/>
      <c r="E1935" s="450"/>
      <c r="F1935" s="450"/>
      <c r="G1935" s="450"/>
      <c r="H1935" s="450"/>
      <c r="I1935" s="450"/>
      <c r="J1935" s="450"/>
      <c r="M1935" s="296">
        <f>-TrialBalance!L196</f>
        <v>0</v>
      </c>
      <c r="N1935" s="296"/>
      <c r="O1935" s="296">
        <f>-TrialBalance!N196</f>
        <v>0</v>
      </c>
      <c r="R1935" s="348" t="str">
        <f t="shared" si="105"/>
        <v>DELETE</v>
      </c>
    </row>
    <row r="1936" spans="2:21" ht="36" customHeight="1" x14ac:dyDescent="0.5">
      <c r="B1936" s="316"/>
      <c r="C1936" s="450">
        <f>TrialBalance!C197</f>
        <v>0</v>
      </c>
      <c r="D1936" s="459"/>
      <c r="E1936" s="450"/>
      <c r="F1936" s="450"/>
      <c r="G1936" s="450"/>
      <c r="H1936" s="450"/>
      <c r="I1936" s="450"/>
      <c r="J1936" s="450"/>
      <c r="M1936" s="296">
        <f>-TrialBalance!L197</f>
        <v>0</v>
      </c>
      <c r="N1936" s="296"/>
      <c r="O1936" s="296">
        <f>-TrialBalance!N197</f>
        <v>0</v>
      </c>
      <c r="R1936" s="348" t="str">
        <f t="shared" ref="R1936:R1937" si="106">IF(M1936+O1936=0,"DELETE"," ")</f>
        <v>DELETE</v>
      </c>
    </row>
    <row r="1937" spans="2:24" ht="36" customHeight="1" x14ac:dyDescent="0.5">
      <c r="B1937" s="316"/>
      <c r="C1937" s="450">
        <f>TrialBalance!C198</f>
        <v>0</v>
      </c>
      <c r="D1937" s="459"/>
      <c r="E1937" s="450"/>
      <c r="F1937" s="450"/>
      <c r="G1937" s="450"/>
      <c r="H1937" s="450"/>
      <c r="I1937" s="450"/>
      <c r="J1937" s="450"/>
      <c r="M1937" s="296">
        <f>-TrialBalance!L198</f>
        <v>0</v>
      </c>
      <c r="N1937" s="296"/>
      <c r="O1937" s="296">
        <f>-TrialBalance!N198</f>
        <v>0</v>
      </c>
      <c r="R1937" s="348" t="str">
        <f t="shared" si="106"/>
        <v>DELETE</v>
      </c>
    </row>
    <row r="1938" spans="2:24" ht="36" customHeight="1" x14ac:dyDescent="0.5">
      <c r="B1938" s="316"/>
      <c r="C1938" s="450">
        <f>TrialBalance!C199</f>
        <v>0</v>
      </c>
      <c r="D1938" s="459"/>
      <c r="E1938" s="450"/>
      <c r="F1938" s="450"/>
      <c r="G1938" s="450"/>
      <c r="H1938" s="450"/>
      <c r="I1938" s="450"/>
      <c r="J1938" s="450"/>
      <c r="M1938" s="296">
        <f>-TrialBalance!L199</f>
        <v>0</v>
      </c>
      <c r="N1938" s="296"/>
      <c r="O1938" s="296">
        <f>-TrialBalance!N199</f>
        <v>0</v>
      </c>
      <c r="R1938" s="348" t="str">
        <f t="shared" si="105"/>
        <v>DELETE</v>
      </c>
    </row>
    <row r="1939" spans="2:24" ht="36" customHeight="1" x14ac:dyDescent="0.5">
      <c r="B1939" s="316"/>
      <c r="C1939" s="450">
        <f>TrialBalance!C200</f>
        <v>0</v>
      </c>
      <c r="D1939" s="459"/>
      <c r="E1939" s="450"/>
      <c r="F1939" s="450"/>
      <c r="G1939" s="450"/>
      <c r="H1939" s="450"/>
      <c r="I1939" s="450"/>
      <c r="J1939" s="450"/>
      <c r="M1939" s="296">
        <f>-TrialBalance!L200</f>
        <v>0</v>
      </c>
      <c r="N1939" s="296"/>
      <c r="O1939" s="296">
        <f>-TrialBalance!N200</f>
        <v>0</v>
      </c>
      <c r="R1939" s="348" t="str">
        <f t="shared" si="105"/>
        <v>DELETE</v>
      </c>
    </row>
    <row r="1940" spans="2:24" ht="9" customHeight="1" x14ac:dyDescent="0.5">
      <c r="B1940" s="316"/>
      <c r="C1940" s="450"/>
      <c r="D1940" s="459"/>
      <c r="E1940" s="450"/>
      <c r="F1940" s="450"/>
      <c r="G1940" s="450"/>
      <c r="H1940" s="450"/>
      <c r="I1940" s="450"/>
      <c r="J1940" s="450"/>
      <c r="M1940" s="298"/>
      <c r="N1940" s="298"/>
      <c r="O1940" s="298"/>
      <c r="R1940" s="348" t="str">
        <f>R1943</f>
        <v>DELETE</v>
      </c>
    </row>
    <row r="1941" spans="2:24" ht="9" customHeight="1" x14ac:dyDescent="0.5">
      <c r="B1941" s="316"/>
      <c r="C1941" s="450"/>
      <c r="D1941" s="459"/>
      <c r="E1941" s="450"/>
      <c r="F1941" s="450"/>
      <c r="G1941" s="450"/>
      <c r="H1941" s="450"/>
      <c r="I1941" s="450"/>
      <c r="J1941" s="450"/>
      <c r="M1941" s="296"/>
      <c r="N1941" s="296"/>
      <c r="O1941" s="296"/>
      <c r="R1941" s="348" t="str">
        <f>R1943</f>
        <v>DELETE</v>
      </c>
    </row>
    <row r="1942" spans="2:24" ht="36" customHeight="1" x14ac:dyDescent="0.5">
      <c r="B1942" s="316"/>
      <c r="C1942" s="450"/>
      <c r="D1942" s="459"/>
      <c r="E1942" s="450"/>
      <c r="F1942" s="450"/>
      <c r="G1942" s="450"/>
      <c r="H1942" s="450"/>
      <c r="I1942" s="450"/>
      <c r="J1942" s="450"/>
      <c r="M1942" s="296">
        <f>SUM(M1925:M1940)</f>
        <v>0</v>
      </c>
      <c r="N1942" s="296"/>
      <c r="O1942" s="296">
        <f>SUM(O1925:O1940)</f>
        <v>0</v>
      </c>
      <c r="R1942" s="348" t="str">
        <f>R1943</f>
        <v>DELETE</v>
      </c>
      <c r="S1942" s="336"/>
      <c r="T1942" s="336"/>
      <c r="U1942" s="336"/>
      <c r="V1942" s="336"/>
      <c r="W1942" s="336"/>
      <c r="X1942" s="336"/>
    </row>
    <row r="1943" spans="2:24" ht="36" customHeight="1" x14ac:dyDescent="0.5">
      <c r="B1943" s="316"/>
      <c r="C1943" s="450" t="s">
        <v>1098</v>
      </c>
      <c r="D1943" s="459"/>
      <c r="E1943" s="450"/>
      <c r="F1943" s="450"/>
      <c r="G1943" s="450"/>
      <c r="H1943" s="450"/>
      <c r="I1943" s="450"/>
      <c r="J1943" s="450"/>
      <c r="M1943" s="296">
        <f>TrialBalance!L201</f>
        <v>0</v>
      </c>
      <c r="N1943" s="296"/>
      <c r="O1943" s="296">
        <f>TrialBalance!N201</f>
        <v>0</v>
      </c>
      <c r="R1943" s="348" t="str">
        <f t="shared" ref="R1943" si="107">IF(M1943+O1943=0,"DELETE"," ")</f>
        <v>DELETE</v>
      </c>
      <c r="S1943" s="336">
        <f>-M1943</f>
        <v>0</v>
      </c>
      <c r="T1943" s="336"/>
      <c r="U1943" s="336">
        <f>-O1943</f>
        <v>0</v>
      </c>
      <c r="V1943" s="336"/>
      <c r="W1943" s="336"/>
      <c r="X1943" s="336"/>
    </row>
    <row r="1944" spans="2:24" ht="9" customHeight="1" x14ac:dyDescent="0.5">
      <c r="B1944" s="316"/>
      <c r="C1944" s="456"/>
      <c r="D1944" s="450"/>
      <c r="E1944" s="450"/>
      <c r="F1944" s="450"/>
      <c r="G1944" s="450"/>
      <c r="H1944" s="450"/>
      <c r="I1944" s="450"/>
      <c r="J1944" s="450"/>
      <c r="M1944" s="298"/>
      <c r="N1944" s="298"/>
      <c r="O1944" s="298"/>
      <c r="R1944" s="348" t="str">
        <f>R$1946</f>
        <v>DELETE</v>
      </c>
    </row>
    <row r="1945" spans="2:24" ht="9" customHeight="1" x14ac:dyDescent="0.5">
      <c r="B1945" s="316"/>
      <c r="C1945" s="456"/>
      <c r="D1945" s="450"/>
      <c r="E1945" s="450"/>
      <c r="F1945" s="450"/>
      <c r="G1945" s="450"/>
      <c r="H1945" s="450"/>
      <c r="I1945" s="450"/>
      <c r="J1945" s="450"/>
      <c r="M1945" s="296"/>
      <c r="N1945" s="296"/>
      <c r="O1945" s="296"/>
      <c r="R1945" s="348" t="str">
        <f>R$1946</f>
        <v>DELETE</v>
      </c>
    </row>
    <row r="1946" spans="2:24" ht="36.75" customHeight="1" x14ac:dyDescent="0.5">
      <c r="B1946" s="316"/>
      <c r="C1946" s="456"/>
      <c r="D1946" s="450"/>
      <c r="E1946" s="450"/>
      <c r="F1946" s="450"/>
      <c r="G1946" s="450"/>
      <c r="H1946" s="450"/>
      <c r="I1946" s="450"/>
      <c r="J1946" s="450"/>
      <c r="M1946" s="296">
        <f>SUM(S1923:S1944)</f>
        <v>0</v>
      </c>
      <c r="N1946" s="296"/>
      <c r="O1946" s="296">
        <f>SUM(U1923:U1944)</f>
        <v>0</v>
      </c>
      <c r="R1946" s="348" t="str">
        <f>IF(SUM(M1925:M1939)+SUM(O1925:O1939)&gt;0," ","DELETE")</f>
        <v>DELETE</v>
      </c>
    </row>
    <row r="1947" spans="2:24" ht="9" customHeight="1" thickBot="1" x14ac:dyDescent="0.55000000000000004">
      <c r="B1947" s="316"/>
      <c r="C1947" s="456"/>
      <c r="D1947" s="450"/>
      <c r="E1947" s="450"/>
      <c r="F1947" s="450"/>
      <c r="G1947" s="450"/>
      <c r="H1947" s="450"/>
      <c r="I1947" s="450"/>
      <c r="J1947" s="450"/>
      <c r="M1947" s="299"/>
      <c r="N1947" s="299"/>
      <c r="O1947" s="299"/>
      <c r="R1947" s="348" t="str">
        <f t="shared" ref="R1947:R1952" si="108">R$1946</f>
        <v>DELETE</v>
      </c>
    </row>
    <row r="1948" spans="2:24" ht="9" customHeight="1" thickTop="1" x14ac:dyDescent="0.5">
      <c r="B1948" s="316"/>
      <c r="C1948" s="456"/>
      <c r="D1948" s="450"/>
      <c r="E1948" s="450"/>
      <c r="F1948" s="450"/>
      <c r="G1948" s="450"/>
      <c r="H1948" s="450"/>
      <c r="I1948" s="450"/>
      <c r="J1948" s="450"/>
      <c r="M1948" s="310"/>
      <c r="N1948" s="310"/>
      <c r="O1948" s="310"/>
      <c r="R1948" s="348" t="str">
        <f t="shared" si="108"/>
        <v>DELETE</v>
      </c>
    </row>
    <row r="1949" spans="2:24" ht="36" customHeight="1" x14ac:dyDescent="0.5">
      <c r="B1949" s="316"/>
      <c r="C1949" s="456"/>
      <c r="D1949" s="450"/>
      <c r="E1949" s="450"/>
      <c r="F1949" s="450"/>
      <c r="G1949" s="450"/>
      <c r="H1949" s="450"/>
      <c r="I1949" s="450"/>
      <c r="J1949" s="450"/>
      <c r="M1949" s="296"/>
      <c r="N1949" s="296"/>
      <c r="O1949" s="296"/>
      <c r="R1949" s="348" t="str">
        <f t="shared" si="108"/>
        <v>DELETE</v>
      </c>
    </row>
    <row r="1950" spans="2:24" ht="36" customHeight="1" x14ac:dyDescent="0.5">
      <c r="B1950" s="316"/>
      <c r="C1950" s="456"/>
      <c r="D1950" s="450"/>
      <c r="E1950" s="450"/>
      <c r="F1950" s="450"/>
      <c r="G1950" s="450"/>
      <c r="H1950" s="450"/>
      <c r="I1950" s="450"/>
      <c r="J1950" s="450"/>
      <c r="M1950" s="296"/>
      <c r="N1950" s="296"/>
      <c r="O1950" s="296"/>
      <c r="R1950" s="348" t="str">
        <f t="shared" si="108"/>
        <v>DELETE</v>
      </c>
    </row>
    <row r="1951" spans="2:24" ht="36" customHeight="1" x14ac:dyDescent="0.5">
      <c r="B1951" s="316"/>
      <c r="C1951" s="456"/>
      <c r="D1951" s="450"/>
      <c r="E1951" s="450"/>
      <c r="F1951" s="450"/>
      <c r="G1951" s="450"/>
      <c r="H1951" s="450"/>
      <c r="I1951" s="450"/>
      <c r="J1951" s="450"/>
      <c r="M1951" s="310"/>
      <c r="N1951" s="310"/>
      <c r="O1951" s="310"/>
      <c r="P1951" s="356"/>
      <c r="R1951" s="348" t="str">
        <f t="shared" si="108"/>
        <v>DELETE</v>
      </c>
    </row>
    <row r="1952" spans="2:24" ht="36" customHeight="1" x14ac:dyDescent="0.5">
      <c r="B1952" s="316"/>
      <c r="C1952" s="456"/>
      <c r="D1952" s="450"/>
      <c r="E1952" s="450"/>
      <c r="F1952" s="450"/>
      <c r="G1952" s="450"/>
      <c r="H1952" s="450"/>
      <c r="I1952" s="450"/>
      <c r="J1952" s="450"/>
      <c r="M1952" s="296"/>
      <c r="N1952" s="296"/>
      <c r="O1952" s="296"/>
      <c r="R1952" s="348" t="str">
        <f t="shared" si="108"/>
        <v>DELETE</v>
      </c>
    </row>
    <row r="1953" spans="2:18" ht="36" customHeight="1" x14ac:dyDescent="0.5">
      <c r="B1953" s="316"/>
      <c r="C1953" s="456"/>
      <c r="D1953" s="450"/>
      <c r="E1953" s="450"/>
      <c r="F1953" s="450"/>
      <c r="G1953" s="450"/>
      <c r="H1953" s="450"/>
      <c r="I1953" s="450"/>
      <c r="J1953" s="450"/>
      <c r="M1953" s="296"/>
      <c r="N1953" s="296"/>
      <c r="O1953" s="296" t="s">
        <v>89</v>
      </c>
      <c r="Q1953" s="292">
        <f>MAX($Q$105:Q1952)+1</f>
        <v>52</v>
      </c>
      <c r="R1953" s="348" t="str">
        <f>R$1984</f>
        <v>DELETE</v>
      </c>
    </row>
    <row r="1954" spans="2:18" ht="36" customHeight="1" x14ac:dyDescent="0.5">
      <c r="B1954" s="354"/>
      <c r="C1954" s="450"/>
      <c r="D1954" s="456" t="str">
        <f>Criteria!E9</f>
        <v>HOLDING COMPANY 268 (PROPRIETARY) LIMITED</v>
      </c>
      <c r="E1954" s="450"/>
      <c r="F1954" s="450"/>
      <c r="G1954" s="450"/>
      <c r="H1954" s="450"/>
      <c r="I1954" s="450"/>
      <c r="J1954" s="450"/>
      <c r="M1954" s="351"/>
      <c r="N1954" s="351"/>
      <c r="O1954" s="347"/>
      <c r="R1954" s="348" t="str">
        <f t="shared" ref="R1954:R1964" si="109">R$1984</f>
        <v>DELETE</v>
      </c>
    </row>
    <row r="1955" spans="2:18" ht="36" customHeight="1" x14ac:dyDescent="0.5">
      <c r="B1955" s="354"/>
      <c r="C1955" s="450"/>
      <c r="D1955" s="456" t="str">
        <f>Criteria!E10</f>
        <v>CONSOLIDATED FINANCIAL STATEMENTS</v>
      </c>
      <c r="E1955" s="450"/>
      <c r="F1955" s="450"/>
      <c r="G1955" s="450"/>
      <c r="H1955" s="450"/>
      <c r="I1955" s="450"/>
      <c r="J1955" s="450"/>
      <c r="M1955" s="351"/>
      <c r="N1955" s="351"/>
      <c r="O1955" s="351"/>
      <c r="R1955" s="348" t="str">
        <f>IF(R$1984="DELETE","DELETE",IF(D1955=0,"DELETE"," "))</f>
        <v>DELETE</v>
      </c>
    </row>
    <row r="1956" spans="2:18" ht="36" customHeight="1" x14ac:dyDescent="0.5">
      <c r="B1956" s="354"/>
      <c r="C1956" s="450"/>
      <c r="D1956" s="450"/>
      <c r="E1956" s="450"/>
      <c r="F1956" s="450"/>
      <c r="G1956" s="450"/>
      <c r="H1956" s="450"/>
      <c r="I1956" s="450"/>
      <c r="J1956" s="450"/>
      <c r="M1956" s="351"/>
      <c r="N1956" s="351"/>
      <c r="O1956" s="351"/>
      <c r="R1956" s="348" t="str">
        <f t="shared" si="109"/>
        <v>DELETE</v>
      </c>
    </row>
    <row r="1957" spans="2:18" ht="36" customHeight="1" x14ac:dyDescent="0.5">
      <c r="B1957" s="354"/>
      <c r="C1957" s="450"/>
      <c r="D1957" s="456" t="s">
        <v>351</v>
      </c>
      <c r="E1957" s="450"/>
      <c r="F1957" s="450"/>
      <c r="G1957" s="450"/>
      <c r="H1957" s="450"/>
      <c r="I1957" s="450"/>
      <c r="J1957" s="450"/>
      <c r="M1957" s="351"/>
      <c r="N1957" s="351"/>
      <c r="O1957" s="351"/>
      <c r="R1957" s="348" t="str">
        <f t="shared" si="109"/>
        <v>DELETE</v>
      </c>
    </row>
    <row r="1958" spans="2:18" ht="36" customHeight="1" x14ac:dyDescent="0.5">
      <c r="B1958" s="354"/>
      <c r="C1958" s="450"/>
      <c r="D1958" s="456" t="str">
        <f>Criteria!E20</f>
        <v>28 FEBRUARY 2025</v>
      </c>
      <c r="E1958" s="450"/>
      <c r="F1958" s="450"/>
      <c r="G1958" s="450"/>
      <c r="H1958" s="450"/>
      <c r="I1958" s="450"/>
      <c r="J1958" s="450" t="s">
        <v>231</v>
      </c>
      <c r="M1958" s="351"/>
      <c r="N1958" s="351"/>
      <c r="O1958" s="351"/>
      <c r="R1958" s="348" t="str">
        <f t="shared" si="109"/>
        <v>DELETE</v>
      </c>
    </row>
    <row r="1959" spans="2:18" ht="36" customHeight="1" x14ac:dyDescent="0.5">
      <c r="B1959" s="354"/>
      <c r="C1959" s="450"/>
      <c r="D1959" s="450"/>
      <c r="E1959" s="450"/>
      <c r="F1959" s="450"/>
      <c r="G1959" s="450"/>
      <c r="H1959" s="450"/>
      <c r="I1959" s="450"/>
      <c r="J1959" s="450"/>
      <c r="M1959" s="372"/>
      <c r="N1959" s="372"/>
      <c r="O1959" s="372"/>
      <c r="R1959" s="348" t="str">
        <f t="shared" si="109"/>
        <v>DELETE</v>
      </c>
    </row>
    <row r="1960" spans="2:18" ht="36" customHeight="1" x14ac:dyDescent="0.5">
      <c r="B1960" s="368"/>
      <c r="C1960" s="460"/>
      <c r="D1960" s="460"/>
      <c r="E1960" s="460"/>
      <c r="F1960" s="460"/>
      <c r="G1960" s="460"/>
      <c r="H1960" s="460"/>
      <c r="I1960" s="460"/>
      <c r="J1960" s="460"/>
      <c r="K1960" s="364"/>
      <c r="L1960" s="364"/>
      <c r="M1960" s="378"/>
      <c r="N1960" s="378"/>
      <c r="O1960" s="378"/>
      <c r="P1960" s="367"/>
      <c r="Q1960" s="364"/>
      <c r="R1960" s="348" t="str">
        <f t="shared" si="109"/>
        <v>DELETE</v>
      </c>
    </row>
    <row r="1961" spans="2:18" ht="36" customHeight="1" x14ac:dyDescent="0.5">
      <c r="B1961" s="354"/>
      <c r="C1961" s="450"/>
      <c r="D1961" s="450"/>
      <c r="E1961" s="450"/>
      <c r="F1961" s="450"/>
      <c r="G1961" s="450"/>
      <c r="H1961" s="450"/>
      <c r="I1961" s="450"/>
      <c r="J1961" s="450"/>
      <c r="M1961" s="294">
        <f>Criteria!E22</f>
        <v>2025</v>
      </c>
      <c r="N1961" s="294"/>
      <c r="O1961" s="294">
        <f>Criteria!E27</f>
        <v>2024</v>
      </c>
      <c r="R1961" s="348" t="str">
        <f t="shared" si="109"/>
        <v>DELETE</v>
      </c>
    </row>
    <row r="1962" spans="2:18" ht="36" customHeight="1" x14ac:dyDescent="0.5">
      <c r="B1962" s="316"/>
      <c r="C1962" s="456"/>
      <c r="D1962" s="450"/>
      <c r="E1962" s="450"/>
      <c r="F1962" s="450"/>
      <c r="G1962" s="450"/>
      <c r="H1962" s="450"/>
      <c r="I1962" s="450"/>
      <c r="J1962" s="450"/>
      <c r="M1962" s="296"/>
      <c r="N1962" s="296"/>
      <c r="O1962" s="296"/>
      <c r="R1962" s="348" t="str">
        <f t="shared" si="109"/>
        <v>DELETE</v>
      </c>
    </row>
    <row r="1963" spans="2:18" ht="36" customHeight="1" x14ac:dyDescent="0.5">
      <c r="B1963" s="316">
        <f>MAX(B$602:B1962)+1</f>
        <v>23</v>
      </c>
      <c r="C1963" s="456" t="str">
        <f>IF(COUNTIF(TrialBalance!N203:N219,"&lt;0")&gt;1,"Interest free borrowings",IF(COUNTIF(TrialBalance!L203:L219,"&lt;0")&gt;1,"Interest free borrowings","Interest free borrowing"))</f>
        <v>Interest free borrowing</v>
      </c>
      <c r="D1963" s="450"/>
      <c r="E1963" s="450"/>
      <c r="F1963" s="450"/>
      <c r="G1963" s="450"/>
      <c r="H1963" s="450"/>
      <c r="I1963" s="450"/>
      <c r="J1963" s="450"/>
      <c r="M1963" s="296"/>
      <c r="N1963" s="296"/>
      <c r="O1963" s="296"/>
      <c r="R1963" s="348" t="str">
        <f t="shared" si="109"/>
        <v>DELETE</v>
      </c>
    </row>
    <row r="1964" spans="2:18" ht="36" customHeight="1" x14ac:dyDescent="0.5">
      <c r="B1964" s="316"/>
      <c r="C1964" s="456"/>
      <c r="D1964" s="450"/>
      <c r="E1964" s="450"/>
      <c r="F1964" s="450"/>
      <c r="G1964" s="450"/>
      <c r="H1964" s="450"/>
      <c r="I1964" s="450"/>
      <c r="J1964" s="450"/>
      <c r="M1964" s="296"/>
      <c r="N1964" s="296"/>
      <c r="O1964" s="296"/>
      <c r="R1964" s="348" t="str">
        <f t="shared" si="109"/>
        <v>DELETE</v>
      </c>
    </row>
    <row r="1965" spans="2:18" ht="36" customHeight="1" x14ac:dyDescent="0.5">
      <c r="B1965" s="316"/>
      <c r="C1965" s="450">
        <f>TrialBalance!C203</f>
        <v>0</v>
      </c>
      <c r="D1965" s="459"/>
      <c r="E1965" s="450"/>
      <c r="F1965" s="450"/>
      <c r="G1965" s="450"/>
      <c r="H1965" s="450"/>
      <c r="I1965" s="450"/>
      <c r="J1965" s="450"/>
      <c r="M1965" s="296">
        <f>-TrialBalance!L203</f>
        <v>0</v>
      </c>
      <c r="N1965" s="296"/>
      <c r="O1965" s="296">
        <f>-TrialBalance!N203</f>
        <v>0</v>
      </c>
      <c r="R1965" s="348" t="str">
        <f t="shared" ref="R1965" si="110">IF(M1965+O1965=0,"DELETE"," ")</f>
        <v>DELETE</v>
      </c>
    </row>
    <row r="1966" spans="2:18" ht="36" customHeight="1" x14ac:dyDescent="0.5">
      <c r="B1966" s="316"/>
      <c r="C1966" s="450">
        <f>TrialBalance!C204</f>
        <v>0</v>
      </c>
      <c r="D1966" s="459"/>
      <c r="E1966" s="450"/>
      <c r="F1966" s="450"/>
      <c r="G1966" s="450"/>
      <c r="H1966" s="450"/>
      <c r="I1966" s="450"/>
      <c r="J1966" s="450"/>
      <c r="M1966" s="296">
        <f>-TrialBalance!L204</f>
        <v>0</v>
      </c>
      <c r="N1966" s="296"/>
      <c r="O1966" s="296">
        <f>-TrialBalance!N204</f>
        <v>0</v>
      </c>
      <c r="R1966" s="348" t="str">
        <f t="shared" ref="R1966:R1981" si="111">IF(M1966+O1966=0,"DELETE"," ")</f>
        <v>DELETE</v>
      </c>
    </row>
    <row r="1967" spans="2:18" ht="36" customHeight="1" x14ac:dyDescent="0.5">
      <c r="B1967" s="316"/>
      <c r="C1967" s="450">
        <f>TrialBalance!C205</f>
        <v>0</v>
      </c>
      <c r="D1967" s="459"/>
      <c r="E1967" s="450"/>
      <c r="F1967" s="450"/>
      <c r="G1967" s="450"/>
      <c r="H1967" s="450"/>
      <c r="I1967" s="450"/>
      <c r="J1967" s="450"/>
      <c r="M1967" s="296">
        <f>-TrialBalance!L205</f>
        <v>0</v>
      </c>
      <c r="N1967" s="296"/>
      <c r="O1967" s="296">
        <f>-TrialBalance!N205</f>
        <v>0</v>
      </c>
      <c r="R1967" s="348" t="str">
        <f t="shared" si="111"/>
        <v>DELETE</v>
      </c>
    </row>
    <row r="1968" spans="2:18" ht="36" customHeight="1" x14ac:dyDescent="0.5">
      <c r="B1968" s="316"/>
      <c r="C1968" s="450">
        <f>TrialBalance!C206</f>
        <v>0</v>
      </c>
      <c r="D1968" s="459"/>
      <c r="E1968" s="450"/>
      <c r="F1968" s="450"/>
      <c r="G1968" s="450"/>
      <c r="H1968" s="450"/>
      <c r="I1968" s="450"/>
      <c r="J1968" s="450"/>
      <c r="M1968" s="296">
        <f>-TrialBalance!L206</f>
        <v>0</v>
      </c>
      <c r="N1968" s="296"/>
      <c r="O1968" s="296">
        <f>-TrialBalance!N206</f>
        <v>0</v>
      </c>
      <c r="R1968" s="348" t="str">
        <f t="shared" si="111"/>
        <v>DELETE</v>
      </c>
    </row>
    <row r="1969" spans="2:18" ht="36" customHeight="1" x14ac:dyDescent="0.5">
      <c r="B1969" s="316"/>
      <c r="C1969" s="450">
        <f>TrialBalance!C207</f>
        <v>0</v>
      </c>
      <c r="D1969" s="459"/>
      <c r="E1969" s="450"/>
      <c r="F1969" s="450"/>
      <c r="G1969" s="450"/>
      <c r="H1969" s="450"/>
      <c r="I1969" s="450"/>
      <c r="J1969" s="450"/>
      <c r="M1969" s="296">
        <f>-TrialBalance!L207</f>
        <v>0</v>
      </c>
      <c r="N1969" s="296"/>
      <c r="O1969" s="296">
        <f>-TrialBalance!N207</f>
        <v>0</v>
      </c>
      <c r="R1969" s="348" t="str">
        <f t="shared" si="111"/>
        <v>DELETE</v>
      </c>
    </row>
    <row r="1970" spans="2:18" ht="36" customHeight="1" x14ac:dyDescent="0.5">
      <c r="B1970" s="316"/>
      <c r="C1970" s="450">
        <f>TrialBalance!C208</f>
        <v>0</v>
      </c>
      <c r="D1970" s="459"/>
      <c r="E1970" s="450"/>
      <c r="F1970" s="450"/>
      <c r="G1970" s="450"/>
      <c r="H1970" s="450"/>
      <c r="I1970" s="450"/>
      <c r="J1970" s="450"/>
      <c r="M1970" s="296">
        <f>-TrialBalance!L208</f>
        <v>0</v>
      </c>
      <c r="N1970" s="296"/>
      <c r="O1970" s="296">
        <f>-TrialBalance!N208</f>
        <v>0</v>
      </c>
      <c r="R1970" s="348" t="str">
        <f t="shared" si="111"/>
        <v>DELETE</v>
      </c>
    </row>
    <row r="1971" spans="2:18" ht="36" customHeight="1" x14ac:dyDescent="0.5">
      <c r="B1971" s="316"/>
      <c r="C1971" s="450">
        <f>TrialBalance!C209</f>
        <v>0</v>
      </c>
      <c r="D1971" s="459"/>
      <c r="E1971" s="450"/>
      <c r="F1971" s="450"/>
      <c r="G1971" s="450"/>
      <c r="H1971" s="450"/>
      <c r="I1971" s="450"/>
      <c r="J1971" s="450"/>
      <c r="M1971" s="296">
        <f>-TrialBalance!L209</f>
        <v>0</v>
      </c>
      <c r="N1971" s="296"/>
      <c r="O1971" s="296">
        <f>-TrialBalance!N209</f>
        <v>0</v>
      </c>
      <c r="R1971" s="348" t="str">
        <f t="shared" si="111"/>
        <v>DELETE</v>
      </c>
    </row>
    <row r="1972" spans="2:18" ht="36" customHeight="1" x14ac:dyDescent="0.5">
      <c r="B1972" s="316"/>
      <c r="C1972" s="450">
        <f>TrialBalance!C210</f>
        <v>0</v>
      </c>
      <c r="D1972" s="459"/>
      <c r="E1972" s="450"/>
      <c r="F1972" s="450"/>
      <c r="G1972" s="450"/>
      <c r="H1972" s="450"/>
      <c r="I1972" s="450"/>
      <c r="J1972" s="450"/>
      <c r="M1972" s="296">
        <f>-TrialBalance!L210</f>
        <v>0</v>
      </c>
      <c r="N1972" s="296"/>
      <c r="O1972" s="296">
        <f>-TrialBalance!N210</f>
        <v>0</v>
      </c>
      <c r="R1972" s="348" t="str">
        <f t="shared" si="111"/>
        <v>DELETE</v>
      </c>
    </row>
    <row r="1973" spans="2:18" ht="36" customHeight="1" x14ac:dyDescent="0.5">
      <c r="B1973" s="316"/>
      <c r="C1973" s="450">
        <f>TrialBalance!C211</f>
        <v>0</v>
      </c>
      <c r="D1973" s="459"/>
      <c r="E1973" s="450"/>
      <c r="F1973" s="450"/>
      <c r="G1973" s="450"/>
      <c r="H1973" s="450"/>
      <c r="I1973" s="450"/>
      <c r="J1973" s="450"/>
      <c r="M1973" s="296">
        <f>-TrialBalance!L211</f>
        <v>0</v>
      </c>
      <c r="N1973" s="296"/>
      <c r="O1973" s="296">
        <f>-TrialBalance!N211</f>
        <v>0</v>
      </c>
      <c r="R1973" s="348" t="str">
        <f t="shared" si="111"/>
        <v>DELETE</v>
      </c>
    </row>
    <row r="1974" spans="2:18" ht="36" customHeight="1" x14ac:dyDescent="0.5">
      <c r="B1974" s="316"/>
      <c r="C1974" s="450">
        <f>TrialBalance!C212</f>
        <v>0</v>
      </c>
      <c r="D1974" s="459"/>
      <c r="E1974" s="450"/>
      <c r="F1974" s="450"/>
      <c r="G1974" s="450"/>
      <c r="H1974" s="450"/>
      <c r="I1974" s="450"/>
      <c r="J1974" s="450"/>
      <c r="M1974" s="296">
        <f>-TrialBalance!L212</f>
        <v>0</v>
      </c>
      <c r="N1974" s="296"/>
      <c r="O1974" s="296">
        <f>-TrialBalance!N212</f>
        <v>0</v>
      </c>
      <c r="R1974" s="348" t="str">
        <f t="shared" si="111"/>
        <v>DELETE</v>
      </c>
    </row>
    <row r="1975" spans="2:18" ht="36" customHeight="1" x14ac:dyDescent="0.5">
      <c r="B1975" s="316"/>
      <c r="C1975" s="450">
        <f>TrialBalance!C213</f>
        <v>0</v>
      </c>
      <c r="D1975" s="459"/>
      <c r="E1975" s="450"/>
      <c r="F1975" s="450"/>
      <c r="G1975" s="450"/>
      <c r="H1975" s="450"/>
      <c r="I1975" s="450"/>
      <c r="J1975" s="450"/>
      <c r="M1975" s="296">
        <f>-TrialBalance!L213</f>
        <v>0</v>
      </c>
      <c r="N1975" s="296"/>
      <c r="O1975" s="296">
        <f>-TrialBalance!N213</f>
        <v>0</v>
      </c>
      <c r="R1975" s="348" t="str">
        <f t="shared" si="111"/>
        <v>DELETE</v>
      </c>
    </row>
    <row r="1976" spans="2:18" ht="36" customHeight="1" x14ac:dyDescent="0.5">
      <c r="B1976" s="316"/>
      <c r="C1976" s="450">
        <f>TrialBalance!C214</f>
        <v>0</v>
      </c>
      <c r="D1976" s="459"/>
      <c r="E1976" s="450"/>
      <c r="F1976" s="450"/>
      <c r="G1976" s="450"/>
      <c r="H1976" s="450"/>
      <c r="I1976" s="450"/>
      <c r="J1976" s="450"/>
      <c r="M1976" s="296">
        <f>-TrialBalance!L214</f>
        <v>0</v>
      </c>
      <c r="N1976" s="296"/>
      <c r="O1976" s="296">
        <f>-TrialBalance!N214</f>
        <v>0</v>
      </c>
      <c r="R1976" s="348" t="str">
        <f t="shared" si="111"/>
        <v>DELETE</v>
      </c>
    </row>
    <row r="1977" spans="2:18" ht="36" customHeight="1" x14ac:dyDescent="0.5">
      <c r="B1977" s="316"/>
      <c r="C1977" s="450">
        <f>TrialBalance!C215</f>
        <v>0</v>
      </c>
      <c r="D1977" s="459"/>
      <c r="E1977" s="450"/>
      <c r="F1977" s="450"/>
      <c r="G1977" s="450"/>
      <c r="H1977" s="450"/>
      <c r="I1977" s="450"/>
      <c r="J1977" s="450"/>
      <c r="M1977" s="296">
        <f>-TrialBalance!L215</f>
        <v>0</v>
      </c>
      <c r="N1977" s="296"/>
      <c r="O1977" s="296">
        <f>-TrialBalance!N215</f>
        <v>0</v>
      </c>
      <c r="R1977" s="348" t="str">
        <f t="shared" si="111"/>
        <v>DELETE</v>
      </c>
    </row>
    <row r="1978" spans="2:18" ht="36" customHeight="1" x14ac:dyDescent="0.5">
      <c r="B1978" s="316"/>
      <c r="C1978" s="450">
        <f>TrialBalance!C216</f>
        <v>0</v>
      </c>
      <c r="D1978" s="459"/>
      <c r="E1978" s="450"/>
      <c r="F1978" s="450"/>
      <c r="G1978" s="450"/>
      <c r="H1978" s="450"/>
      <c r="I1978" s="450"/>
      <c r="J1978" s="450"/>
      <c r="M1978" s="296">
        <f>-TrialBalance!L216</f>
        <v>0</v>
      </c>
      <c r="N1978" s="296"/>
      <c r="O1978" s="296">
        <f>-TrialBalance!N216</f>
        <v>0</v>
      </c>
      <c r="R1978" s="348" t="str">
        <f t="shared" si="111"/>
        <v>DELETE</v>
      </c>
    </row>
    <row r="1979" spans="2:18" ht="36" customHeight="1" x14ac:dyDescent="0.5">
      <c r="B1979" s="316"/>
      <c r="C1979" s="450">
        <f>TrialBalance!C217</f>
        <v>0</v>
      </c>
      <c r="D1979" s="459"/>
      <c r="E1979" s="450"/>
      <c r="F1979" s="450"/>
      <c r="G1979" s="450"/>
      <c r="H1979" s="450"/>
      <c r="I1979" s="450"/>
      <c r="J1979" s="450"/>
      <c r="M1979" s="296">
        <f>-TrialBalance!L217</f>
        <v>0</v>
      </c>
      <c r="N1979" s="296"/>
      <c r="O1979" s="296">
        <f>-TrialBalance!N217</f>
        <v>0</v>
      </c>
      <c r="R1979" s="348" t="str">
        <f t="shared" si="111"/>
        <v>DELETE</v>
      </c>
    </row>
    <row r="1980" spans="2:18" ht="36" customHeight="1" x14ac:dyDescent="0.5">
      <c r="B1980" s="316"/>
      <c r="C1980" s="450">
        <f>TrialBalance!C218</f>
        <v>0</v>
      </c>
      <c r="D1980" s="459"/>
      <c r="E1980" s="450"/>
      <c r="F1980" s="450"/>
      <c r="G1980" s="450"/>
      <c r="H1980" s="450"/>
      <c r="I1980" s="450"/>
      <c r="J1980" s="450"/>
      <c r="M1980" s="296">
        <f>-TrialBalance!L218</f>
        <v>0</v>
      </c>
      <c r="N1980" s="296"/>
      <c r="O1980" s="296">
        <f>-TrialBalance!N218</f>
        <v>0</v>
      </c>
      <c r="R1980" s="348" t="str">
        <f t="shared" si="111"/>
        <v>DELETE</v>
      </c>
    </row>
    <row r="1981" spans="2:18" ht="36" customHeight="1" x14ac:dyDescent="0.5">
      <c r="B1981" s="316"/>
      <c r="C1981" s="450">
        <f>TrialBalance!C219</f>
        <v>0</v>
      </c>
      <c r="D1981" s="459"/>
      <c r="E1981" s="450"/>
      <c r="F1981" s="450"/>
      <c r="G1981" s="450"/>
      <c r="H1981" s="450"/>
      <c r="I1981" s="450"/>
      <c r="J1981" s="450"/>
      <c r="M1981" s="296">
        <f>-TrialBalance!L219</f>
        <v>0</v>
      </c>
      <c r="N1981" s="296"/>
      <c r="O1981" s="296">
        <f>-TrialBalance!N219</f>
        <v>0</v>
      </c>
      <c r="R1981" s="348" t="str">
        <f t="shared" si="111"/>
        <v>DELETE</v>
      </c>
    </row>
    <row r="1982" spans="2:18" ht="9" customHeight="1" x14ac:dyDescent="0.5">
      <c r="B1982" s="316"/>
      <c r="C1982" s="456"/>
      <c r="D1982" s="450"/>
      <c r="E1982" s="450"/>
      <c r="F1982" s="450"/>
      <c r="G1982" s="450"/>
      <c r="H1982" s="450"/>
      <c r="I1982" s="450"/>
      <c r="J1982" s="450"/>
      <c r="M1982" s="298"/>
      <c r="N1982" s="298"/>
      <c r="O1982" s="298"/>
      <c r="R1982" s="348" t="str">
        <f t="shared" ref="R1982:R1991" si="112">R$1984</f>
        <v>DELETE</v>
      </c>
    </row>
    <row r="1983" spans="2:18" ht="9" customHeight="1" x14ac:dyDescent="0.5">
      <c r="B1983" s="316"/>
      <c r="C1983" s="456"/>
      <c r="D1983" s="450"/>
      <c r="E1983" s="450"/>
      <c r="F1983" s="450"/>
      <c r="G1983" s="450"/>
      <c r="H1983" s="450"/>
      <c r="I1983" s="450"/>
      <c r="J1983" s="450"/>
      <c r="M1983" s="296"/>
      <c r="N1983" s="296"/>
      <c r="O1983" s="296"/>
      <c r="R1983" s="348" t="str">
        <f t="shared" si="112"/>
        <v>DELETE</v>
      </c>
    </row>
    <row r="1984" spans="2:18" ht="36.75" customHeight="1" x14ac:dyDescent="0.5">
      <c r="B1984" s="316"/>
      <c r="C1984" s="456"/>
      <c r="D1984" s="450"/>
      <c r="E1984" s="450"/>
      <c r="F1984" s="450"/>
      <c r="G1984" s="450"/>
      <c r="H1984" s="450"/>
      <c r="I1984" s="450"/>
      <c r="J1984" s="450"/>
      <c r="M1984" s="296">
        <f>SUM(M1965:M1983)</f>
        <v>0</v>
      </c>
      <c r="N1984" s="296"/>
      <c r="O1984" s="296">
        <f>SUM(O1965:O1983)</f>
        <v>0</v>
      </c>
      <c r="R1984" s="348" t="str">
        <f>IF(M1984+O1984=0,"DELETE"," ")</f>
        <v>DELETE</v>
      </c>
    </row>
    <row r="1985" spans="2:18" ht="9" customHeight="1" thickBot="1" x14ac:dyDescent="0.55000000000000004">
      <c r="B1985" s="316"/>
      <c r="C1985" s="456"/>
      <c r="D1985" s="450"/>
      <c r="E1985" s="450"/>
      <c r="F1985" s="450"/>
      <c r="G1985" s="450"/>
      <c r="H1985" s="450"/>
      <c r="I1985" s="450"/>
      <c r="J1985" s="450"/>
      <c r="M1985" s="299"/>
      <c r="N1985" s="299"/>
      <c r="O1985" s="299"/>
      <c r="R1985" s="348" t="str">
        <f t="shared" si="112"/>
        <v>DELETE</v>
      </c>
    </row>
    <row r="1986" spans="2:18" ht="9" customHeight="1" thickTop="1" x14ac:dyDescent="0.5">
      <c r="B1986" s="316"/>
      <c r="C1986" s="456"/>
      <c r="D1986" s="450"/>
      <c r="E1986" s="450"/>
      <c r="F1986" s="450"/>
      <c r="G1986" s="450"/>
      <c r="H1986" s="450"/>
      <c r="I1986" s="450"/>
      <c r="J1986" s="450"/>
      <c r="M1986" s="310"/>
      <c r="N1986" s="310"/>
      <c r="O1986" s="310"/>
      <c r="R1986" s="348" t="str">
        <f t="shared" si="112"/>
        <v>DELETE</v>
      </c>
    </row>
    <row r="1987" spans="2:18" ht="36" customHeight="1" x14ac:dyDescent="0.5">
      <c r="B1987" s="316"/>
      <c r="C1987" s="450" t="str">
        <f>IF(COUNTIF(TrialBalance!L203:L219,"&lt;0")=0," ",IF(COUNTIF(TrialBalance!L203:L219,"&lt;0")&gt;1,"Unsecured interest free loans with no fixed repayment terms.","Unsecured interest free loan with no fixed repayment terms."))</f>
        <v xml:space="preserve"> </v>
      </c>
      <c r="D1987" s="459"/>
      <c r="E1987" s="450"/>
      <c r="F1987" s="450"/>
      <c r="G1987" s="450"/>
      <c r="H1987" s="450"/>
      <c r="I1987" s="450"/>
      <c r="J1987" s="450"/>
      <c r="M1987" s="296"/>
      <c r="N1987" s="296"/>
      <c r="O1987" s="296"/>
      <c r="R1987" s="348" t="str">
        <f t="shared" si="112"/>
        <v>DELETE</v>
      </c>
    </row>
    <row r="1988" spans="2:18" ht="36" customHeight="1" x14ac:dyDescent="0.5">
      <c r="B1988" s="316"/>
      <c r="C1988" s="456"/>
      <c r="D1988" s="450"/>
      <c r="E1988" s="450"/>
      <c r="F1988" s="450"/>
      <c r="G1988" s="450"/>
      <c r="H1988" s="450"/>
      <c r="I1988" s="450"/>
      <c r="J1988" s="450"/>
      <c r="M1988" s="296"/>
      <c r="N1988" s="296"/>
      <c r="O1988" s="296"/>
      <c r="R1988" s="348" t="str">
        <f t="shared" si="112"/>
        <v>DELETE</v>
      </c>
    </row>
    <row r="1989" spans="2:18" ht="36" customHeight="1" x14ac:dyDescent="0.5">
      <c r="B1989" s="316"/>
      <c r="C1989" s="456"/>
      <c r="D1989" s="450"/>
      <c r="E1989" s="450"/>
      <c r="F1989" s="450"/>
      <c r="G1989" s="450"/>
      <c r="H1989" s="450"/>
      <c r="I1989" s="450"/>
      <c r="J1989" s="450"/>
      <c r="M1989" s="296"/>
      <c r="N1989" s="296"/>
      <c r="O1989" s="296"/>
      <c r="R1989" s="348" t="str">
        <f t="shared" si="112"/>
        <v>DELETE</v>
      </c>
    </row>
    <row r="1990" spans="2:18" ht="36" customHeight="1" x14ac:dyDescent="0.5">
      <c r="B1990" s="316"/>
      <c r="C1990" s="456"/>
      <c r="D1990" s="450"/>
      <c r="E1990" s="450"/>
      <c r="F1990" s="450"/>
      <c r="G1990" s="450"/>
      <c r="H1990" s="450"/>
      <c r="I1990" s="450"/>
      <c r="J1990" s="450"/>
      <c r="M1990" s="310"/>
      <c r="N1990" s="310"/>
      <c r="O1990" s="310"/>
      <c r="P1990" s="356"/>
      <c r="R1990" s="348" t="str">
        <f t="shared" si="112"/>
        <v>DELETE</v>
      </c>
    </row>
    <row r="1991" spans="2:18" ht="36" customHeight="1" x14ac:dyDescent="0.5">
      <c r="B1991" s="316"/>
      <c r="C1991" s="456"/>
      <c r="D1991" s="450"/>
      <c r="E1991" s="450"/>
      <c r="F1991" s="450"/>
      <c r="G1991" s="450"/>
      <c r="H1991" s="450"/>
      <c r="I1991" s="450"/>
      <c r="J1991" s="450"/>
      <c r="M1991" s="296"/>
      <c r="N1991" s="296"/>
      <c r="O1991" s="296"/>
      <c r="R1991" s="348" t="str">
        <f t="shared" si="112"/>
        <v>DELETE</v>
      </c>
    </row>
    <row r="1992" spans="2:18" ht="36" customHeight="1" x14ac:dyDescent="0.5">
      <c r="B1992" s="354"/>
      <c r="C1992" s="450"/>
      <c r="D1992" s="450"/>
      <c r="E1992" s="450"/>
      <c r="F1992" s="450"/>
      <c r="G1992" s="450"/>
      <c r="H1992" s="450"/>
      <c r="I1992" s="450"/>
      <c r="J1992" s="450"/>
      <c r="M1992" s="351"/>
      <c r="N1992" s="351"/>
      <c r="O1992" s="296" t="s">
        <v>89</v>
      </c>
      <c r="Q1992" s="292">
        <f>MAX($Q$105:Q1991)+1</f>
        <v>53</v>
      </c>
      <c r="R1992" s="348" t="str">
        <f t="shared" ref="R1992:R2005" si="113">R$2011</f>
        <v>DELETE</v>
      </c>
    </row>
    <row r="1993" spans="2:18" ht="36" customHeight="1" x14ac:dyDescent="0.5">
      <c r="B1993" s="354"/>
      <c r="C1993" s="450"/>
      <c r="D1993" s="456" t="str">
        <f>Criteria!E9</f>
        <v>HOLDING COMPANY 268 (PROPRIETARY) LIMITED</v>
      </c>
      <c r="E1993" s="450"/>
      <c r="F1993" s="450"/>
      <c r="G1993" s="450"/>
      <c r="H1993" s="450"/>
      <c r="I1993" s="450"/>
      <c r="J1993" s="450"/>
      <c r="M1993" s="351"/>
      <c r="N1993" s="351"/>
      <c r="O1993" s="347"/>
      <c r="R1993" s="348" t="str">
        <f t="shared" si="113"/>
        <v>DELETE</v>
      </c>
    </row>
    <row r="1994" spans="2:18" ht="36" customHeight="1" x14ac:dyDescent="0.5">
      <c r="B1994" s="354"/>
      <c r="C1994" s="450"/>
      <c r="D1994" s="456" t="str">
        <f>Criteria!E10</f>
        <v>CONSOLIDATED FINANCIAL STATEMENTS</v>
      </c>
      <c r="E1994" s="450"/>
      <c r="F1994" s="450"/>
      <c r="G1994" s="450"/>
      <c r="H1994" s="450"/>
      <c r="I1994" s="450"/>
      <c r="J1994" s="450"/>
      <c r="M1994" s="351"/>
      <c r="N1994" s="351"/>
      <c r="O1994" s="351"/>
      <c r="R1994" s="348" t="str">
        <f>IF(R$2011="DELETE","DELETE",IF(D1994=0,"DELETE"," "))</f>
        <v>DELETE</v>
      </c>
    </row>
    <row r="1995" spans="2:18" ht="36" customHeight="1" x14ac:dyDescent="0.5">
      <c r="B1995" s="354"/>
      <c r="C1995" s="450"/>
      <c r="D1995" s="450"/>
      <c r="E1995" s="450"/>
      <c r="F1995" s="450"/>
      <c r="G1995" s="450"/>
      <c r="H1995" s="450"/>
      <c r="I1995" s="450"/>
      <c r="J1995" s="450"/>
      <c r="M1995" s="351"/>
      <c r="N1995" s="351"/>
      <c r="O1995" s="351"/>
      <c r="R1995" s="348" t="str">
        <f t="shared" si="113"/>
        <v>DELETE</v>
      </c>
    </row>
    <row r="1996" spans="2:18" ht="36" customHeight="1" x14ac:dyDescent="0.5">
      <c r="B1996" s="354"/>
      <c r="C1996" s="450"/>
      <c r="D1996" s="456" t="s">
        <v>351</v>
      </c>
      <c r="E1996" s="450"/>
      <c r="F1996" s="450"/>
      <c r="G1996" s="450"/>
      <c r="H1996" s="450"/>
      <c r="I1996" s="450"/>
      <c r="J1996" s="450"/>
      <c r="M1996" s="351"/>
      <c r="N1996" s="351"/>
      <c r="O1996" s="351"/>
      <c r="R1996" s="348" t="str">
        <f t="shared" si="113"/>
        <v>DELETE</v>
      </c>
    </row>
    <row r="1997" spans="2:18" ht="36" customHeight="1" x14ac:dyDescent="0.5">
      <c r="B1997" s="354"/>
      <c r="C1997" s="450"/>
      <c r="D1997" s="456" t="str">
        <f>Criteria!E20</f>
        <v>28 FEBRUARY 2025</v>
      </c>
      <c r="E1997" s="450"/>
      <c r="F1997" s="450"/>
      <c r="G1997" s="450"/>
      <c r="H1997" s="450"/>
      <c r="I1997" s="450"/>
      <c r="J1997" s="450" t="s">
        <v>231</v>
      </c>
      <c r="M1997" s="351"/>
      <c r="N1997" s="351"/>
      <c r="O1997" s="351"/>
      <c r="R1997" s="348" t="str">
        <f t="shared" si="113"/>
        <v>DELETE</v>
      </c>
    </row>
    <row r="1998" spans="2:18" ht="36" customHeight="1" x14ac:dyDescent="0.5">
      <c r="B1998" s="354"/>
      <c r="C1998" s="450"/>
      <c r="D1998" s="456"/>
      <c r="E1998" s="450"/>
      <c r="F1998" s="450"/>
      <c r="G1998" s="450"/>
      <c r="H1998" s="450"/>
      <c r="I1998" s="450"/>
      <c r="J1998" s="450"/>
      <c r="M1998" s="351"/>
      <c r="N1998" s="351"/>
      <c r="O1998" s="351"/>
      <c r="R1998" s="348" t="str">
        <f t="shared" si="113"/>
        <v>DELETE</v>
      </c>
    </row>
    <row r="1999" spans="2:18" ht="36" customHeight="1" x14ac:dyDescent="0.5">
      <c r="B1999" s="447"/>
      <c r="C1999" s="465"/>
      <c r="D1999" s="460"/>
      <c r="E1999" s="460"/>
      <c r="F1999" s="460"/>
      <c r="G1999" s="460"/>
      <c r="H1999" s="460"/>
      <c r="I1999" s="460"/>
      <c r="J1999" s="460"/>
      <c r="K1999" s="364"/>
      <c r="L1999" s="364"/>
      <c r="M1999" s="297"/>
      <c r="N1999" s="297"/>
      <c r="O1999" s="297"/>
      <c r="P1999" s="367"/>
      <c r="Q1999" s="364"/>
      <c r="R1999" s="348" t="str">
        <f t="shared" si="113"/>
        <v>DELETE</v>
      </c>
    </row>
    <row r="2000" spans="2:18" ht="36" customHeight="1" x14ac:dyDescent="0.5">
      <c r="B2000" s="316"/>
      <c r="C2000" s="456"/>
      <c r="D2000" s="450"/>
      <c r="E2000" s="450"/>
      <c r="F2000" s="450"/>
      <c r="G2000" s="450"/>
      <c r="H2000" s="450"/>
      <c r="I2000" s="450"/>
      <c r="J2000" s="450"/>
      <c r="M2000" s="395">
        <f>Criteria!E22</f>
        <v>2025</v>
      </c>
      <c r="N2000" s="395"/>
      <c r="O2000" s="395">
        <f>Criteria!E27</f>
        <v>2024</v>
      </c>
      <c r="P2000" s="356"/>
      <c r="R2000" s="348" t="str">
        <f t="shared" si="113"/>
        <v>DELETE</v>
      </c>
    </row>
    <row r="2001" spans="2:26" ht="36" customHeight="1" x14ac:dyDescent="0.5">
      <c r="B2001" s="316"/>
      <c r="C2001" s="456"/>
      <c r="D2001" s="450"/>
      <c r="E2001" s="450"/>
      <c r="F2001" s="450"/>
      <c r="G2001" s="450"/>
      <c r="H2001" s="450"/>
      <c r="I2001" s="450"/>
      <c r="J2001" s="450"/>
      <c r="M2001" s="310"/>
      <c r="N2001" s="310"/>
      <c r="O2001" s="310"/>
      <c r="P2001" s="356"/>
      <c r="R2001" s="348" t="str">
        <f t="shared" si="113"/>
        <v>DELETE</v>
      </c>
    </row>
    <row r="2002" spans="2:26" ht="36" customHeight="1" x14ac:dyDescent="0.5">
      <c r="B2002" s="316">
        <f>MAX(B$602:B2001)+1</f>
        <v>24</v>
      </c>
      <c r="C2002" s="456" t="s">
        <v>1068</v>
      </c>
      <c r="D2002" s="450"/>
      <c r="E2002" s="450"/>
      <c r="F2002" s="450"/>
      <c r="G2002" s="450"/>
      <c r="H2002" s="450"/>
      <c r="I2002" s="450"/>
      <c r="J2002" s="450"/>
      <c r="M2002" s="310"/>
      <c r="N2002" s="310"/>
      <c r="O2002" s="310"/>
      <c r="P2002" s="356"/>
      <c r="R2002" s="348" t="str">
        <f t="shared" si="113"/>
        <v>DELETE</v>
      </c>
    </row>
    <row r="2003" spans="2:26" ht="36" customHeight="1" x14ac:dyDescent="0.5">
      <c r="B2003" s="316"/>
      <c r="C2003" s="456"/>
      <c r="D2003" s="450"/>
      <c r="E2003" s="450"/>
      <c r="F2003" s="450"/>
      <c r="G2003" s="450"/>
      <c r="H2003" s="450"/>
      <c r="I2003" s="450"/>
      <c r="J2003" s="450"/>
      <c r="M2003" s="310"/>
      <c r="N2003" s="310"/>
      <c r="O2003" s="310"/>
      <c r="P2003" s="356"/>
      <c r="R2003" s="348" t="str">
        <f t="shared" si="113"/>
        <v>DELETE</v>
      </c>
    </row>
    <row r="2004" spans="2:26" ht="36" customHeight="1" x14ac:dyDescent="0.5">
      <c r="B2004" s="316"/>
      <c r="C2004" s="450" t="s">
        <v>1007</v>
      </c>
      <c r="D2004" s="459"/>
      <c r="E2004" s="450"/>
      <c r="F2004" s="450"/>
      <c r="G2004" s="450"/>
      <c r="H2004" s="450"/>
      <c r="I2004" s="450"/>
      <c r="J2004" s="450"/>
      <c r="M2004" s="310"/>
      <c r="N2004" s="310"/>
      <c r="O2004" s="310"/>
      <c r="P2004" s="356"/>
      <c r="R2004" s="348" t="str">
        <f t="shared" si="113"/>
        <v>DELETE</v>
      </c>
    </row>
    <row r="2005" spans="2:26" ht="36" customHeight="1" x14ac:dyDescent="0.5">
      <c r="B2005" s="316"/>
      <c r="C2005" s="450"/>
      <c r="D2005" s="459"/>
      <c r="E2005" s="450"/>
      <c r="F2005" s="450"/>
      <c r="G2005" s="450"/>
      <c r="H2005" s="450"/>
      <c r="I2005" s="450"/>
      <c r="J2005" s="450"/>
      <c r="M2005" s="310"/>
      <c r="N2005" s="310"/>
      <c r="O2005" s="310"/>
      <c r="P2005" s="356"/>
      <c r="R2005" s="348" t="str">
        <f t="shared" si="113"/>
        <v>DELETE</v>
      </c>
    </row>
    <row r="2006" spans="2:26" ht="36" customHeight="1" x14ac:dyDescent="0.5">
      <c r="B2006" s="316"/>
      <c r="C2006" s="450" t="s">
        <v>1008</v>
      </c>
      <c r="D2006" s="459"/>
      <c r="E2006" s="450"/>
      <c r="F2006" s="450"/>
      <c r="G2006" s="450"/>
      <c r="H2006" s="450"/>
      <c r="I2006" s="450"/>
      <c r="J2006" s="450"/>
      <c r="M2006" s="310"/>
      <c r="N2006" s="310"/>
      <c r="O2006" s="310"/>
      <c r="P2006" s="356"/>
      <c r="R2006" s="348" t="str">
        <f>R2007</f>
        <v>DELETE</v>
      </c>
    </row>
    <row r="2007" spans="2:26" ht="36" customHeight="1" x14ac:dyDescent="0.5">
      <c r="B2007" s="316"/>
      <c r="C2007" s="450" t="s">
        <v>1009</v>
      </c>
      <c r="D2007" s="459"/>
      <c r="E2007" s="450"/>
      <c r="F2007" s="450"/>
      <c r="G2007" s="450"/>
      <c r="H2007" s="450"/>
      <c r="I2007" s="450"/>
      <c r="J2007" s="450"/>
      <c r="M2007" s="310">
        <f>-TrialBalance!L221-TrialBalance!L223-TrialBalance!L225-TrialBalance!L227</f>
        <v>0</v>
      </c>
      <c r="N2007" s="310"/>
      <c r="O2007" s="310">
        <f>-TrialBalance!N221-TrialBalance!N223-TrialBalance!N225-TrialBalance!N227</f>
        <v>0</v>
      </c>
      <c r="P2007" s="356"/>
      <c r="R2007" s="348" t="str">
        <f>IF(SUM(Y2007:Z2007)&gt;0," ","DELETE")</f>
        <v>DELETE</v>
      </c>
      <c r="Y2007" s="331">
        <f>IF(TrialBalance!L221=0,IF(TrialBalance!L225=0,IF(TrialBalance!L227=0,0,1),1),1)</f>
        <v>0</v>
      </c>
      <c r="Z2007" s="331">
        <f>IF(TrialBalance!N221=0,IF(TrialBalance!N225=0,IF(TrialBalance!N227=0,0,1),1),1)</f>
        <v>0</v>
      </c>
    </row>
    <row r="2008" spans="2:26" ht="36" customHeight="1" x14ac:dyDescent="0.5">
      <c r="B2008" s="316"/>
      <c r="C2008" s="450" t="s">
        <v>704</v>
      </c>
      <c r="D2008" s="459"/>
      <c r="E2008" s="450"/>
      <c r="F2008" s="450"/>
      <c r="G2008" s="450"/>
      <c r="H2008" s="450"/>
      <c r="I2008" s="450"/>
      <c r="J2008" s="450"/>
      <c r="M2008" s="310">
        <f>-TrialBalance!L222-TrialBalance!L224-TrialBalance!L226-TrialBalance!L228</f>
        <v>0</v>
      </c>
      <c r="N2008" s="310"/>
      <c r="O2008" s="310">
        <f>-TrialBalance!N222-TrialBalance!N224-TrialBalance!N226-TrialBalance!N228</f>
        <v>0</v>
      </c>
      <c r="P2008" s="356"/>
      <c r="R2008" s="348" t="str">
        <f>IF(SUM(Y2008:Z2008)&gt;0," ","DELETE")</f>
        <v>DELETE</v>
      </c>
      <c r="Y2008" s="331">
        <f>IF(TrialBalance!L222=0,IF(TrialBalance!L226=0,IF(TrialBalance!L228=0,0,1),1),1)</f>
        <v>0</v>
      </c>
      <c r="Z2008" s="331">
        <f>IF(TrialBalance!N222=0,IF(TrialBalance!N226=0,IF(TrialBalance!N228=0,0,1),1),1)</f>
        <v>0</v>
      </c>
    </row>
    <row r="2009" spans="2:26" ht="9" customHeight="1" x14ac:dyDescent="0.5">
      <c r="B2009" s="316"/>
      <c r="C2009" s="450"/>
      <c r="D2009" s="459"/>
      <c r="E2009" s="450"/>
      <c r="F2009" s="450"/>
      <c r="G2009" s="450"/>
      <c r="H2009" s="450"/>
      <c r="I2009" s="450"/>
      <c r="J2009" s="450"/>
      <c r="M2009" s="298"/>
      <c r="N2009" s="298"/>
      <c r="O2009" s="298"/>
      <c r="P2009" s="356"/>
      <c r="R2009" s="348" t="str">
        <f t="shared" ref="R2009:R2029" si="114">R$2011</f>
        <v>DELETE</v>
      </c>
    </row>
    <row r="2010" spans="2:26" ht="9" customHeight="1" x14ac:dyDescent="0.5">
      <c r="B2010" s="316"/>
      <c r="C2010" s="450"/>
      <c r="D2010" s="459"/>
      <c r="E2010" s="450"/>
      <c r="F2010" s="450"/>
      <c r="G2010" s="450"/>
      <c r="H2010" s="450"/>
      <c r="I2010" s="450"/>
      <c r="J2010" s="450"/>
      <c r="M2010" s="310"/>
      <c r="N2010" s="310"/>
      <c r="O2010" s="310"/>
      <c r="P2010" s="356"/>
      <c r="R2010" s="348" t="str">
        <f t="shared" si="114"/>
        <v>DELETE</v>
      </c>
    </row>
    <row r="2011" spans="2:26" ht="36.75" customHeight="1" x14ac:dyDescent="0.5">
      <c r="B2011" s="316"/>
      <c r="C2011" s="450"/>
      <c r="D2011" s="459"/>
      <c r="E2011" s="450"/>
      <c r="F2011" s="450"/>
      <c r="G2011" s="450"/>
      <c r="H2011" s="450"/>
      <c r="I2011" s="450"/>
      <c r="J2011" s="450"/>
      <c r="M2011" s="310">
        <f>SUM(M2007:M2009)</f>
        <v>0</v>
      </c>
      <c r="N2011" s="310"/>
      <c r="O2011" s="310">
        <f>SUM(O2007:O2009)</f>
        <v>0</v>
      </c>
      <c r="P2011" s="356"/>
      <c r="R2011" s="348" t="str">
        <f>IF(R2007=" "," ",IF(R2008=" "," ","DELETE"))</f>
        <v>DELETE</v>
      </c>
      <c r="V2011" s="331" t="b">
        <f>M2011=M2058</f>
        <v>1</v>
      </c>
      <c r="X2011" s="331" t="b">
        <f>O2011=O2058</f>
        <v>1</v>
      </c>
    </row>
    <row r="2012" spans="2:26" ht="9" customHeight="1" thickBot="1" x14ac:dyDescent="0.55000000000000004">
      <c r="B2012" s="316"/>
      <c r="C2012" s="450"/>
      <c r="D2012" s="459"/>
      <c r="E2012" s="450"/>
      <c r="F2012" s="450"/>
      <c r="G2012" s="450"/>
      <c r="H2012" s="450"/>
      <c r="I2012" s="450"/>
      <c r="J2012" s="450"/>
      <c r="M2012" s="299"/>
      <c r="N2012" s="299"/>
      <c r="O2012" s="299"/>
      <c r="P2012" s="356"/>
      <c r="R2012" s="348" t="str">
        <f t="shared" si="114"/>
        <v>DELETE</v>
      </c>
    </row>
    <row r="2013" spans="2:26" ht="9" customHeight="1" thickTop="1" x14ac:dyDescent="0.5">
      <c r="B2013" s="316"/>
      <c r="C2013" s="450"/>
      <c r="D2013" s="459"/>
      <c r="E2013" s="450"/>
      <c r="F2013" s="450"/>
      <c r="G2013" s="450"/>
      <c r="H2013" s="450"/>
      <c r="I2013" s="450"/>
      <c r="J2013" s="450"/>
      <c r="M2013" s="310"/>
      <c r="N2013" s="310"/>
      <c r="O2013" s="310"/>
      <c r="P2013" s="356"/>
      <c r="R2013" s="348" t="str">
        <f t="shared" si="114"/>
        <v>DELETE</v>
      </c>
    </row>
    <row r="2014" spans="2:26" ht="36" customHeight="1" x14ac:dyDescent="0.5">
      <c r="B2014" s="316"/>
      <c r="C2014" s="450"/>
      <c r="D2014" s="459"/>
      <c r="E2014" s="450"/>
      <c r="F2014" s="450"/>
      <c r="G2014" s="450"/>
      <c r="H2014" s="450"/>
      <c r="I2014" s="450"/>
      <c r="J2014" s="450"/>
      <c r="M2014" s="310"/>
      <c r="N2014" s="310"/>
      <c r="O2014" s="310"/>
      <c r="P2014" s="356"/>
      <c r="R2014" s="348" t="str">
        <f t="shared" si="114"/>
        <v>DELETE</v>
      </c>
    </row>
    <row r="2015" spans="2:26" ht="36" customHeight="1" x14ac:dyDescent="0.5">
      <c r="B2015" s="316"/>
      <c r="C2015" s="450"/>
      <c r="D2015" s="459"/>
      <c r="E2015" s="450"/>
      <c r="F2015" s="450"/>
      <c r="G2015" s="450"/>
      <c r="H2015" s="450"/>
      <c r="I2015" s="450"/>
      <c r="J2015" s="450"/>
      <c r="M2015" s="310"/>
      <c r="N2015" s="310"/>
      <c r="O2015" s="310"/>
      <c r="P2015" s="356"/>
      <c r="R2015" s="348" t="str">
        <f t="shared" si="114"/>
        <v>DELETE</v>
      </c>
    </row>
    <row r="2016" spans="2:26" ht="36" customHeight="1" x14ac:dyDescent="0.5">
      <c r="B2016" s="316"/>
      <c r="C2016" s="450"/>
      <c r="D2016" s="459"/>
      <c r="E2016" s="450"/>
      <c r="F2016" s="450"/>
      <c r="G2016" s="450"/>
      <c r="H2016" s="450"/>
      <c r="I2016" s="450"/>
      <c r="J2016" s="450"/>
      <c r="M2016" s="310"/>
      <c r="N2016" s="310"/>
      <c r="O2016" s="310"/>
      <c r="P2016" s="356"/>
      <c r="R2016" s="348" t="str">
        <f t="shared" si="114"/>
        <v>DELETE</v>
      </c>
    </row>
    <row r="2017" spans="2:26" ht="36" customHeight="1" x14ac:dyDescent="0.5">
      <c r="B2017" s="316"/>
      <c r="C2017" s="450"/>
      <c r="D2017" s="450"/>
      <c r="E2017" s="450"/>
      <c r="F2017" s="450"/>
      <c r="G2017" s="450"/>
      <c r="H2017" s="450"/>
      <c r="I2017" s="450"/>
      <c r="J2017" s="450"/>
      <c r="M2017" s="371"/>
      <c r="N2017" s="371"/>
      <c r="O2017" s="310" t="s">
        <v>89</v>
      </c>
      <c r="P2017" s="356"/>
      <c r="Q2017" s="292">
        <f>MAX($Q$105:Q2016)+1</f>
        <v>54</v>
      </c>
      <c r="R2017" s="348" t="str">
        <f t="shared" si="114"/>
        <v>DELETE</v>
      </c>
    </row>
    <row r="2018" spans="2:26" ht="36" customHeight="1" x14ac:dyDescent="0.5">
      <c r="B2018" s="316"/>
      <c r="C2018" s="450"/>
      <c r="D2018" s="456" t="str">
        <f>Criteria!E9</f>
        <v>HOLDING COMPANY 268 (PROPRIETARY) LIMITED</v>
      </c>
      <c r="E2018" s="450"/>
      <c r="F2018" s="450"/>
      <c r="G2018" s="450"/>
      <c r="H2018" s="450"/>
      <c r="I2018" s="450"/>
      <c r="J2018" s="450"/>
      <c r="M2018" s="371"/>
      <c r="N2018" s="371"/>
      <c r="O2018" s="356"/>
      <c r="P2018" s="356"/>
      <c r="R2018" s="348" t="str">
        <f t="shared" si="114"/>
        <v>DELETE</v>
      </c>
    </row>
    <row r="2019" spans="2:26" ht="36" customHeight="1" x14ac:dyDescent="0.5">
      <c r="B2019" s="316"/>
      <c r="C2019" s="450"/>
      <c r="D2019" s="456" t="str">
        <f>Criteria!E10</f>
        <v>CONSOLIDATED FINANCIAL STATEMENTS</v>
      </c>
      <c r="E2019" s="450"/>
      <c r="F2019" s="450"/>
      <c r="G2019" s="450"/>
      <c r="H2019" s="450"/>
      <c r="I2019" s="450"/>
      <c r="J2019" s="450"/>
      <c r="M2019" s="371"/>
      <c r="N2019" s="371"/>
      <c r="O2019" s="371"/>
      <c r="P2019" s="356"/>
      <c r="R2019" s="348" t="str">
        <f>IF(R$2011="DELETE","DELETE",IF(D2019=0,"DELETE"," "))</f>
        <v>DELETE</v>
      </c>
    </row>
    <row r="2020" spans="2:26" ht="36" customHeight="1" x14ac:dyDescent="0.5">
      <c r="B2020" s="316"/>
      <c r="C2020" s="450"/>
      <c r="D2020" s="450"/>
      <c r="E2020" s="450"/>
      <c r="F2020" s="450"/>
      <c r="G2020" s="450"/>
      <c r="H2020" s="450"/>
      <c r="I2020" s="450"/>
      <c r="J2020" s="450"/>
      <c r="M2020" s="371"/>
      <c r="N2020" s="371"/>
      <c r="O2020" s="371"/>
      <c r="P2020" s="356"/>
      <c r="R2020" s="348" t="str">
        <f t="shared" si="114"/>
        <v>DELETE</v>
      </c>
    </row>
    <row r="2021" spans="2:26" ht="36" customHeight="1" x14ac:dyDescent="0.5">
      <c r="B2021" s="316"/>
      <c r="C2021" s="450"/>
      <c r="D2021" s="456" t="s">
        <v>351</v>
      </c>
      <c r="E2021" s="450"/>
      <c r="F2021" s="450"/>
      <c r="G2021" s="450"/>
      <c r="H2021" s="450"/>
      <c r="I2021" s="450"/>
      <c r="J2021" s="450"/>
      <c r="M2021" s="371"/>
      <c r="N2021" s="371"/>
      <c r="O2021" s="371"/>
      <c r="P2021" s="356"/>
      <c r="R2021" s="348" t="str">
        <f t="shared" si="114"/>
        <v>DELETE</v>
      </c>
    </row>
    <row r="2022" spans="2:26" ht="36" customHeight="1" x14ac:dyDescent="0.5">
      <c r="B2022" s="316"/>
      <c r="C2022" s="450"/>
      <c r="D2022" s="456" t="str">
        <f>Criteria!E20</f>
        <v>28 FEBRUARY 2025</v>
      </c>
      <c r="E2022" s="450"/>
      <c r="F2022" s="450"/>
      <c r="G2022" s="450"/>
      <c r="H2022" s="450"/>
      <c r="I2022" s="450"/>
      <c r="J2022" s="450" t="s">
        <v>231</v>
      </c>
      <c r="M2022" s="371"/>
      <c r="N2022" s="371"/>
      <c r="O2022" s="371"/>
      <c r="P2022" s="356"/>
      <c r="R2022" s="348" t="str">
        <f t="shared" si="114"/>
        <v>DELETE</v>
      </c>
    </row>
    <row r="2023" spans="2:26" ht="36" customHeight="1" x14ac:dyDescent="0.5">
      <c r="B2023" s="316"/>
      <c r="C2023" s="450"/>
      <c r="D2023" s="459"/>
      <c r="E2023" s="450"/>
      <c r="F2023" s="450"/>
      <c r="G2023" s="450"/>
      <c r="H2023" s="450"/>
      <c r="I2023" s="450"/>
      <c r="J2023" s="450"/>
      <c r="M2023" s="310"/>
      <c r="N2023" s="310"/>
      <c r="O2023" s="310"/>
      <c r="P2023" s="356"/>
      <c r="R2023" s="348" t="str">
        <f t="shared" si="114"/>
        <v>DELETE</v>
      </c>
    </row>
    <row r="2024" spans="2:26" ht="36" customHeight="1" x14ac:dyDescent="0.5">
      <c r="B2024" s="447"/>
      <c r="C2024" s="460"/>
      <c r="D2024" s="472"/>
      <c r="E2024" s="460"/>
      <c r="F2024" s="460"/>
      <c r="G2024" s="460"/>
      <c r="H2024" s="460"/>
      <c r="I2024" s="460"/>
      <c r="J2024" s="460"/>
      <c r="K2024" s="364"/>
      <c r="L2024" s="364"/>
      <c r="M2024" s="297"/>
      <c r="N2024" s="297"/>
      <c r="O2024" s="297"/>
      <c r="P2024" s="367"/>
      <c r="Q2024" s="364"/>
      <c r="R2024" s="348" t="str">
        <f t="shared" si="114"/>
        <v>DELETE</v>
      </c>
    </row>
    <row r="2025" spans="2:26" ht="36" customHeight="1" x14ac:dyDescent="0.5">
      <c r="B2025" s="316"/>
      <c r="C2025" s="450"/>
      <c r="D2025" s="459"/>
      <c r="E2025" s="450"/>
      <c r="F2025" s="450"/>
      <c r="G2025" s="450"/>
      <c r="H2025" s="450"/>
      <c r="I2025" s="450"/>
      <c r="J2025" s="450"/>
      <c r="M2025" s="395">
        <f>Criteria!E22</f>
        <v>2025</v>
      </c>
      <c r="N2025" s="395"/>
      <c r="O2025" s="395">
        <f>Criteria!E27</f>
        <v>2024</v>
      </c>
      <c r="P2025" s="356"/>
      <c r="R2025" s="348" t="str">
        <f t="shared" si="114"/>
        <v>DELETE</v>
      </c>
    </row>
    <row r="2026" spans="2:26" ht="36" customHeight="1" x14ac:dyDescent="0.5">
      <c r="B2026" s="316"/>
      <c r="C2026" s="450"/>
      <c r="D2026" s="459"/>
      <c r="E2026" s="450"/>
      <c r="F2026" s="450"/>
      <c r="G2026" s="450"/>
      <c r="H2026" s="450"/>
      <c r="I2026" s="450"/>
      <c r="J2026" s="450"/>
      <c r="M2026" s="310"/>
      <c r="N2026" s="310"/>
      <c r="O2026" s="310"/>
      <c r="P2026" s="356"/>
      <c r="R2026" s="348" t="str">
        <f t="shared" si="114"/>
        <v>DELETE</v>
      </c>
    </row>
    <row r="2027" spans="2:26" ht="36" customHeight="1" x14ac:dyDescent="0.5">
      <c r="B2027" s="316"/>
      <c r="C2027" s="456" t="s">
        <v>1069</v>
      </c>
      <c r="D2027" s="459"/>
      <c r="E2027" s="450"/>
      <c r="F2027" s="450"/>
      <c r="G2027" s="450"/>
      <c r="H2027" s="450"/>
      <c r="I2027" s="450"/>
      <c r="J2027" s="450"/>
      <c r="M2027" s="310"/>
      <c r="N2027" s="310"/>
      <c r="O2027" s="310"/>
      <c r="P2027" s="356"/>
      <c r="R2027" s="348" t="str">
        <f t="shared" si="114"/>
        <v>DELETE</v>
      </c>
    </row>
    <row r="2028" spans="2:26" ht="36" customHeight="1" x14ac:dyDescent="0.5">
      <c r="B2028" s="316"/>
      <c r="C2028" s="456"/>
      <c r="D2028" s="459"/>
      <c r="E2028" s="450"/>
      <c r="F2028" s="450"/>
      <c r="G2028" s="450"/>
      <c r="H2028" s="450"/>
      <c r="I2028" s="450"/>
      <c r="J2028" s="450"/>
      <c r="M2028" s="310"/>
      <c r="N2028" s="310"/>
      <c r="O2028" s="310"/>
      <c r="P2028" s="356"/>
      <c r="R2028" s="348" t="str">
        <f t="shared" si="114"/>
        <v>DELETE</v>
      </c>
    </row>
    <row r="2029" spans="2:26" ht="36" customHeight="1" x14ac:dyDescent="0.5">
      <c r="B2029" s="316"/>
      <c r="C2029" s="473" t="str">
        <f>IF((Y2029+Z2029)=3,"Deferred tax liability/(asset) at the beginning of the year",(IF((Y2029+Z2029=4),"Deferred tax liability at the beginning of the year","Deferred tax asset at the beginning of the year")))</f>
        <v>Deferred tax liability at the beginning of the year</v>
      </c>
      <c r="D2029" s="459"/>
      <c r="E2029" s="450"/>
      <c r="F2029" s="450"/>
      <c r="G2029" s="450"/>
      <c r="H2029" s="450"/>
      <c r="I2029" s="450"/>
      <c r="J2029" s="450"/>
      <c r="M2029" s="310">
        <f>SUM(S2031:S2034)</f>
        <v>0</v>
      </c>
      <c r="N2029" s="310"/>
      <c r="O2029" s="310">
        <f>SUM(U2031:U2034)</f>
        <v>0</v>
      </c>
      <c r="P2029" s="356"/>
      <c r="R2029" s="348" t="str">
        <f t="shared" si="114"/>
        <v>DELETE</v>
      </c>
      <c r="V2029" s="331" t="b">
        <f>M2029=O2058</f>
        <v>1</v>
      </c>
      <c r="Y2029" s="331">
        <f>IF(M2029&lt;0,1,IF(M2029=0,IF(O2029&lt;0,1,2),2))</f>
        <v>2</v>
      </c>
      <c r="Z2029" s="331">
        <f>IF(O2029&lt;0,1,IF(O2029=0,IF(M2029&lt;0,1,2),2))</f>
        <v>2</v>
      </c>
    </row>
    <row r="2030" spans="2:26" ht="9" customHeight="1" x14ac:dyDescent="0.5">
      <c r="B2030" s="316"/>
      <c r="C2030" s="473"/>
      <c r="D2030" s="459"/>
      <c r="E2030" s="450"/>
      <c r="F2030" s="450"/>
      <c r="G2030" s="450"/>
      <c r="H2030" s="450"/>
      <c r="I2030" s="450"/>
      <c r="J2030" s="450"/>
      <c r="M2030" s="310"/>
      <c r="N2030" s="310"/>
      <c r="O2030" s="310"/>
      <c r="P2030" s="356"/>
      <c r="R2030" s="348" t="str">
        <f>R$2029</f>
        <v>DELETE</v>
      </c>
    </row>
    <row r="2031" spans="2:26" ht="9" customHeight="1" x14ac:dyDescent="0.5">
      <c r="B2031" s="316"/>
      <c r="C2031" s="473"/>
      <c r="D2031" s="459"/>
      <c r="E2031" s="450"/>
      <c r="F2031" s="450"/>
      <c r="G2031" s="450"/>
      <c r="H2031" s="450"/>
      <c r="I2031" s="450"/>
      <c r="J2031" s="450"/>
      <c r="M2031" s="398"/>
      <c r="N2031" s="297"/>
      <c r="O2031" s="399"/>
      <c r="P2031" s="356"/>
      <c r="R2031" s="348" t="str">
        <f>R$2029</f>
        <v>DELETE</v>
      </c>
    </row>
    <row r="2032" spans="2:26" ht="36" customHeight="1" x14ac:dyDescent="0.5">
      <c r="B2032" s="316"/>
      <c r="C2032" s="450" t="s">
        <v>1010</v>
      </c>
      <c r="D2032" s="459"/>
      <c r="E2032" s="459"/>
      <c r="F2032" s="450"/>
      <c r="G2032" s="450"/>
      <c r="H2032" s="450"/>
      <c r="I2032" s="450"/>
      <c r="J2032" s="450"/>
      <c r="M2032" s="400">
        <f>-TrialBalance!L221</f>
        <v>0</v>
      </c>
      <c r="N2032" s="310"/>
      <c r="O2032" s="401">
        <f>-TrialBalance!N221</f>
        <v>0</v>
      </c>
      <c r="P2032" s="356"/>
      <c r="R2032" s="348" t="str">
        <f>IF(R2011="DELETE","DELETE",IF(R2033="DELETE"," ",IF(M2032=0,IF(O2032=0,"DELETE"," ")," ")))</f>
        <v>DELETE</v>
      </c>
      <c r="S2032" s="333">
        <f>M2032</f>
        <v>0</v>
      </c>
      <c r="U2032" s="333">
        <f>O2032</f>
        <v>0</v>
      </c>
    </row>
    <row r="2033" spans="2:21" ht="36" customHeight="1" x14ac:dyDescent="0.5">
      <c r="B2033" s="316"/>
      <c r="C2033" s="450" t="s">
        <v>704</v>
      </c>
      <c r="D2033" s="459"/>
      <c r="E2033" s="459"/>
      <c r="F2033" s="450"/>
      <c r="G2033" s="450"/>
      <c r="H2033" s="450"/>
      <c r="I2033" s="450"/>
      <c r="J2033" s="450"/>
      <c r="M2033" s="400">
        <f>-TrialBalance!L222</f>
        <v>0</v>
      </c>
      <c r="N2033" s="310"/>
      <c r="O2033" s="401">
        <f>-TrialBalance!N222</f>
        <v>0</v>
      </c>
      <c r="P2033" s="356"/>
      <c r="R2033" s="348" t="str">
        <f>IF(R2011="DELETE","DELETE",IF(M2033=0,IF(O2033=0,"DELETE"," ")," "))</f>
        <v>DELETE</v>
      </c>
      <c r="S2033" s="333">
        <f>M2033</f>
        <v>0</v>
      </c>
      <c r="U2033" s="333">
        <f>O2033</f>
        <v>0</v>
      </c>
    </row>
    <row r="2034" spans="2:21" ht="9" customHeight="1" x14ac:dyDescent="0.5">
      <c r="B2034" s="316"/>
      <c r="C2034" s="473"/>
      <c r="D2034" s="459"/>
      <c r="E2034" s="450"/>
      <c r="F2034" s="450"/>
      <c r="G2034" s="450"/>
      <c r="H2034" s="450"/>
      <c r="I2034" s="450"/>
      <c r="J2034" s="450"/>
      <c r="M2034" s="402"/>
      <c r="N2034" s="298"/>
      <c r="O2034" s="403"/>
      <c r="P2034" s="356"/>
      <c r="R2034" s="348" t="str">
        <f t="shared" ref="R2034:R2035" si="115">R$2029</f>
        <v>DELETE</v>
      </c>
    </row>
    <row r="2035" spans="2:21" ht="10.5" customHeight="1" x14ac:dyDescent="0.5">
      <c r="B2035" s="316"/>
      <c r="C2035" s="473"/>
      <c r="D2035" s="459"/>
      <c r="E2035" s="450"/>
      <c r="F2035" s="450"/>
      <c r="G2035" s="450"/>
      <c r="H2035" s="450"/>
      <c r="I2035" s="450"/>
      <c r="J2035" s="450"/>
      <c r="M2035" s="310"/>
      <c r="N2035" s="310"/>
      <c r="O2035" s="310"/>
      <c r="P2035" s="356"/>
      <c r="R2035" s="348" t="str">
        <f t="shared" si="115"/>
        <v>DELETE</v>
      </c>
    </row>
    <row r="2036" spans="2:21" ht="36.75" customHeight="1" x14ac:dyDescent="0.5">
      <c r="B2036" s="316"/>
      <c r="C2036" s="473" t="s">
        <v>962</v>
      </c>
      <c r="D2036" s="459"/>
      <c r="E2036" s="450"/>
      <c r="F2036" s="450"/>
      <c r="G2036" s="450"/>
      <c r="H2036" s="450"/>
      <c r="I2036" s="450"/>
      <c r="J2036" s="450"/>
      <c r="M2036" s="310">
        <f>SUM(S2038:S2041)</f>
        <v>0</v>
      </c>
      <c r="N2036" s="310"/>
      <c r="O2036" s="310">
        <f>SUM(U2038:U2041)</f>
        <v>0</v>
      </c>
      <c r="P2036" s="356"/>
      <c r="R2036" s="348" t="str">
        <f>IF(M2036=0,IF(O2036=0,"DELETE"," ")," ")</f>
        <v>DELETE</v>
      </c>
    </row>
    <row r="2037" spans="2:21" ht="9" customHeight="1" x14ac:dyDescent="0.5">
      <c r="B2037" s="316"/>
      <c r="C2037" s="473"/>
      <c r="D2037" s="459"/>
      <c r="E2037" s="450"/>
      <c r="F2037" s="450"/>
      <c r="G2037" s="450"/>
      <c r="H2037" s="450"/>
      <c r="I2037" s="450"/>
      <c r="J2037" s="450"/>
      <c r="M2037" s="310"/>
      <c r="N2037" s="310"/>
      <c r="O2037" s="310"/>
      <c r="P2037" s="356"/>
      <c r="R2037" s="348" t="str">
        <f>R$2036</f>
        <v>DELETE</v>
      </c>
    </row>
    <row r="2038" spans="2:21" ht="9" customHeight="1" x14ac:dyDescent="0.5">
      <c r="B2038" s="316"/>
      <c r="C2038" s="473"/>
      <c r="D2038" s="459"/>
      <c r="E2038" s="450"/>
      <c r="F2038" s="450"/>
      <c r="G2038" s="450"/>
      <c r="H2038" s="450"/>
      <c r="I2038" s="450"/>
      <c r="J2038" s="450"/>
      <c r="M2038" s="398"/>
      <c r="N2038" s="297"/>
      <c r="O2038" s="399"/>
      <c r="P2038" s="356"/>
      <c r="R2038" s="348" t="str">
        <f>R$2036</f>
        <v>DELETE</v>
      </c>
    </row>
    <row r="2039" spans="2:21" ht="36" customHeight="1" x14ac:dyDescent="0.5">
      <c r="B2039" s="316"/>
      <c r="C2039" s="450" t="s">
        <v>1010</v>
      </c>
      <c r="D2039" s="459"/>
      <c r="E2039" s="450"/>
      <c r="F2039" s="450"/>
      <c r="G2039" s="450"/>
      <c r="H2039" s="450"/>
      <c r="I2039" s="450"/>
      <c r="J2039" s="450"/>
      <c r="M2039" s="400">
        <f>-TrialBalance!L223</f>
        <v>0</v>
      </c>
      <c r="N2039" s="310"/>
      <c r="O2039" s="401">
        <f>-TrialBalance!N223</f>
        <v>0</v>
      </c>
      <c r="P2039" s="356"/>
      <c r="R2039" s="348" t="str">
        <f t="shared" ref="R2039:R2040" si="116">IF(M2039=0,IF(O2039=0,"DELETE"," ")," ")</f>
        <v>DELETE</v>
      </c>
      <c r="S2039" s="333">
        <f>M2039</f>
        <v>0</v>
      </c>
      <c r="U2039" s="333">
        <f>O2039</f>
        <v>0</v>
      </c>
    </row>
    <row r="2040" spans="2:21" ht="36" customHeight="1" x14ac:dyDescent="0.5">
      <c r="B2040" s="316"/>
      <c r="C2040" s="450" t="s">
        <v>704</v>
      </c>
      <c r="D2040" s="459"/>
      <c r="E2040" s="450"/>
      <c r="F2040" s="450"/>
      <c r="G2040" s="450"/>
      <c r="H2040" s="450"/>
      <c r="I2040" s="450"/>
      <c r="J2040" s="450"/>
      <c r="M2040" s="400">
        <f>-TrialBalance!L224</f>
        <v>0</v>
      </c>
      <c r="N2040" s="310"/>
      <c r="O2040" s="401">
        <f>-TrialBalance!N224</f>
        <v>0</v>
      </c>
      <c r="P2040" s="356"/>
      <c r="R2040" s="348" t="str">
        <f t="shared" si="116"/>
        <v>DELETE</v>
      </c>
      <c r="S2040" s="333">
        <f>M2040</f>
        <v>0</v>
      </c>
      <c r="U2040" s="333">
        <f>O2040</f>
        <v>0</v>
      </c>
    </row>
    <row r="2041" spans="2:21" ht="9" customHeight="1" x14ac:dyDescent="0.5">
      <c r="B2041" s="316"/>
      <c r="C2041" s="473"/>
      <c r="D2041" s="459"/>
      <c r="E2041" s="450"/>
      <c r="F2041" s="450"/>
      <c r="G2041" s="450"/>
      <c r="H2041" s="450"/>
      <c r="I2041" s="450"/>
      <c r="J2041" s="450"/>
      <c r="M2041" s="402"/>
      <c r="N2041" s="298"/>
      <c r="O2041" s="403"/>
      <c r="P2041" s="356"/>
      <c r="R2041" s="348" t="str">
        <f t="shared" ref="R2041:R2042" si="117">R$2036</f>
        <v>DELETE</v>
      </c>
    </row>
    <row r="2042" spans="2:21" ht="9" customHeight="1" x14ac:dyDescent="0.5">
      <c r="B2042" s="316"/>
      <c r="C2042" s="473"/>
      <c r="D2042" s="459"/>
      <c r="E2042" s="450"/>
      <c r="F2042" s="450"/>
      <c r="G2042" s="450"/>
      <c r="H2042" s="450"/>
      <c r="I2042" s="450"/>
      <c r="J2042" s="450"/>
      <c r="M2042" s="310"/>
      <c r="N2042" s="310"/>
      <c r="O2042" s="310"/>
      <c r="P2042" s="356"/>
      <c r="R2042" s="348" t="str">
        <f t="shared" si="117"/>
        <v>DELETE</v>
      </c>
    </row>
    <row r="2043" spans="2:21" ht="36.75" customHeight="1" x14ac:dyDescent="0.5">
      <c r="B2043" s="316"/>
      <c r="C2043" s="473" t="s">
        <v>788</v>
      </c>
      <c r="D2043" s="459"/>
      <c r="E2043" s="450"/>
      <c r="F2043" s="450"/>
      <c r="G2043" s="450"/>
      <c r="H2043" s="450"/>
      <c r="I2043" s="450"/>
      <c r="J2043" s="450"/>
      <c r="M2043" s="310">
        <f>SUM(S2045:S2048)</f>
        <v>0</v>
      </c>
      <c r="N2043" s="310"/>
      <c r="O2043" s="310">
        <f>SUM(U2045:U2048)</f>
        <v>0</v>
      </c>
      <c r="P2043" s="356"/>
      <c r="R2043" s="348" t="str">
        <f t="shared" ref="R2043" si="118">IF(M2043=0,IF(O2043=0,"DELETE"," ")," ")</f>
        <v>DELETE</v>
      </c>
    </row>
    <row r="2044" spans="2:21" ht="9" customHeight="1" x14ac:dyDescent="0.5">
      <c r="B2044" s="316"/>
      <c r="C2044" s="473"/>
      <c r="D2044" s="459"/>
      <c r="E2044" s="450"/>
      <c r="F2044" s="450"/>
      <c r="G2044" s="450"/>
      <c r="H2044" s="450"/>
      <c r="I2044" s="450"/>
      <c r="J2044" s="450"/>
      <c r="M2044" s="391"/>
      <c r="N2044" s="391"/>
      <c r="O2044" s="391"/>
      <c r="P2044" s="356"/>
      <c r="R2044" s="348" t="str">
        <f>R$2043</f>
        <v>DELETE</v>
      </c>
    </row>
    <row r="2045" spans="2:21" ht="9" customHeight="1" x14ac:dyDescent="0.5">
      <c r="B2045" s="316"/>
      <c r="C2045" s="473"/>
      <c r="D2045" s="459"/>
      <c r="E2045" s="450"/>
      <c r="F2045" s="450"/>
      <c r="G2045" s="450"/>
      <c r="H2045" s="450"/>
      <c r="I2045" s="450"/>
      <c r="J2045" s="450"/>
      <c r="M2045" s="413"/>
      <c r="N2045" s="390"/>
      <c r="O2045" s="414"/>
      <c r="P2045" s="356"/>
      <c r="R2045" s="348" t="str">
        <f>R$2043</f>
        <v>DELETE</v>
      </c>
    </row>
    <row r="2046" spans="2:21" ht="36" customHeight="1" x14ac:dyDescent="0.5">
      <c r="B2046" s="316"/>
      <c r="C2046" s="450" t="s">
        <v>1010</v>
      </c>
      <c r="D2046" s="459"/>
      <c r="E2046" s="450"/>
      <c r="F2046" s="450"/>
      <c r="G2046" s="450"/>
      <c r="H2046" s="450"/>
      <c r="I2046" s="450"/>
      <c r="J2046" s="450"/>
      <c r="M2046" s="404">
        <f>-TrialBalance!L225</f>
        <v>0</v>
      </c>
      <c r="N2046" s="391"/>
      <c r="O2046" s="405">
        <f>-TrialBalance!N225</f>
        <v>0</v>
      </c>
      <c r="P2046" s="356"/>
      <c r="R2046" s="348" t="str">
        <f t="shared" ref="R2046:R2047" si="119">IF(M2046=0,IF(O2046=0,"DELETE"," ")," ")</f>
        <v>DELETE</v>
      </c>
      <c r="S2046" s="333">
        <f>M2046</f>
        <v>0</v>
      </c>
      <c r="U2046" s="333">
        <f>O2046</f>
        <v>0</v>
      </c>
    </row>
    <row r="2047" spans="2:21" ht="36" customHeight="1" x14ac:dyDescent="0.5">
      <c r="B2047" s="316"/>
      <c r="C2047" s="450" t="s">
        <v>704</v>
      </c>
      <c r="D2047" s="459"/>
      <c r="E2047" s="450"/>
      <c r="F2047" s="450"/>
      <c r="G2047" s="450"/>
      <c r="H2047" s="450"/>
      <c r="I2047" s="450"/>
      <c r="J2047" s="450"/>
      <c r="M2047" s="404">
        <f>-TrialBalance!L226</f>
        <v>0</v>
      </c>
      <c r="N2047" s="391"/>
      <c r="O2047" s="405">
        <f>-TrialBalance!N226</f>
        <v>0</v>
      </c>
      <c r="P2047" s="356"/>
      <c r="R2047" s="348" t="str">
        <f t="shared" si="119"/>
        <v>DELETE</v>
      </c>
      <c r="S2047" s="333">
        <f>M2047</f>
        <v>0</v>
      </c>
      <c r="U2047" s="333">
        <f>O2047</f>
        <v>0</v>
      </c>
    </row>
    <row r="2048" spans="2:21" ht="9" customHeight="1" x14ac:dyDescent="0.5">
      <c r="B2048" s="316"/>
      <c r="C2048" s="473"/>
      <c r="D2048" s="459"/>
      <c r="E2048" s="450"/>
      <c r="F2048" s="450"/>
      <c r="G2048" s="450"/>
      <c r="H2048" s="450"/>
      <c r="I2048" s="450"/>
      <c r="J2048" s="450"/>
      <c r="M2048" s="415"/>
      <c r="N2048" s="392"/>
      <c r="O2048" s="416"/>
      <c r="P2048" s="356"/>
      <c r="R2048" s="348" t="str">
        <f t="shared" ref="R2048:R2049" si="120">R$2043</f>
        <v>DELETE</v>
      </c>
    </row>
    <row r="2049" spans="2:26" ht="9" customHeight="1" x14ac:dyDescent="0.5">
      <c r="B2049" s="316"/>
      <c r="C2049" s="473"/>
      <c r="D2049" s="459"/>
      <c r="E2049" s="450"/>
      <c r="F2049" s="450"/>
      <c r="G2049" s="450"/>
      <c r="H2049" s="450"/>
      <c r="I2049" s="450"/>
      <c r="J2049" s="450"/>
      <c r="M2049" s="391"/>
      <c r="N2049" s="391"/>
      <c r="O2049" s="391"/>
      <c r="P2049" s="356"/>
      <c r="R2049" s="348" t="str">
        <f t="shared" si="120"/>
        <v>DELETE</v>
      </c>
    </row>
    <row r="2050" spans="2:26" ht="36.75" customHeight="1" x14ac:dyDescent="0.5">
      <c r="B2050" s="316"/>
      <c r="C2050" s="473" t="s">
        <v>789</v>
      </c>
      <c r="D2050" s="459"/>
      <c r="E2050" s="450"/>
      <c r="F2050" s="450"/>
      <c r="G2050" s="450"/>
      <c r="H2050" s="450"/>
      <c r="I2050" s="450"/>
      <c r="J2050" s="450"/>
      <c r="M2050" s="310">
        <f>SUM(S2052:S2055)</f>
        <v>0</v>
      </c>
      <c r="N2050" s="310"/>
      <c r="O2050" s="310">
        <f>SUM(U2052:U2055)</f>
        <v>0</v>
      </c>
      <c r="P2050" s="356"/>
      <c r="R2050" s="348" t="str">
        <f>IF(M2050=0,IF(O2050=0,"DELETE"," ")," ")</f>
        <v>DELETE</v>
      </c>
    </row>
    <row r="2051" spans="2:26" ht="9" customHeight="1" x14ac:dyDescent="0.5">
      <c r="B2051" s="316"/>
      <c r="C2051" s="473"/>
      <c r="D2051" s="459"/>
      <c r="E2051" s="450"/>
      <c r="F2051" s="450"/>
      <c r="G2051" s="450"/>
      <c r="H2051" s="450"/>
      <c r="I2051" s="450"/>
      <c r="J2051" s="450"/>
      <c r="M2051" s="391"/>
      <c r="N2051" s="391"/>
      <c r="O2051" s="391"/>
      <c r="P2051" s="356"/>
      <c r="R2051" s="348" t="str">
        <f>R$2050</f>
        <v>DELETE</v>
      </c>
    </row>
    <row r="2052" spans="2:26" ht="9" customHeight="1" x14ac:dyDescent="0.5">
      <c r="B2052" s="316"/>
      <c r="C2052" s="473"/>
      <c r="D2052" s="459"/>
      <c r="E2052" s="450"/>
      <c r="F2052" s="450"/>
      <c r="G2052" s="450"/>
      <c r="H2052" s="450"/>
      <c r="I2052" s="450"/>
      <c r="J2052" s="450"/>
      <c r="M2052" s="413"/>
      <c r="N2052" s="390"/>
      <c r="O2052" s="414"/>
      <c r="P2052" s="356"/>
      <c r="R2052" s="348" t="str">
        <f>R$2050</f>
        <v>DELETE</v>
      </c>
    </row>
    <row r="2053" spans="2:26" ht="36" customHeight="1" x14ac:dyDescent="0.5">
      <c r="B2053" s="316"/>
      <c r="C2053" s="450" t="s">
        <v>1010</v>
      </c>
      <c r="D2053" s="459"/>
      <c r="E2053" s="450"/>
      <c r="F2053" s="450"/>
      <c r="G2053" s="450"/>
      <c r="H2053" s="450"/>
      <c r="I2053" s="450"/>
      <c r="J2053" s="450"/>
      <c r="M2053" s="404">
        <f>-TrialBalance!L227</f>
        <v>0</v>
      </c>
      <c r="N2053" s="391"/>
      <c r="O2053" s="405">
        <f>-TrialBalance!N227</f>
        <v>0</v>
      </c>
      <c r="P2053" s="356"/>
      <c r="R2053" s="348" t="str">
        <f t="shared" ref="R2053:R2054" si="121">IF(M2053=0,IF(O2053=0,"DELETE"," ")," ")</f>
        <v>DELETE</v>
      </c>
      <c r="S2053" s="333">
        <f>M2053</f>
        <v>0</v>
      </c>
      <c r="U2053" s="333">
        <f>O2053</f>
        <v>0</v>
      </c>
    </row>
    <row r="2054" spans="2:26" ht="36" customHeight="1" x14ac:dyDescent="0.5">
      <c r="B2054" s="316"/>
      <c r="C2054" s="450" t="s">
        <v>704</v>
      </c>
      <c r="D2054" s="459"/>
      <c r="E2054" s="450"/>
      <c r="F2054" s="450"/>
      <c r="G2054" s="450"/>
      <c r="H2054" s="450"/>
      <c r="I2054" s="450"/>
      <c r="J2054" s="450"/>
      <c r="M2054" s="404">
        <f>-TrialBalance!L228</f>
        <v>0</v>
      </c>
      <c r="N2054" s="391"/>
      <c r="O2054" s="405">
        <f>-TrialBalance!N228</f>
        <v>0</v>
      </c>
      <c r="P2054" s="356"/>
      <c r="R2054" s="348" t="str">
        <f t="shared" si="121"/>
        <v>DELETE</v>
      </c>
      <c r="S2054" s="333">
        <f>M2054</f>
        <v>0</v>
      </c>
      <c r="U2054" s="333">
        <f>O2054</f>
        <v>0</v>
      </c>
    </row>
    <row r="2055" spans="2:26" ht="9" customHeight="1" x14ac:dyDescent="0.5">
      <c r="B2055" s="316"/>
      <c r="C2055" s="473"/>
      <c r="D2055" s="459"/>
      <c r="E2055" s="450"/>
      <c r="F2055" s="450"/>
      <c r="G2055" s="450"/>
      <c r="H2055" s="450"/>
      <c r="I2055" s="450"/>
      <c r="J2055" s="450"/>
      <c r="M2055" s="415"/>
      <c r="N2055" s="392"/>
      <c r="O2055" s="416"/>
      <c r="P2055" s="356"/>
      <c r="R2055" s="348" t="str">
        <f>R$2050</f>
        <v>DELETE</v>
      </c>
    </row>
    <row r="2056" spans="2:26" ht="9" customHeight="1" x14ac:dyDescent="0.5">
      <c r="B2056" s="316"/>
      <c r="C2056" s="450"/>
      <c r="D2056" s="459"/>
      <c r="E2056" s="450"/>
      <c r="F2056" s="450"/>
      <c r="G2056" s="450"/>
      <c r="H2056" s="450"/>
      <c r="I2056" s="450"/>
      <c r="J2056" s="450"/>
      <c r="M2056" s="298"/>
      <c r="N2056" s="298"/>
      <c r="O2056" s="298"/>
      <c r="P2056" s="356"/>
      <c r="R2056" s="348" t="str">
        <f t="shared" ref="R2056:R2061" si="122">R$2011</f>
        <v>DELETE</v>
      </c>
    </row>
    <row r="2057" spans="2:26" ht="9" customHeight="1" x14ac:dyDescent="0.5">
      <c r="B2057" s="316"/>
      <c r="C2057" s="450"/>
      <c r="D2057" s="459"/>
      <c r="E2057" s="450"/>
      <c r="F2057" s="450"/>
      <c r="G2057" s="450"/>
      <c r="H2057" s="450"/>
      <c r="I2057" s="450"/>
      <c r="J2057" s="450"/>
      <c r="M2057" s="310"/>
      <c r="N2057" s="310"/>
      <c r="O2057" s="310"/>
      <c r="P2057" s="356"/>
      <c r="R2057" s="348" t="str">
        <f t="shared" si="122"/>
        <v>DELETE</v>
      </c>
    </row>
    <row r="2058" spans="2:26" ht="36.75" customHeight="1" x14ac:dyDescent="0.5">
      <c r="B2058" s="316"/>
      <c r="C2058" s="473" t="str">
        <f>IF((Y2058+Z2058)=3,"Deferred tax liability/(asset) at the end of the year",(IF((Y2058+Z2058=4),"Deferred tax liability at the end of the year","Deferred tax asset at the end of the year")))</f>
        <v>Deferred tax liability at the end of the year</v>
      </c>
      <c r="D2058" s="459"/>
      <c r="E2058" s="450"/>
      <c r="F2058" s="450"/>
      <c r="G2058" s="450"/>
      <c r="H2058" s="450"/>
      <c r="I2058" s="450"/>
      <c r="J2058" s="450"/>
      <c r="M2058" s="310">
        <f>SUM(S2031:S2055)</f>
        <v>0</v>
      </c>
      <c r="N2058" s="310"/>
      <c r="O2058" s="310">
        <f>SUM(U2031:U2055)</f>
        <v>0</v>
      </c>
      <c r="P2058" s="356"/>
      <c r="R2058" s="348" t="str">
        <f t="shared" si="122"/>
        <v>DELETE</v>
      </c>
      <c r="V2058" s="331" t="b">
        <f>M2058=SUM(M2061:M2064)</f>
        <v>1</v>
      </c>
      <c r="X2058" s="331" t="b">
        <f>O2058=SUM(O2061:O2064)</f>
        <v>1</v>
      </c>
      <c r="Y2058" s="331">
        <f>IF(M2058&lt;0,1,IF(M2058=0,IF(O2058&lt;0,1,2),2))</f>
        <v>2</v>
      </c>
      <c r="Z2058" s="331">
        <f>IF(O2058&lt;0,1,IF(O2058=0,IF(M2058&lt;0,1,2),2))</f>
        <v>2</v>
      </c>
    </row>
    <row r="2059" spans="2:26" ht="9" customHeight="1" thickBot="1" x14ac:dyDescent="0.55000000000000004">
      <c r="B2059" s="316"/>
      <c r="C2059" s="456"/>
      <c r="D2059" s="450"/>
      <c r="E2059" s="450"/>
      <c r="F2059" s="450"/>
      <c r="G2059" s="450"/>
      <c r="H2059" s="450"/>
      <c r="I2059" s="450"/>
      <c r="J2059" s="450"/>
      <c r="M2059" s="299"/>
      <c r="N2059" s="299"/>
      <c r="O2059" s="299"/>
      <c r="P2059" s="356"/>
      <c r="R2059" s="348" t="str">
        <f t="shared" si="122"/>
        <v>DELETE</v>
      </c>
    </row>
    <row r="2060" spans="2:26" ht="9" customHeight="1" thickTop="1" x14ac:dyDescent="0.5">
      <c r="B2060" s="316"/>
      <c r="C2060" s="456"/>
      <c r="D2060" s="450"/>
      <c r="E2060" s="450"/>
      <c r="F2060" s="450"/>
      <c r="G2060" s="450"/>
      <c r="H2060" s="450"/>
      <c r="I2060" s="450"/>
      <c r="J2060" s="450"/>
      <c r="M2060" s="310"/>
      <c r="N2060" s="310"/>
      <c r="O2060" s="310" t="s">
        <v>607</v>
      </c>
      <c r="P2060" s="356"/>
      <c r="R2060" s="348" t="str">
        <f t="shared" si="122"/>
        <v>DELETE</v>
      </c>
    </row>
    <row r="2061" spans="2:26" ht="9" customHeight="1" x14ac:dyDescent="0.5">
      <c r="B2061" s="316"/>
      <c r="C2061" s="456"/>
      <c r="D2061" s="450"/>
      <c r="E2061" s="450"/>
      <c r="F2061" s="450"/>
      <c r="G2061" s="450"/>
      <c r="H2061" s="450"/>
      <c r="I2061" s="450"/>
      <c r="J2061" s="450"/>
      <c r="M2061" s="398"/>
      <c r="N2061" s="297"/>
      <c r="O2061" s="399"/>
      <c r="P2061" s="356"/>
      <c r="R2061" s="348" t="str">
        <f t="shared" si="122"/>
        <v>DELETE</v>
      </c>
    </row>
    <row r="2062" spans="2:26" ht="36" customHeight="1" x14ac:dyDescent="0.5">
      <c r="B2062" s="316"/>
      <c r="C2062" s="450" t="s">
        <v>1010</v>
      </c>
      <c r="D2062" s="450"/>
      <c r="E2062" s="450"/>
      <c r="F2062" s="450"/>
      <c r="G2062" s="450"/>
      <c r="H2062" s="450"/>
      <c r="I2062" s="450"/>
      <c r="J2062" s="450"/>
      <c r="M2062" s="400">
        <f>-TrialBalance!L221-TrialBalance!L223-TrialBalance!L225-TrialBalance!L227</f>
        <v>0</v>
      </c>
      <c r="N2062" s="310"/>
      <c r="O2062" s="401">
        <f>-TrialBalance!N221-TrialBalance!N223-TrialBalance!N225-TrialBalance!N227</f>
        <v>0</v>
      </c>
      <c r="P2062" s="356"/>
      <c r="R2062" s="348" t="str">
        <f>IF(R2011="DELETE","DELETE",IF(R2063="DELETE"," ",IF(M2062=0,IF(O2062=0,"DELETE"," ")," ")))</f>
        <v>DELETE</v>
      </c>
      <c r="S2062" s="333">
        <f>M2062</f>
        <v>0</v>
      </c>
      <c r="U2062" s="333">
        <f>O2062</f>
        <v>0</v>
      </c>
    </row>
    <row r="2063" spans="2:26" ht="36" customHeight="1" x14ac:dyDescent="0.5">
      <c r="B2063" s="316"/>
      <c r="C2063" s="450" t="s">
        <v>704</v>
      </c>
      <c r="D2063" s="450"/>
      <c r="E2063" s="450"/>
      <c r="F2063" s="450"/>
      <c r="G2063" s="450"/>
      <c r="H2063" s="450"/>
      <c r="I2063" s="450"/>
      <c r="J2063" s="450"/>
      <c r="M2063" s="400">
        <f>-TrialBalance!L222-TrialBalance!L224-TrialBalance!L226-TrialBalance!L228</f>
        <v>0</v>
      </c>
      <c r="N2063" s="310"/>
      <c r="O2063" s="401">
        <f>-TrialBalance!N222-TrialBalance!N224-TrialBalance!N226-TrialBalance!N228</f>
        <v>0</v>
      </c>
      <c r="P2063" s="356"/>
      <c r="R2063" s="348" t="str">
        <f>IF(R2011="DELETE","DELETE",IF(M2063=0,IF(O2063=0,"DELETE"," ")," "))</f>
        <v>DELETE</v>
      </c>
      <c r="S2063" s="333">
        <f>M2063</f>
        <v>0</v>
      </c>
      <c r="U2063" s="333">
        <f>O2063</f>
        <v>0</v>
      </c>
    </row>
    <row r="2064" spans="2:26" ht="9" customHeight="1" x14ac:dyDescent="0.5">
      <c r="B2064" s="316"/>
      <c r="C2064" s="456"/>
      <c r="D2064" s="450"/>
      <c r="E2064" s="450"/>
      <c r="F2064" s="450"/>
      <c r="G2064" s="450"/>
      <c r="H2064" s="450"/>
      <c r="I2064" s="450"/>
      <c r="J2064" s="450"/>
      <c r="M2064" s="402"/>
      <c r="N2064" s="298"/>
      <c r="O2064" s="403"/>
      <c r="P2064" s="356"/>
      <c r="R2064" s="348" t="str">
        <f t="shared" ref="R2064:R2069" si="123">R$2011</f>
        <v>DELETE</v>
      </c>
    </row>
    <row r="2065" spans="2:18" ht="9" customHeight="1" x14ac:dyDescent="0.5">
      <c r="B2065" s="316"/>
      <c r="C2065" s="456"/>
      <c r="D2065" s="450"/>
      <c r="E2065" s="450"/>
      <c r="F2065" s="450"/>
      <c r="G2065" s="450"/>
      <c r="H2065" s="450"/>
      <c r="I2065" s="450"/>
      <c r="J2065" s="450"/>
      <c r="M2065" s="310"/>
      <c r="N2065" s="310"/>
      <c r="O2065" s="310"/>
      <c r="P2065" s="356"/>
      <c r="R2065" s="348" t="str">
        <f t="shared" si="123"/>
        <v>DELETE</v>
      </c>
    </row>
    <row r="2066" spans="2:18" ht="36" customHeight="1" x14ac:dyDescent="0.5">
      <c r="B2066" s="316"/>
      <c r="C2066" s="456"/>
      <c r="D2066" s="450"/>
      <c r="E2066" s="450"/>
      <c r="F2066" s="450"/>
      <c r="G2066" s="450"/>
      <c r="H2066" s="450"/>
      <c r="I2066" s="450"/>
      <c r="J2066" s="450"/>
      <c r="M2066" s="310"/>
      <c r="N2066" s="310"/>
      <c r="O2066" s="310"/>
      <c r="P2066" s="356"/>
      <c r="R2066" s="348" t="str">
        <f t="shared" si="123"/>
        <v>DELETE</v>
      </c>
    </row>
    <row r="2067" spans="2:18" ht="36" customHeight="1" x14ac:dyDescent="0.5">
      <c r="B2067" s="316"/>
      <c r="C2067" s="456"/>
      <c r="D2067" s="450"/>
      <c r="E2067" s="450"/>
      <c r="F2067" s="450"/>
      <c r="G2067" s="450"/>
      <c r="H2067" s="450"/>
      <c r="I2067" s="450"/>
      <c r="J2067" s="450"/>
      <c r="M2067" s="310"/>
      <c r="N2067" s="310"/>
      <c r="O2067" s="310"/>
      <c r="P2067" s="356"/>
      <c r="R2067" s="348" t="str">
        <f t="shared" si="123"/>
        <v>DELETE</v>
      </c>
    </row>
    <row r="2068" spans="2:18" ht="36" customHeight="1" x14ac:dyDescent="0.5">
      <c r="B2068" s="316"/>
      <c r="C2068" s="456"/>
      <c r="D2068" s="450"/>
      <c r="E2068" s="450"/>
      <c r="F2068" s="450"/>
      <c r="G2068" s="450"/>
      <c r="H2068" s="450"/>
      <c r="I2068" s="450"/>
      <c r="J2068" s="450"/>
      <c r="M2068" s="310"/>
      <c r="N2068" s="310"/>
      <c r="O2068" s="310"/>
      <c r="P2068" s="356"/>
      <c r="R2068" s="348" t="str">
        <f t="shared" si="123"/>
        <v>DELETE</v>
      </c>
    </row>
    <row r="2069" spans="2:18" ht="36" customHeight="1" x14ac:dyDescent="0.5">
      <c r="B2069" s="354"/>
      <c r="C2069" s="450"/>
      <c r="D2069" s="450"/>
      <c r="E2069" s="450"/>
      <c r="F2069" s="450"/>
      <c r="G2069" s="450"/>
      <c r="H2069" s="450"/>
      <c r="I2069" s="450"/>
      <c r="J2069" s="450"/>
      <c r="M2069" s="351"/>
      <c r="N2069" s="351"/>
      <c r="O2069" s="351"/>
      <c r="R2069" s="348" t="str">
        <f t="shared" si="123"/>
        <v>DELETE</v>
      </c>
    </row>
    <row r="2070" spans="2:18" ht="36" customHeight="1" x14ac:dyDescent="0.5">
      <c r="B2070" s="354"/>
      <c r="C2070" s="450"/>
      <c r="D2070" s="450"/>
      <c r="E2070" s="450"/>
      <c r="F2070" s="450"/>
      <c r="G2070" s="450"/>
      <c r="H2070" s="450"/>
      <c r="I2070" s="450"/>
      <c r="J2070" s="450"/>
      <c r="M2070" s="351"/>
      <c r="N2070" s="351"/>
      <c r="O2070" s="296" t="s">
        <v>89</v>
      </c>
      <c r="Q2070" s="292">
        <f>MAX($Q$105:Q2069)+1</f>
        <v>55</v>
      </c>
      <c r="R2070" s="348" t="str">
        <f>R$2090</f>
        <v>DELETE</v>
      </c>
    </row>
    <row r="2071" spans="2:18" ht="36" customHeight="1" x14ac:dyDescent="0.5">
      <c r="B2071" s="354"/>
      <c r="C2071" s="450"/>
      <c r="D2071" s="456" t="str">
        <f>Criteria!E9</f>
        <v>HOLDING COMPANY 268 (PROPRIETARY) LIMITED</v>
      </c>
      <c r="E2071" s="450"/>
      <c r="F2071" s="450"/>
      <c r="G2071" s="450"/>
      <c r="H2071" s="450"/>
      <c r="I2071" s="450"/>
      <c r="J2071" s="450"/>
      <c r="M2071" s="351"/>
      <c r="N2071" s="351"/>
      <c r="O2071" s="347"/>
      <c r="R2071" s="348" t="str">
        <f t="shared" ref="R2071:R2081" si="124">R$2090</f>
        <v>DELETE</v>
      </c>
    </row>
    <row r="2072" spans="2:18" ht="36" customHeight="1" x14ac:dyDescent="0.5">
      <c r="B2072" s="354"/>
      <c r="C2072" s="450"/>
      <c r="D2072" s="456" t="str">
        <f>Criteria!E10</f>
        <v>CONSOLIDATED FINANCIAL STATEMENTS</v>
      </c>
      <c r="E2072" s="450"/>
      <c r="F2072" s="450"/>
      <c r="G2072" s="450"/>
      <c r="H2072" s="450"/>
      <c r="I2072" s="450"/>
      <c r="J2072" s="450"/>
      <c r="M2072" s="351"/>
      <c r="N2072" s="351"/>
      <c r="O2072" s="351"/>
      <c r="R2072" s="348" t="str">
        <f>IF(R$2090="DELETE","DELETE",IF(D2072=0,"DELETE"," "))</f>
        <v>DELETE</v>
      </c>
    </row>
    <row r="2073" spans="2:18" ht="36" customHeight="1" x14ac:dyDescent="0.5">
      <c r="B2073" s="354"/>
      <c r="C2073" s="450"/>
      <c r="D2073" s="450"/>
      <c r="E2073" s="450"/>
      <c r="F2073" s="450"/>
      <c r="G2073" s="450"/>
      <c r="H2073" s="450"/>
      <c r="I2073" s="450"/>
      <c r="J2073" s="450"/>
      <c r="M2073" s="351"/>
      <c r="N2073" s="351"/>
      <c r="O2073" s="351"/>
      <c r="R2073" s="348" t="str">
        <f t="shared" si="124"/>
        <v>DELETE</v>
      </c>
    </row>
    <row r="2074" spans="2:18" ht="36" customHeight="1" x14ac:dyDescent="0.5">
      <c r="B2074" s="354"/>
      <c r="C2074" s="450"/>
      <c r="D2074" s="456" t="s">
        <v>351</v>
      </c>
      <c r="E2074" s="450"/>
      <c r="F2074" s="450"/>
      <c r="G2074" s="450"/>
      <c r="H2074" s="450"/>
      <c r="I2074" s="450"/>
      <c r="J2074" s="450"/>
      <c r="M2074" s="351"/>
      <c r="N2074" s="351"/>
      <c r="O2074" s="351"/>
      <c r="R2074" s="348" t="str">
        <f t="shared" si="124"/>
        <v>DELETE</v>
      </c>
    </row>
    <row r="2075" spans="2:18" ht="36" customHeight="1" x14ac:dyDescent="0.5">
      <c r="B2075" s="354"/>
      <c r="C2075" s="450"/>
      <c r="D2075" s="456" t="str">
        <f>Criteria!E20</f>
        <v>28 FEBRUARY 2025</v>
      </c>
      <c r="E2075" s="450"/>
      <c r="F2075" s="450"/>
      <c r="G2075" s="450"/>
      <c r="H2075" s="450"/>
      <c r="I2075" s="450"/>
      <c r="J2075" s="450" t="s">
        <v>231</v>
      </c>
      <c r="M2075" s="351"/>
      <c r="N2075" s="351"/>
      <c r="O2075" s="351"/>
      <c r="R2075" s="348" t="str">
        <f t="shared" si="124"/>
        <v>DELETE</v>
      </c>
    </row>
    <row r="2076" spans="2:18" ht="36" customHeight="1" x14ac:dyDescent="0.5">
      <c r="B2076" s="354"/>
      <c r="C2076" s="450"/>
      <c r="D2076" s="456"/>
      <c r="E2076" s="450"/>
      <c r="F2076" s="450"/>
      <c r="G2076" s="450"/>
      <c r="H2076" s="450"/>
      <c r="I2076" s="450"/>
      <c r="J2076" s="450"/>
      <c r="M2076" s="351"/>
      <c r="N2076" s="351"/>
      <c r="O2076" s="351"/>
      <c r="R2076" s="348" t="str">
        <f t="shared" si="124"/>
        <v>DELETE</v>
      </c>
    </row>
    <row r="2077" spans="2:18" ht="36" customHeight="1" x14ac:dyDescent="0.5">
      <c r="B2077" s="447"/>
      <c r="C2077" s="465"/>
      <c r="D2077" s="460"/>
      <c r="E2077" s="460"/>
      <c r="F2077" s="460"/>
      <c r="G2077" s="460"/>
      <c r="H2077" s="460"/>
      <c r="I2077" s="460"/>
      <c r="J2077" s="460"/>
      <c r="K2077" s="364"/>
      <c r="L2077" s="364"/>
      <c r="M2077" s="297"/>
      <c r="N2077" s="297"/>
      <c r="O2077" s="297"/>
      <c r="P2077" s="367"/>
      <c r="Q2077" s="364"/>
      <c r="R2077" s="348" t="str">
        <f t="shared" si="124"/>
        <v>DELETE</v>
      </c>
    </row>
    <row r="2078" spans="2:18" ht="36" customHeight="1" x14ac:dyDescent="0.5">
      <c r="B2078" s="316"/>
      <c r="C2078" s="456"/>
      <c r="D2078" s="450"/>
      <c r="E2078" s="450"/>
      <c r="F2078" s="450"/>
      <c r="G2078" s="450"/>
      <c r="H2078" s="450"/>
      <c r="I2078" s="450"/>
      <c r="J2078" s="450"/>
      <c r="M2078" s="294">
        <f>Criteria!E22</f>
        <v>2025</v>
      </c>
      <c r="N2078" s="294"/>
      <c r="O2078" s="294">
        <f>Criteria!E27</f>
        <v>2024</v>
      </c>
      <c r="R2078" s="348" t="str">
        <f t="shared" si="124"/>
        <v>DELETE</v>
      </c>
    </row>
    <row r="2079" spans="2:18" ht="36" customHeight="1" x14ac:dyDescent="0.5">
      <c r="B2079" s="316"/>
      <c r="C2079" s="456"/>
      <c r="D2079" s="450"/>
      <c r="E2079" s="450"/>
      <c r="F2079" s="450"/>
      <c r="G2079" s="450"/>
      <c r="H2079" s="450"/>
      <c r="I2079" s="450"/>
      <c r="J2079" s="450"/>
      <c r="M2079" s="296"/>
      <c r="N2079" s="296"/>
      <c r="O2079" s="296"/>
      <c r="R2079" s="348" t="str">
        <f t="shared" si="124"/>
        <v>DELETE</v>
      </c>
    </row>
    <row r="2080" spans="2:18" ht="36" customHeight="1" x14ac:dyDescent="0.5">
      <c r="B2080" s="316">
        <f>MAX(B$602:B2079)+1</f>
        <v>25</v>
      </c>
      <c r="C2080" s="456" t="s">
        <v>684</v>
      </c>
      <c r="D2080" s="450"/>
      <c r="E2080" s="450"/>
      <c r="F2080" s="450"/>
      <c r="G2080" s="450"/>
      <c r="H2080" s="450"/>
      <c r="I2080" s="450"/>
      <c r="J2080" s="450"/>
      <c r="M2080" s="296"/>
      <c r="N2080" s="296"/>
      <c r="O2080" s="296"/>
      <c r="R2080" s="348" t="str">
        <f t="shared" si="124"/>
        <v>DELETE</v>
      </c>
    </row>
    <row r="2081" spans="2:18" ht="36" customHeight="1" x14ac:dyDescent="0.5">
      <c r="B2081" s="316"/>
      <c r="C2081" s="456"/>
      <c r="D2081" s="450"/>
      <c r="E2081" s="450"/>
      <c r="F2081" s="450"/>
      <c r="G2081" s="450"/>
      <c r="H2081" s="450"/>
      <c r="I2081" s="450"/>
      <c r="J2081" s="450"/>
      <c r="M2081" s="296"/>
      <c r="N2081" s="296"/>
      <c r="O2081" s="296"/>
      <c r="R2081" s="348" t="str">
        <f t="shared" si="124"/>
        <v>DELETE</v>
      </c>
    </row>
    <row r="2082" spans="2:18" ht="36" customHeight="1" x14ac:dyDescent="0.5">
      <c r="B2082" s="316"/>
      <c r="C2082" s="450" t="s">
        <v>394</v>
      </c>
      <c r="D2082" s="459"/>
      <c r="E2082" s="450"/>
      <c r="F2082" s="450"/>
      <c r="G2082" s="450"/>
      <c r="H2082" s="450"/>
      <c r="I2082" s="450"/>
      <c r="J2082" s="450"/>
      <c r="M2082" s="296">
        <f>-TrialBalance!L380-TrialBalance!L379</f>
        <v>0</v>
      </c>
      <c r="N2082" s="296"/>
      <c r="O2082" s="296">
        <f>-TrialBalance!N380-TrialBalance!N379</f>
        <v>0</v>
      </c>
      <c r="R2082" s="348" t="str">
        <f t="shared" ref="R2082:R2087" si="125">IF(M2082+O2082=0,"DELETE"," ")</f>
        <v>DELETE</v>
      </c>
    </row>
    <row r="2083" spans="2:18" ht="36" customHeight="1" x14ac:dyDescent="0.5">
      <c r="B2083" s="316"/>
      <c r="C2083" s="450" t="s">
        <v>538</v>
      </c>
      <c r="D2083" s="459"/>
      <c r="E2083" s="450"/>
      <c r="F2083" s="450"/>
      <c r="G2083" s="450"/>
      <c r="H2083" s="450"/>
      <c r="I2083" s="450"/>
      <c r="J2083" s="450"/>
      <c r="M2083" s="296">
        <f>-TrialBalance!L381</f>
        <v>0</v>
      </c>
      <c r="N2083" s="296"/>
      <c r="O2083" s="296">
        <f>-TrialBalance!N381</f>
        <v>0</v>
      </c>
      <c r="R2083" s="348" t="str">
        <f t="shared" si="125"/>
        <v>DELETE</v>
      </c>
    </row>
    <row r="2084" spans="2:18" ht="36" customHeight="1" x14ac:dyDescent="0.5">
      <c r="B2084" s="316"/>
      <c r="C2084" s="450" t="s">
        <v>706</v>
      </c>
      <c r="D2084" s="459"/>
      <c r="E2084" s="450"/>
      <c r="F2084" s="450"/>
      <c r="G2084" s="450"/>
      <c r="H2084" s="450"/>
      <c r="I2084" s="450"/>
      <c r="J2084" s="450"/>
      <c r="M2084" s="296">
        <f>-TrialBalance!L382</f>
        <v>0</v>
      </c>
      <c r="N2084" s="296"/>
      <c r="O2084" s="296">
        <f>-TrialBalance!N382</f>
        <v>0</v>
      </c>
      <c r="R2084" s="348" t="str">
        <f t="shared" si="125"/>
        <v>DELETE</v>
      </c>
    </row>
    <row r="2085" spans="2:18" ht="36" customHeight="1" x14ac:dyDescent="0.5">
      <c r="B2085" s="316"/>
      <c r="C2085" s="450" t="s">
        <v>539</v>
      </c>
      <c r="D2085" s="459"/>
      <c r="E2085" s="450"/>
      <c r="F2085" s="450"/>
      <c r="G2085" s="450"/>
      <c r="H2085" s="450"/>
      <c r="I2085" s="450"/>
      <c r="J2085" s="450"/>
      <c r="M2085" s="296">
        <f>-TrialBalance!L383</f>
        <v>0</v>
      </c>
      <c r="N2085" s="296"/>
      <c r="O2085" s="296">
        <f>-TrialBalance!N383</f>
        <v>0</v>
      </c>
      <c r="R2085" s="348" t="str">
        <f t="shared" si="125"/>
        <v>DELETE</v>
      </c>
    </row>
    <row r="2086" spans="2:18" ht="36" customHeight="1" x14ac:dyDescent="0.5">
      <c r="B2086" s="316"/>
      <c r="C2086" s="450" t="s">
        <v>701</v>
      </c>
      <c r="D2086" s="459"/>
      <c r="E2086" s="450"/>
      <c r="F2086" s="450"/>
      <c r="G2086" s="450"/>
      <c r="H2086" s="450"/>
      <c r="I2086" s="450"/>
      <c r="J2086" s="450"/>
      <c r="M2086" s="296">
        <f>-TrialBalance!L384</f>
        <v>0</v>
      </c>
      <c r="N2086" s="296"/>
      <c r="O2086" s="296">
        <f>-TrialBalance!N384</f>
        <v>0</v>
      </c>
      <c r="R2086" s="348" t="str">
        <f t="shared" si="125"/>
        <v>DELETE</v>
      </c>
    </row>
    <row r="2087" spans="2:18" ht="36" customHeight="1" x14ac:dyDescent="0.5">
      <c r="B2087" s="316"/>
      <c r="C2087" s="450" t="s">
        <v>524</v>
      </c>
      <c r="D2087" s="459"/>
      <c r="E2087" s="450"/>
      <c r="F2087" s="450"/>
      <c r="G2087" s="450"/>
      <c r="H2087" s="450"/>
      <c r="I2087" s="450"/>
      <c r="J2087" s="450"/>
      <c r="M2087" s="296">
        <f>IF(TrialBalance!L399&lt;0,-TrialBalance!L399,0)</f>
        <v>0</v>
      </c>
      <c r="N2087" s="296"/>
      <c r="O2087" s="296">
        <f>IF(TrialBalance!N399&lt;0,-TrialBalance!N399,0)</f>
        <v>0</v>
      </c>
      <c r="R2087" s="348" t="str">
        <f t="shared" si="125"/>
        <v>DELETE</v>
      </c>
    </row>
    <row r="2088" spans="2:18" ht="9" customHeight="1" x14ac:dyDescent="0.5">
      <c r="B2088" s="316"/>
      <c r="C2088" s="456"/>
      <c r="D2088" s="450"/>
      <c r="E2088" s="450"/>
      <c r="F2088" s="450"/>
      <c r="G2088" s="450"/>
      <c r="H2088" s="450"/>
      <c r="I2088" s="450"/>
      <c r="J2088" s="450"/>
      <c r="M2088" s="298"/>
      <c r="N2088" s="298"/>
      <c r="O2088" s="298"/>
      <c r="R2088" s="348" t="str">
        <f t="shared" ref="R2088:R2096" si="126">R$2090</f>
        <v>DELETE</v>
      </c>
    </row>
    <row r="2089" spans="2:18" ht="9" customHeight="1" x14ac:dyDescent="0.5">
      <c r="B2089" s="316"/>
      <c r="C2089" s="456"/>
      <c r="D2089" s="450"/>
      <c r="E2089" s="450"/>
      <c r="F2089" s="450"/>
      <c r="G2089" s="450"/>
      <c r="H2089" s="450"/>
      <c r="I2089" s="450"/>
      <c r="J2089" s="450"/>
      <c r="M2089" s="296"/>
      <c r="N2089" s="296"/>
      <c r="O2089" s="296"/>
      <c r="R2089" s="348" t="str">
        <f t="shared" si="126"/>
        <v>DELETE</v>
      </c>
    </row>
    <row r="2090" spans="2:18" ht="36.75" customHeight="1" x14ac:dyDescent="0.5">
      <c r="B2090" s="316"/>
      <c r="C2090" s="456"/>
      <c r="D2090" s="450"/>
      <c r="E2090" s="450"/>
      <c r="F2090" s="450"/>
      <c r="G2090" s="450"/>
      <c r="H2090" s="450"/>
      <c r="I2090" s="450"/>
      <c r="J2090" s="450"/>
      <c r="M2090" s="296">
        <f>SUM(M2082:M2089)</f>
        <v>0</v>
      </c>
      <c r="N2090" s="296"/>
      <c r="O2090" s="296">
        <f>SUM(O2082:O2089)</f>
        <v>0</v>
      </c>
      <c r="R2090" s="348" t="str">
        <f>IF(M2090+O2090=0,"DELETE"," ")</f>
        <v>DELETE</v>
      </c>
    </row>
    <row r="2091" spans="2:18" ht="9" customHeight="1" thickBot="1" x14ac:dyDescent="0.55000000000000004">
      <c r="B2091" s="316"/>
      <c r="C2091" s="456"/>
      <c r="D2091" s="450"/>
      <c r="E2091" s="450"/>
      <c r="F2091" s="450"/>
      <c r="G2091" s="450"/>
      <c r="H2091" s="450"/>
      <c r="I2091" s="450"/>
      <c r="J2091" s="450"/>
      <c r="M2091" s="299"/>
      <c r="N2091" s="299"/>
      <c r="O2091" s="299"/>
      <c r="R2091" s="348" t="str">
        <f t="shared" si="126"/>
        <v>DELETE</v>
      </c>
    </row>
    <row r="2092" spans="2:18" ht="9" customHeight="1" thickTop="1" x14ac:dyDescent="0.5">
      <c r="B2092" s="316"/>
      <c r="C2092" s="456"/>
      <c r="D2092" s="450"/>
      <c r="E2092" s="450"/>
      <c r="F2092" s="450"/>
      <c r="G2092" s="450"/>
      <c r="H2092" s="450"/>
      <c r="I2092" s="450"/>
      <c r="J2092" s="450"/>
      <c r="M2092" s="310"/>
      <c r="N2092" s="310"/>
      <c r="O2092" s="310"/>
      <c r="R2092" s="348" t="str">
        <f t="shared" si="126"/>
        <v>DELETE</v>
      </c>
    </row>
    <row r="2093" spans="2:18" ht="36" customHeight="1" x14ac:dyDescent="0.5">
      <c r="B2093" s="316"/>
      <c r="C2093" s="456"/>
      <c r="D2093" s="450"/>
      <c r="E2093" s="450"/>
      <c r="F2093" s="450"/>
      <c r="G2093" s="450"/>
      <c r="H2093" s="450"/>
      <c r="I2093" s="450"/>
      <c r="J2093" s="450"/>
      <c r="M2093" s="296"/>
      <c r="N2093" s="296"/>
      <c r="O2093" s="296"/>
      <c r="R2093" s="348" t="str">
        <f t="shared" si="126"/>
        <v>DELETE</v>
      </c>
    </row>
    <row r="2094" spans="2:18" ht="36" customHeight="1" x14ac:dyDescent="0.5">
      <c r="B2094" s="316"/>
      <c r="C2094" s="456"/>
      <c r="D2094" s="450"/>
      <c r="E2094" s="450"/>
      <c r="F2094" s="450"/>
      <c r="G2094" s="450"/>
      <c r="H2094" s="450"/>
      <c r="I2094" s="450"/>
      <c r="J2094" s="450"/>
      <c r="M2094" s="296"/>
      <c r="N2094" s="296"/>
      <c r="O2094" s="296"/>
      <c r="R2094" s="348" t="str">
        <f t="shared" si="126"/>
        <v>DELETE</v>
      </c>
    </row>
    <row r="2095" spans="2:18" ht="36" customHeight="1" x14ac:dyDescent="0.5">
      <c r="B2095" s="316"/>
      <c r="C2095" s="456"/>
      <c r="D2095" s="450"/>
      <c r="E2095" s="450"/>
      <c r="F2095" s="450"/>
      <c r="G2095" s="450"/>
      <c r="H2095" s="450"/>
      <c r="I2095" s="450"/>
      <c r="J2095" s="450"/>
      <c r="M2095" s="310"/>
      <c r="N2095" s="310"/>
      <c r="O2095" s="310"/>
      <c r="P2095" s="356"/>
      <c r="R2095" s="348" t="str">
        <f t="shared" si="126"/>
        <v>DELETE</v>
      </c>
    </row>
    <row r="2096" spans="2:18" ht="36" customHeight="1" x14ac:dyDescent="0.5">
      <c r="B2096" s="316"/>
      <c r="C2096" s="456"/>
      <c r="D2096" s="450"/>
      <c r="E2096" s="450"/>
      <c r="F2096" s="450"/>
      <c r="G2096" s="450"/>
      <c r="H2096" s="450"/>
      <c r="I2096" s="450"/>
      <c r="J2096" s="450"/>
      <c r="M2096" s="296"/>
      <c r="N2096" s="296"/>
      <c r="O2096" s="296"/>
      <c r="R2096" s="348" t="str">
        <f t="shared" si="126"/>
        <v>DELETE</v>
      </c>
    </row>
    <row r="2097" spans="2:18" ht="36" customHeight="1" x14ac:dyDescent="0.5">
      <c r="B2097" s="354"/>
      <c r="C2097" s="450"/>
      <c r="D2097" s="450"/>
      <c r="E2097" s="450"/>
      <c r="F2097" s="450"/>
      <c r="G2097" s="450"/>
      <c r="H2097" s="450"/>
      <c r="I2097" s="450"/>
      <c r="J2097" s="450"/>
      <c r="M2097" s="351"/>
      <c r="N2097" s="351"/>
      <c r="O2097" s="296" t="s">
        <v>89</v>
      </c>
      <c r="Q2097" s="292">
        <f>MAX($Q$105:Q2096)+1</f>
        <v>56</v>
      </c>
      <c r="R2097" s="348" t="str">
        <f>R$2117</f>
        <v>DELETE</v>
      </c>
    </row>
    <row r="2098" spans="2:18" ht="36" customHeight="1" x14ac:dyDescent="0.5">
      <c r="B2098" s="354"/>
      <c r="C2098" s="450"/>
      <c r="D2098" s="456" t="str">
        <f>Criteria!E9</f>
        <v>HOLDING COMPANY 268 (PROPRIETARY) LIMITED</v>
      </c>
      <c r="E2098" s="450"/>
      <c r="F2098" s="450"/>
      <c r="G2098" s="450"/>
      <c r="H2098" s="450"/>
      <c r="I2098" s="450"/>
      <c r="J2098" s="450"/>
      <c r="M2098" s="351"/>
      <c r="N2098" s="351"/>
      <c r="O2098" s="347"/>
      <c r="R2098" s="348" t="str">
        <f t="shared" ref="R2098:R2108" si="127">R$2117</f>
        <v>DELETE</v>
      </c>
    </row>
    <row r="2099" spans="2:18" ht="36" customHeight="1" x14ac:dyDescent="0.5">
      <c r="B2099" s="354"/>
      <c r="C2099" s="450"/>
      <c r="D2099" s="456" t="str">
        <f>Criteria!E10</f>
        <v>CONSOLIDATED FINANCIAL STATEMENTS</v>
      </c>
      <c r="E2099" s="450"/>
      <c r="F2099" s="450"/>
      <c r="G2099" s="450"/>
      <c r="H2099" s="450"/>
      <c r="I2099" s="450"/>
      <c r="J2099" s="450"/>
      <c r="M2099" s="351"/>
      <c r="N2099" s="351"/>
      <c r="O2099" s="351"/>
      <c r="R2099" s="348" t="str">
        <f>IF(R$2117="DELETE","DELETE",IF(D2099=0,"DELETE"," "))</f>
        <v>DELETE</v>
      </c>
    </row>
    <row r="2100" spans="2:18" ht="36" customHeight="1" x14ac:dyDescent="0.5">
      <c r="B2100" s="354"/>
      <c r="C2100" s="450"/>
      <c r="D2100" s="450"/>
      <c r="E2100" s="450"/>
      <c r="F2100" s="450"/>
      <c r="G2100" s="450"/>
      <c r="H2100" s="450"/>
      <c r="I2100" s="450"/>
      <c r="J2100" s="450"/>
      <c r="M2100" s="351"/>
      <c r="N2100" s="351"/>
      <c r="O2100" s="351"/>
      <c r="R2100" s="348" t="str">
        <f t="shared" si="127"/>
        <v>DELETE</v>
      </c>
    </row>
    <row r="2101" spans="2:18" ht="36" customHeight="1" x14ac:dyDescent="0.5">
      <c r="B2101" s="354"/>
      <c r="C2101" s="450"/>
      <c r="D2101" s="456" t="s">
        <v>351</v>
      </c>
      <c r="E2101" s="450"/>
      <c r="F2101" s="450"/>
      <c r="G2101" s="450"/>
      <c r="H2101" s="450"/>
      <c r="I2101" s="450"/>
      <c r="J2101" s="450"/>
      <c r="M2101" s="351"/>
      <c r="N2101" s="351"/>
      <c r="O2101" s="351"/>
      <c r="R2101" s="348" t="str">
        <f t="shared" si="127"/>
        <v>DELETE</v>
      </c>
    </row>
    <row r="2102" spans="2:18" ht="36" customHeight="1" x14ac:dyDescent="0.5">
      <c r="B2102" s="354"/>
      <c r="C2102" s="450"/>
      <c r="D2102" s="456" t="str">
        <f>Criteria!E20</f>
        <v>28 FEBRUARY 2025</v>
      </c>
      <c r="E2102" s="450"/>
      <c r="F2102" s="450"/>
      <c r="G2102" s="450"/>
      <c r="H2102" s="450"/>
      <c r="I2102" s="450"/>
      <c r="J2102" s="450" t="s">
        <v>231</v>
      </c>
      <c r="M2102" s="351"/>
      <c r="N2102" s="351"/>
      <c r="O2102" s="351"/>
      <c r="R2102" s="348" t="str">
        <f t="shared" si="127"/>
        <v>DELETE</v>
      </c>
    </row>
    <row r="2103" spans="2:18" ht="36" customHeight="1" x14ac:dyDescent="0.5">
      <c r="B2103" s="354"/>
      <c r="C2103" s="450"/>
      <c r="D2103" s="450"/>
      <c r="E2103" s="450"/>
      <c r="F2103" s="450"/>
      <c r="G2103" s="450"/>
      <c r="H2103" s="450"/>
      <c r="I2103" s="450"/>
      <c r="J2103" s="450"/>
      <c r="M2103" s="372"/>
      <c r="N2103" s="372"/>
      <c r="O2103" s="372"/>
      <c r="R2103" s="348" t="str">
        <f t="shared" si="127"/>
        <v>DELETE</v>
      </c>
    </row>
    <row r="2104" spans="2:18" ht="36" customHeight="1" x14ac:dyDescent="0.5">
      <c r="B2104" s="368"/>
      <c r="C2104" s="460"/>
      <c r="D2104" s="460"/>
      <c r="E2104" s="460"/>
      <c r="F2104" s="460"/>
      <c r="G2104" s="460"/>
      <c r="H2104" s="460"/>
      <c r="I2104" s="460"/>
      <c r="J2104" s="460"/>
      <c r="K2104" s="364"/>
      <c r="L2104" s="364"/>
      <c r="M2104" s="378"/>
      <c r="N2104" s="378"/>
      <c r="O2104" s="378"/>
      <c r="P2104" s="367"/>
      <c r="Q2104" s="364"/>
      <c r="R2104" s="348" t="str">
        <f t="shared" si="127"/>
        <v>DELETE</v>
      </c>
    </row>
    <row r="2105" spans="2:18" ht="36" customHeight="1" x14ac:dyDescent="0.5">
      <c r="B2105" s="354"/>
      <c r="C2105" s="450"/>
      <c r="D2105" s="450"/>
      <c r="E2105" s="450"/>
      <c r="F2105" s="450"/>
      <c r="G2105" s="450"/>
      <c r="H2105" s="450"/>
      <c r="I2105" s="450"/>
      <c r="J2105" s="450"/>
      <c r="M2105" s="294">
        <f>Criteria!E22</f>
        <v>2025</v>
      </c>
      <c r="N2105" s="294"/>
      <c r="O2105" s="294">
        <f>Criteria!E27</f>
        <v>2024</v>
      </c>
      <c r="R2105" s="348" t="str">
        <f t="shared" si="127"/>
        <v>DELETE</v>
      </c>
    </row>
    <row r="2106" spans="2:18" ht="36" customHeight="1" x14ac:dyDescent="0.5">
      <c r="B2106" s="316"/>
      <c r="C2106" s="456"/>
      <c r="D2106" s="450"/>
      <c r="E2106" s="450"/>
      <c r="F2106" s="450"/>
      <c r="G2106" s="450"/>
      <c r="H2106" s="450"/>
      <c r="I2106" s="450"/>
      <c r="J2106" s="450"/>
      <c r="M2106" s="296"/>
      <c r="N2106" s="296"/>
      <c r="O2106" s="296"/>
      <c r="R2106" s="348" t="str">
        <f t="shared" si="127"/>
        <v>DELETE</v>
      </c>
    </row>
    <row r="2107" spans="2:18" ht="36" customHeight="1" x14ac:dyDescent="0.5">
      <c r="B2107" s="316">
        <f>MAX(B$602:B2106)+1</f>
        <v>26</v>
      </c>
      <c r="C2107" s="456" t="str">
        <f>IF(COUNTIF(TrialBalance!N367:N372,"&lt;0")&gt;1,"Bank overdrafts",IF(COUNTIF(TrialBalance!L367:L372,"&lt;0")&gt;1,"Bank overdrafts","Bank overdraft"))</f>
        <v>Bank overdraft</v>
      </c>
      <c r="D2107" s="450"/>
      <c r="E2107" s="450"/>
      <c r="F2107" s="450"/>
      <c r="G2107" s="450"/>
      <c r="H2107" s="450"/>
      <c r="I2107" s="450"/>
      <c r="J2107" s="450"/>
      <c r="M2107" s="296"/>
      <c r="N2107" s="296"/>
      <c r="O2107" s="296"/>
      <c r="R2107" s="348" t="str">
        <f t="shared" si="127"/>
        <v>DELETE</v>
      </c>
    </row>
    <row r="2108" spans="2:18" ht="36" customHeight="1" x14ac:dyDescent="0.5">
      <c r="B2108" s="316"/>
      <c r="C2108" s="456"/>
      <c r="D2108" s="450"/>
      <c r="E2108" s="450"/>
      <c r="F2108" s="450"/>
      <c r="G2108" s="450"/>
      <c r="H2108" s="450"/>
      <c r="I2108" s="450"/>
      <c r="J2108" s="450"/>
      <c r="M2108" s="296"/>
      <c r="N2108" s="296"/>
      <c r="O2108" s="296"/>
      <c r="R2108" s="348" t="str">
        <f t="shared" si="127"/>
        <v>DELETE</v>
      </c>
    </row>
    <row r="2109" spans="2:18" ht="36" customHeight="1" x14ac:dyDescent="0.5">
      <c r="B2109" s="316"/>
      <c r="C2109" s="450">
        <f>TrialBalance!C367</f>
        <v>0</v>
      </c>
      <c r="D2109" s="459"/>
      <c r="E2109" s="450"/>
      <c r="F2109" s="450"/>
      <c r="G2109" s="450"/>
      <c r="H2109" s="450"/>
      <c r="I2109" s="450"/>
      <c r="J2109" s="450"/>
      <c r="M2109" s="296">
        <f>IF(TrialBalance!L367&lt;0,-TrialBalance!L367,0)</f>
        <v>0</v>
      </c>
      <c r="N2109" s="296"/>
      <c r="O2109" s="296">
        <f>IF(TrialBalance!N367&lt;0,-TrialBalance!N367,0)</f>
        <v>0</v>
      </c>
      <c r="R2109" s="348" t="str">
        <f>IF(M2109+O2109=0,"DELETE"," ")</f>
        <v>DELETE</v>
      </c>
    </row>
    <row r="2110" spans="2:18" ht="36" customHeight="1" x14ac:dyDescent="0.5">
      <c r="B2110" s="316"/>
      <c r="C2110" s="450">
        <f>TrialBalance!C368</f>
        <v>0</v>
      </c>
      <c r="D2110" s="459"/>
      <c r="E2110" s="450"/>
      <c r="F2110" s="450"/>
      <c r="G2110" s="450"/>
      <c r="H2110" s="450"/>
      <c r="I2110" s="450"/>
      <c r="J2110" s="450"/>
      <c r="M2110" s="296">
        <f>IF(TrialBalance!L368&lt;0,-TrialBalance!L368,0)</f>
        <v>0</v>
      </c>
      <c r="N2110" s="296"/>
      <c r="O2110" s="296">
        <f>IF(TrialBalance!N368&lt;0,-TrialBalance!N368,0)</f>
        <v>0</v>
      </c>
      <c r="R2110" s="348" t="str">
        <f>IF(M2110+O2110=0,"DELETE"," ")</f>
        <v>DELETE</v>
      </c>
    </row>
    <row r="2111" spans="2:18" ht="36" customHeight="1" x14ac:dyDescent="0.5">
      <c r="B2111" s="316"/>
      <c r="C2111" s="450">
        <f>TrialBalance!C369</f>
        <v>0</v>
      </c>
      <c r="D2111" s="459"/>
      <c r="E2111" s="450"/>
      <c r="F2111" s="450"/>
      <c r="G2111" s="450"/>
      <c r="H2111" s="450"/>
      <c r="I2111" s="450"/>
      <c r="J2111" s="450"/>
      <c r="M2111" s="296">
        <f>IF(TrialBalance!L369&lt;0,-TrialBalance!L369,0)</f>
        <v>0</v>
      </c>
      <c r="N2111" s="296"/>
      <c r="O2111" s="296">
        <f>IF(TrialBalance!N369&lt;0,-TrialBalance!N369,0)</f>
        <v>0</v>
      </c>
      <c r="R2111" s="348" t="str">
        <f>IF(M2111+O2111=0,"DELETE"," ")</f>
        <v>DELETE</v>
      </c>
    </row>
    <row r="2112" spans="2:18" ht="36" customHeight="1" x14ac:dyDescent="0.5">
      <c r="B2112" s="316"/>
      <c r="C2112" s="450">
        <f>TrialBalance!C370</f>
        <v>0</v>
      </c>
      <c r="D2112" s="459"/>
      <c r="E2112" s="450"/>
      <c r="F2112" s="450"/>
      <c r="G2112" s="450"/>
      <c r="H2112" s="450"/>
      <c r="I2112" s="450"/>
      <c r="J2112" s="450"/>
      <c r="M2112" s="296">
        <f>IF(TrialBalance!L370&lt;0,-TrialBalance!L370,0)</f>
        <v>0</v>
      </c>
      <c r="N2112" s="296"/>
      <c r="O2112" s="296">
        <f>IF(TrialBalance!N370&lt;0,-TrialBalance!N370,0)</f>
        <v>0</v>
      </c>
      <c r="R2112" s="348" t="str">
        <f>IF(M2112+O2112=0,"DELETE"," ")</f>
        <v>DELETE</v>
      </c>
    </row>
    <row r="2113" spans="2:18" ht="36" customHeight="1" x14ac:dyDescent="0.5">
      <c r="B2113" s="316"/>
      <c r="C2113" s="450">
        <f>TrialBalance!C371</f>
        <v>0</v>
      </c>
      <c r="D2113" s="459"/>
      <c r="E2113" s="450"/>
      <c r="F2113" s="450"/>
      <c r="G2113" s="450"/>
      <c r="H2113" s="450"/>
      <c r="I2113" s="450"/>
      <c r="J2113" s="450"/>
      <c r="M2113" s="296">
        <f>IF(TrialBalance!L371&lt;0,-TrialBalance!L371,0)</f>
        <v>0</v>
      </c>
      <c r="N2113" s="296"/>
      <c r="O2113" s="296">
        <f>IF(TrialBalance!N371&lt;0,-TrialBalance!N371,0)</f>
        <v>0</v>
      </c>
      <c r="R2113" s="348" t="str">
        <f t="shared" ref="R2113:R2114" si="128">IF(M2113+O2113=0,"DELETE"," ")</f>
        <v>DELETE</v>
      </c>
    </row>
    <row r="2114" spans="2:18" ht="36" customHeight="1" x14ac:dyDescent="0.5">
      <c r="B2114" s="316"/>
      <c r="C2114" s="450">
        <f>TrialBalance!C372</f>
        <v>0</v>
      </c>
      <c r="D2114" s="459"/>
      <c r="E2114" s="450"/>
      <c r="F2114" s="450"/>
      <c r="G2114" s="450"/>
      <c r="H2114" s="450"/>
      <c r="I2114" s="450"/>
      <c r="J2114" s="450"/>
      <c r="M2114" s="296">
        <f>IF(TrialBalance!L372&lt;0,-TrialBalance!L372,0)</f>
        <v>0</v>
      </c>
      <c r="N2114" s="296"/>
      <c r="O2114" s="296">
        <f>IF(TrialBalance!N372&lt;0,-TrialBalance!N372,0)</f>
        <v>0</v>
      </c>
      <c r="R2114" s="348" t="str">
        <f t="shared" si="128"/>
        <v>DELETE</v>
      </c>
    </row>
    <row r="2115" spans="2:18" ht="9" customHeight="1" x14ac:dyDescent="0.5">
      <c r="B2115" s="316"/>
      <c r="C2115" s="456"/>
      <c r="D2115" s="450"/>
      <c r="E2115" s="450"/>
      <c r="F2115" s="450"/>
      <c r="G2115" s="450"/>
      <c r="H2115" s="450"/>
      <c r="I2115" s="450"/>
      <c r="J2115" s="450"/>
      <c r="M2115" s="298"/>
      <c r="N2115" s="298"/>
      <c r="O2115" s="298"/>
      <c r="R2115" s="348" t="str">
        <f t="shared" ref="R2115:R2123" si="129">R$2117</f>
        <v>DELETE</v>
      </c>
    </row>
    <row r="2116" spans="2:18" ht="9" customHeight="1" x14ac:dyDescent="0.5">
      <c r="B2116" s="316"/>
      <c r="C2116" s="456"/>
      <c r="D2116" s="450"/>
      <c r="E2116" s="450"/>
      <c r="F2116" s="450"/>
      <c r="G2116" s="450"/>
      <c r="H2116" s="450"/>
      <c r="I2116" s="450"/>
      <c r="J2116" s="450"/>
      <c r="M2116" s="296"/>
      <c r="N2116" s="296"/>
      <c r="O2116" s="296"/>
      <c r="R2116" s="348" t="str">
        <f t="shared" si="129"/>
        <v>DELETE</v>
      </c>
    </row>
    <row r="2117" spans="2:18" ht="36.75" customHeight="1" x14ac:dyDescent="0.5">
      <c r="B2117" s="316"/>
      <c r="C2117" s="456"/>
      <c r="D2117" s="450"/>
      <c r="E2117" s="450"/>
      <c r="F2117" s="450"/>
      <c r="G2117" s="450"/>
      <c r="H2117" s="450"/>
      <c r="I2117" s="450"/>
      <c r="J2117" s="450"/>
      <c r="M2117" s="296">
        <f>SUM(M2109:M2116)</f>
        <v>0</v>
      </c>
      <c r="N2117" s="296"/>
      <c r="O2117" s="296">
        <f>SUM(O2109:O2116)</f>
        <v>0</v>
      </c>
      <c r="R2117" s="348" t="str">
        <f>IF(M2117+O2117=0,"DELETE"," ")</f>
        <v>DELETE</v>
      </c>
    </row>
    <row r="2118" spans="2:18" ht="9" customHeight="1" thickBot="1" x14ac:dyDescent="0.55000000000000004">
      <c r="B2118" s="316"/>
      <c r="C2118" s="456"/>
      <c r="D2118" s="450"/>
      <c r="E2118" s="450"/>
      <c r="F2118" s="450"/>
      <c r="G2118" s="450"/>
      <c r="H2118" s="450"/>
      <c r="I2118" s="450"/>
      <c r="J2118" s="450"/>
      <c r="M2118" s="299"/>
      <c r="N2118" s="299"/>
      <c r="O2118" s="299"/>
      <c r="R2118" s="348" t="str">
        <f t="shared" si="129"/>
        <v>DELETE</v>
      </c>
    </row>
    <row r="2119" spans="2:18" ht="9" customHeight="1" thickTop="1" x14ac:dyDescent="0.5">
      <c r="B2119" s="316"/>
      <c r="C2119" s="456"/>
      <c r="D2119" s="450"/>
      <c r="E2119" s="450"/>
      <c r="F2119" s="450"/>
      <c r="G2119" s="450"/>
      <c r="H2119" s="450"/>
      <c r="I2119" s="450"/>
      <c r="J2119" s="450"/>
      <c r="M2119" s="310"/>
      <c r="N2119" s="310"/>
      <c r="O2119" s="310"/>
      <c r="R2119" s="348" t="str">
        <f t="shared" si="129"/>
        <v>DELETE</v>
      </c>
    </row>
    <row r="2120" spans="2:18" ht="36" customHeight="1" x14ac:dyDescent="0.5">
      <c r="B2120" s="316"/>
      <c r="C2120" s="456"/>
      <c r="D2120" s="450"/>
      <c r="E2120" s="450"/>
      <c r="F2120" s="450"/>
      <c r="G2120" s="450"/>
      <c r="H2120" s="450"/>
      <c r="I2120" s="450"/>
      <c r="J2120" s="450"/>
      <c r="M2120" s="296"/>
      <c r="N2120" s="296"/>
      <c r="O2120" s="296"/>
      <c r="R2120" s="348" t="str">
        <f t="shared" si="129"/>
        <v>DELETE</v>
      </c>
    </row>
    <row r="2121" spans="2:18" ht="36" customHeight="1" x14ac:dyDescent="0.5">
      <c r="B2121" s="316"/>
      <c r="C2121" s="456"/>
      <c r="D2121" s="450"/>
      <c r="E2121" s="450"/>
      <c r="F2121" s="450"/>
      <c r="G2121" s="450"/>
      <c r="H2121" s="450"/>
      <c r="I2121" s="450"/>
      <c r="J2121" s="450"/>
      <c r="M2121" s="296"/>
      <c r="N2121" s="296"/>
      <c r="O2121" s="296"/>
      <c r="R2121" s="348" t="str">
        <f t="shared" si="129"/>
        <v>DELETE</v>
      </c>
    </row>
    <row r="2122" spans="2:18" ht="36" customHeight="1" x14ac:dyDescent="0.5">
      <c r="B2122" s="316"/>
      <c r="C2122" s="456"/>
      <c r="D2122" s="450"/>
      <c r="E2122" s="450"/>
      <c r="F2122" s="450"/>
      <c r="G2122" s="450"/>
      <c r="H2122" s="450"/>
      <c r="I2122" s="450"/>
      <c r="J2122" s="450"/>
      <c r="M2122" s="310"/>
      <c r="N2122" s="310"/>
      <c r="O2122" s="310"/>
      <c r="P2122" s="356"/>
      <c r="R2122" s="348" t="str">
        <f t="shared" si="129"/>
        <v>DELETE</v>
      </c>
    </row>
    <row r="2123" spans="2:18" ht="36" customHeight="1" x14ac:dyDescent="0.5">
      <c r="B2123" s="354"/>
      <c r="C2123" s="450"/>
      <c r="D2123" s="450"/>
      <c r="E2123" s="450"/>
      <c r="F2123" s="450"/>
      <c r="G2123" s="450"/>
      <c r="H2123" s="450"/>
      <c r="I2123" s="450"/>
      <c r="J2123" s="450"/>
      <c r="M2123" s="351"/>
      <c r="N2123" s="351"/>
      <c r="O2123" s="351"/>
      <c r="R2123" s="348" t="str">
        <f t="shared" si="129"/>
        <v>DELETE</v>
      </c>
    </row>
    <row r="2124" spans="2:18" ht="36" customHeight="1" x14ac:dyDescent="0.5">
      <c r="B2124" s="354"/>
      <c r="C2124" s="450"/>
      <c r="D2124" s="450"/>
      <c r="E2124" s="450"/>
      <c r="F2124" s="450"/>
      <c r="G2124" s="450"/>
      <c r="H2124" s="450"/>
      <c r="I2124" s="450"/>
      <c r="J2124" s="450"/>
      <c r="M2124" s="351"/>
      <c r="N2124" s="351"/>
      <c r="O2124" s="296" t="s">
        <v>89</v>
      </c>
      <c r="Q2124" s="292">
        <f>MAX($Q$105:Q2123)+1</f>
        <v>57</v>
      </c>
      <c r="R2124" s="348" t="str">
        <f>R$2141</f>
        <v>DELETE</v>
      </c>
    </row>
    <row r="2125" spans="2:18" ht="36" customHeight="1" x14ac:dyDescent="0.5">
      <c r="B2125" s="354"/>
      <c r="C2125" s="450"/>
      <c r="D2125" s="456" t="str">
        <f>Criteria!E9</f>
        <v>HOLDING COMPANY 268 (PROPRIETARY) LIMITED</v>
      </c>
      <c r="E2125" s="450"/>
      <c r="F2125" s="450"/>
      <c r="G2125" s="450"/>
      <c r="H2125" s="450"/>
      <c r="I2125" s="450"/>
      <c r="J2125" s="450"/>
      <c r="M2125" s="351"/>
      <c r="N2125" s="351"/>
      <c r="O2125" s="347"/>
      <c r="R2125" s="348" t="str">
        <f t="shared" ref="R2125:R2135" si="130">R$2141</f>
        <v>DELETE</v>
      </c>
    </row>
    <row r="2126" spans="2:18" ht="36" customHeight="1" x14ac:dyDescent="0.5">
      <c r="B2126" s="354"/>
      <c r="C2126" s="450"/>
      <c r="D2126" s="456" t="str">
        <f>Criteria!E10</f>
        <v>CONSOLIDATED FINANCIAL STATEMENTS</v>
      </c>
      <c r="E2126" s="450"/>
      <c r="F2126" s="450"/>
      <c r="G2126" s="450"/>
      <c r="H2126" s="450"/>
      <c r="I2126" s="450"/>
      <c r="J2126" s="450"/>
      <c r="M2126" s="351"/>
      <c r="N2126" s="351"/>
      <c r="O2126" s="351"/>
      <c r="R2126" s="348" t="str">
        <f>IF(R$2141="DELETE","DELETE",IF(D2126=0,"DELETE"," "))</f>
        <v>DELETE</v>
      </c>
    </row>
    <row r="2127" spans="2:18" ht="36" customHeight="1" x14ac:dyDescent="0.5">
      <c r="B2127" s="354"/>
      <c r="C2127" s="450"/>
      <c r="D2127" s="450"/>
      <c r="E2127" s="450"/>
      <c r="F2127" s="450"/>
      <c r="G2127" s="450"/>
      <c r="H2127" s="450"/>
      <c r="I2127" s="450"/>
      <c r="J2127" s="450"/>
      <c r="M2127" s="351"/>
      <c r="N2127" s="351"/>
      <c r="O2127" s="351"/>
      <c r="R2127" s="348" t="str">
        <f t="shared" si="130"/>
        <v>DELETE</v>
      </c>
    </row>
    <row r="2128" spans="2:18" ht="36" customHeight="1" x14ac:dyDescent="0.5">
      <c r="B2128" s="354"/>
      <c r="C2128" s="450"/>
      <c r="D2128" s="456" t="s">
        <v>351</v>
      </c>
      <c r="E2128" s="450"/>
      <c r="F2128" s="450"/>
      <c r="G2128" s="450"/>
      <c r="H2128" s="450"/>
      <c r="I2128" s="450"/>
      <c r="J2128" s="450"/>
      <c r="M2128" s="351"/>
      <c r="N2128" s="351"/>
      <c r="O2128" s="351"/>
      <c r="R2128" s="348" t="str">
        <f t="shared" si="130"/>
        <v>DELETE</v>
      </c>
    </row>
    <row r="2129" spans="2:23" ht="36" customHeight="1" x14ac:dyDescent="0.5">
      <c r="B2129" s="354"/>
      <c r="C2129" s="450"/>
      <c r="D2129" s="456" t="str">
        <f>Criteria!E20</f>
        <v>28 FEBRUARY 2025</v>
      </c>
      <c r="E2129" s="450"/>
      <c r="F2129" s="450"/>
      <c r="G2129" s="450"/>
      <c r="H2129" s="450"/>
      <c r="I2129" s="450"/>
      <c r="J2129" s="450" t="s">
        <v>231</v>
      </c>
      <c r="M2129" s="351"/>
      <c r="N2129" s="351"/>
      <c r="O2129" s="351"/>
      <c r="R2129" s="348" t="str">
        <f t="shared" si="130"/>
        <v>DELETE</v>
      </c>
    </row>
    <row r="2130" spans="2:23" ht="36" customHeight="1" x14ac:dyDescent="0.5">
      <c r="B2130" s="354"/>
      <c r="C2130" s="450"/>
      <c r="D2130" s="456"/>
      <c r="E2130" s="450"/>
      <c r="F2130" s="450"/>
      <c r="G2130" s="450"/>
      <c r="H2130" s="450"/>
      <c r="I2130" s="450"/>
      <c r="J2130" s="450"/>
      <c r="M2130" s="351"/>
      <c r="N2130" s="351"/>
      <c r="O2130" s="351"/>
      <c r="R2130" s="348" t="str">
        <f t="shared" si="130"/>
        <v>DELETE</v>
      </c>
    </row>
    <row r="2131" spans="2:23" ht="36" customHeight="1" x14ac:dyDescent="0.5">
      <c r="B2131" s="447"/>
      <c r="C2131" s="465"/>
      <c r="D2131" s="460"/>
      <c r="E2131" s="460"/>
      <c r="F2131" s="460"/>
      <c r="G2131" s="460"/>
      <c r="H2131" s="460"/>
      <c r="I2131" s="460"/>
      <c r="J2131" s="460"/>
      <c r="K2131" s="364"/>
      <c r="L2131" s="364"/>
      <c r="M2131" s="297"/>
      <c r="N2131" s="297"/>
      <c r="O2131" s="297"/>
      <c r="P2131" s="367"/>
      <c r="Q2131" s="364"/>
      <c r="R2131" s="348" t="str">
        <f t="shared" si="130"/>
        <v>DELETE</v>
      </c>
    </row>
    <row r="2132" spans="2:23" ht="36" customHeight="1" x14ac:dyDescent="0.5">
      <c r="B2132" s="316"/>
      <c r="C2132" s="456"/>
      <c r="D2132" s="450"/>
      <c r="E2132" s="450"/>
      <c r="F2132" s="450"/>
      <c r="G2132" s="450"/>
      <c r="H2132" s="450"/>
      <c r="I2132" s="450"/>
      <c r="J2132" s="450"/>
      <c r="M2132" s="294">
        <f>Criteria!E22</f>
        <v>2025</v>
      </c>
      <c r="N2132" s="294"/>
      <c r="O2132" s="294">
        <f>Criteria!E27</f>
        <v>2024</v>
      </c>
      <c r="R2132" s="348" t="str">
        <f t="shared" si="130"/>
        <v>DELETE</v>
      </c>
    </row>
    <row r="2133" spans="2:23" ht="36" customHeight="1" x14ac:dyDescent="0.5">
      <c r="B2133" s="316"/>
      <c r="C2133" s="456"/>
      <c r="D2133" s="450"/>
      <c r="E2133" s="450"/>
      <c r="F2133" s="450"/>
      <c r="G2133" s="450"/>
      <c r="H2133" s="450"/>
      <c r="I2133" s="450"/>
      <c r="J2133" s="450"/>
      <c r="M2133" s="296"/>
      <c r="N2133" s="296"/>
      <c r="O2133" s="296"/>
      <c r="R2133" s="348" t="str">
        <f t="shared" si="130"/>
        <v>DELETE</v>
      </c>
    </row>
    <row r="2134" spans="2:23" ht="36" customHeight="1" x14ac:dyDescent="0.5">
      <c r="B2134" s="316">
        <f>MAX(B$602:B2133)+1</f>
        <v>27</v>
      </c>
      <c r="C2134" s="456" t="str">
        <f>IF(COUNTIF(TrialBalance!N375:N377,"&lt;0")&gt;1,"Short term loans",IF(COUNTIF(TrialBalance!L375:L377,"&lt;0")&gt;1,"Short term loans","Short term loan"))</f>
        <v>Short term loan</v>
      </c>
      <c r="D2134" s="450"/>
      <c r="E2134" s="450"/>
      <c r="F2134" s="450"/>
      <c r="G2134" s="450"/>
      <c r="H2134" s="450"/>
      <c r="I2134" s="450"/>
      <c r="J2134" s="450"/>
      <c r="M2134" s="296"/>
      <c r="N2134" s="296"/>
      <c r="O2134" s="296"/>
      <c r="R2134" s="348" t="str">
        <f t="shared" si="130"/>
        <v>DELETE</v>
      </c>
    </row>
    <row r="2135" spans="2:23" ht="36" customHeight="1" x14ac:dyDescent="0.5">
      <c r="B2135" s="316"/>
      <c r="C2135" s="456"/>
      <c r="D2135" s="450"/>
      <c r="E2135" s="450"/>
      <c r="F2135" s="450"/>
      <c r="G2135" s="450"/>
      <c r="H2135" s="450"/>
      <c r="I2135" s="450"/>
      <c r="J2135" s="450"/>
      <c r="M2135" s="296"/>
      <c r="N2135" s="296"/>
      <c r="O2135" s="296"/>
      <c r="R2135" s="348" t="str">
        <f t="shared" si="130"/>
        <v>DELETE</v>
      </c>
    </row>
    <row r="2136" spans="2:23" ht="36" customHeight="1" x14ac:dyDescent="0.5">
      <c r="B2136" s="316"/>
      <c r="C2136" s="450">
        <f>TrialBalance!C375</f>
        <v>0</v>
      </c>
      <c r="D2136" s="459"/>
      <c r="E2136" s="450"/>
      <c r="F2136" s="450"/>
      <c r="G2136" s="450"/>
      <c r="H2136" s="450"/>
      <c r="I2136" s="450"/>
      <c r="J2136" s="450"/>
      <c r="M2136" s="296">
        <f>-TrialBalance!L375</f>
        <v>0</v>
      </c>
      <c r="N2136" s="296"/>
      <c r="O2136" s="296">
        <f>-TrialBalance!N375</f>
        <v>0</v>
      </c>
      <c r="R2136" s="348" t="str">
        <f>IF(M2136+O2136=0,"DELETE"," ")</f>
        <v>DELETE</v>
      </c>
      <c r="S2136" s="333"/>
      <c r="T2136" s="333"/>
      <c r="U2136" s="333"/>
      <c r="V2136" s="334"/>
      <c r="W2136" s="334"/>
    </row>
    <row r="2137" spans="2:23" ht="36" customHeight="1" x14ac:dyDescent="0.5">
      <c r="B2137" s="316"/>
      <c r="C2137" s="450">
        <f>TrialBalance!C376</f>
        <v>0</v>
      </c>
      <c r="D2137" s="459"/>
      <c r="E2137" s="450"/>
      <c r="F2137" s="450"/>
      <c r="G2137" s="450"/>
      <c r="H2137" s="450"/>
      <c r="I2137" s="450"/>
      <c r="J2137" s="450"/>
      <c r="M2137" s="296">
        <f>-TrialBalance!L376</f>
        <v>0</v>
      </c>
      <c r="N2137" s="296"/>
      <c r="O2137" s="296">
        <f>-TrialBalance!N376</f>
        <v>0</v>
      </c>
      <c r="R2137" s="348" t="str">
        <f>IF(M2137+O2137=0,"DELETE"," ")</f>
        <v>DELETE</v>
      </c>
      <c r="S2137" s="333"/>
      <c r="T2137" s="333"/>
      <c r="U2137" s="333"/>
      <c r="V2137" s="334"/>
      <c r="W2137" s="334"/>
    </row>
    <row r="2138" spans="2:23" ht="36" customHeight="1" x14ac:dyDescent="0.5">
      <c r="B2138" s="316"/>
      <c r="C2138" s="450">
        <f>TrialBalance!C377</f>
        <v>0</v>
      </c>
      <c r="D2138" s="459"/>
      <c r="E2138" s="450"/>
      <c r="F2138" s="450"/>
      <c r="G2138" s="450"/>
      <c r="H2138" s="450"/>
      <c r="I2138" s="450"/>
      <c r="J2138" s="450"/>
      <c r="M2138" s="296">
        <f>-TrialBalance!L377</f>
        <v>0</v>
      </c>
      <c r="N2138" s="296"/>
      <c r="O2138" s="296">
        <f>-TrialBalance!N377</f>
        <v>0</v>
      </c>
      <c r="R2138" s="348" t="str">
        <f>IF(M2138+O2138=0,"DELETE"," ")</f>
        <v>DELETE</v>
      </c>
      <c r="S2138" s="333"/>
      <c r="T2138" s="333"/>
      <c r="U2138" s="333"/>
      <c r="V2138" s="334"/>
      <c r="W2138" s="334"/>
    </row>
    <row r="2139" spans="2:23" ht="9" customHeight="1" x14ac:dyDescent="0.5">
      <c r="B2139" s="316"/>
      <c r="C2139" s="456"/>
      <c r="D2139" s="450"/>
      <c r="E2139" s="450"/>
      <c r="F2139" s="450"/>
      <c r="G2139" s="450"/>
      <c r="H2139" s="450"/>
      <c r="I2139" s="450"/>
      <c r="J2139" s="450"/>
      <c r="M2139" s="298"/>
      <c r="N2139" s="298"/>
      <c r="O2139" s="298"/>
      <c r="R2139" s="348" t="str">
        <f t="shared" ref="R2139:R2147" si="131">R$2141</f>
        <v>DELETE</v>
      </c>
    </row>
    <row r="2140" spans="2:23" ht="9" customHeight="1" x14ac:dyDescent="0.5">
      <c r="B2140" s="316"/>
      <c r="C2140" s="456"/>
      <c r="D2140" s="450"/>
      <c r="E2140" s="450"/>
      <c r="F2140" s="450"/>
      <c r="G2140" s="450"/>
      <c r="H2140" s="450"/>
      <c r="I2140" s="450"/>
      <c r="J2140" s="450"/>
      <c r="M2140" s="296"/>
      <c r="N2140" s="296"/>
      <c r="O2140" s="296"/>
      <c r="R2140" s="348" t="str">
        <f t="shared" si="131"/>
        <v>DELETE</v>
      </c>
    </row>
    <row r="2141" spans="2:23" ht="36.75" customHeight="1" x14ac:dyDescent="0.5">
      <c r="B2141" s="316"/>
      <c r="C2141" s="456"/>
      <c r="D2141" s="450"/>
      <c r="E2141" s="450"/>
      <c r="F2141" s="450"/>
      <c r="G2141" s="450"/>
      <c r="H2141" s="450"/>
      <c r="I2141" s="450"/>
      <c r="J2141" s="450"/>
      <c r="M2141" s="296">
        <f>SUM(M2136:M2140)</f>
        <v>0</v>
      </c>
      <c r="N2141" s="296"/>
      <c r="O2141" s="296">
        <f>SUM(O2136:O2140)</f>
        <v>0</v>
      </c>
      <c r="R2141" s="348" t="str">
        <f>IF(M2141+O2141=0,"DELETE"," ")</f>
        <v>DELETE</v>
      </c>
    </row>
    <row r="2142" spans="2:23" ht="9" customHeight="1" thickBot="1" x14ac:dyDescent="0.55000000000000004">
      <c r="B2142" s="316"/>
      <c r="C2142" s="456"/>
      <c r="D2142" s="450"/>
      <c r="E2142" s="450"/>
      <c r="F2142" s="450"/>
      <c r="G2142" s="450"/>
      <c r="H2142" s="450"/>
      <c r="I2142" s="450"/>
      <c r="J2142" s="450"/>
      <c r="M2142" s="299"/>
      <c r="N2142" s="299"/>
      <c r="O2142" s="299"/>
      <c r="R2142" s="348" t="str">
        <f t="shared" si="131"/>
        <v>DELETE</v>
      </c>
    </row>
    <row r="2143" spans="2:23" ht="9" customHeight="1" thickTop="1" x14ac:dyDescent="0.5">
      <c r="B2143" s="316"/>
      <c r="C2143" s="456"/>
      <c r="D2143" s="450"/>
      <c r="E2143" s="450"/>
      <c r="F2143" s="450"/>
      <c r="G2143" s="450"/>
      <c r="H2143" s="450"/>
      <c r="I2143" s="450"/>
      <c r="J2143" s="450"/>
      <c r="M2143" s="310"/>
      <c r="N2143" s="310"/>
      <c r="O2143" s="310"/>
      <c r="R2143" s="348" t="str">
        <f t="shared" si="131"/>
        <v>DELETE</v>
      </c>
    </row>
    <row r="2144" spans="2:23" ht="36" customHeight="1" x14ac:dyDescent="0.5">
      <c r="B2144" s="316"/>
      <c r="C2144" s="456"/>
      <c r="D2144" s="450"/>
      <c r="E2144" s="450"/>
      <c r="F2144" s="450"/>
      <c r="G2144" s="450"/>
      <c r="H2144" s="450"/>
      <c r="I2144" s="450"/>
      <c r="J2144" s="450"/>
      <c r="M2144" s="296"/>
      <c r="N2144" s="296"/>
      <c r="O2144" s="296"/>
      <c r="R2144" s="348" t="str">
        <f t="shared" si="131"/>
        <v>DELETE</v>
      </c>
    </row>
    <row r="2145" spans="2:18" ht="36" customHeight="1" x14ac:dyDescent="0.5">
      <c r="B2145" s="316"/>
      <c r="C2145" s="456"/>
      <c r="D2145" s="450"/>
      <c r="E2145" s="450"/>
      <c r="F2145" s="450"/>
      <c r="G2145" s="450"/>
      <c r="H2145" s="450"/>
      <c r="I2145" s="450"/>
      <c r="J2145" s="450"/>
      <c r="M2145" s="296"/>
      <c r="N2145" s="296"/>
      <c r="O2145" s="296"/>
      <c r="R2145" s="348" t="str">
        <f t="shared" si="131"/>
        <v>DELETE</v>
      </c>
    </row>
    <row r="2146" spans="2:18" ht="36" customHeight="1" x14ac:dyDescent="0.5">
      <c r="B2146" s="316"/>
      <c r="C2146" s="456"/>
      <c r="D2146" s="450"/>
      <c r="E2146" s="450"/>
      <c r="F2146" s="450"/>
      <c r="G2146" s="450"/>
      <c r="H2146" s="450"/>
      <c r="I2146" s="450"/>
      <c r="J2146" s="450"/>
      <c r="M2146" s="310"/>
      <c r="N2146" s="310"/>
      <c r="O2146" s="310"/>
      <c r="P2146" s="356"/>
      <c r="R2146" s="348" t="str">
        <f t="shared" si="131"/>
        <v>DELETE</v>
      </c>
    </row>
    <row r="2147" spans="2:18" ht="36" customHeight="1" x14ac:dyDescent="0.5">
      <c r="B2147" s="354"/>
      <c r="C2147" s="450"/>
      <c r="D2147" s="450"/>
      <c r="E2147" s="450"/>
      <c r="F2147" s="450"/>
      <c r="G2147" s="450"/>
      <c r="H2147" s="450"/>
      <c r="I2147" s="450"/>
      <c r="J2147" s="450"/>
      <c r="M2147" s="351"/>
      <c r="N2147" s="351"/>
      <c r="O2147" s="351"/>
      <c r="R2147" s="348" t="str">
        <f t="shared" si="131"/>
        <v>DELETE</v>
      </c>
    </row>
    <row r="2148" spans="2:18" ht="36" customHeight="1" x14ac:dyDescent="0.5">
      <c r="B2148" s="354"/>
      <c r="C2148" s="450"/>
      <c r="D2148" s="450"/>
      <c r="E2148" s="450"/>
      <c r="F2148" s="450"/>
      <c r="G2148" s="450"/>
      <c r="H2148" s="450"/>
      <c r="I2148" s="450"/>
      <c r="J2148" s="450"/>
      <c r="M2148" s="351"/>
      <c r="N2148" s="351"/>
      <c r="O2148" s="296" t="s">
        <v>89</v>
      </c>
      <c r="Q2148" s="292">
        <f>MAX($Q$105:Q2147)+1</f>
        <v>58</v>
      </c>
      <c r="R2148" s="348" t="str">
        <f>R$2167</f>
        <v>DELETE</v>
      </c>
    </row>
    <row r="2149" spans="2:18" ht="36" customHeight="1" x14ac:dyDescent="0.5">
      <c r="B2149" s="354"/>
      <c r="C2149" s="450"/>
      <c r="D2149" s="456" t="str">
        <f>Criteria!E9</f>
        <v>HOLDING COMPANY 268 (PROPRIETARY) LIMITED</v>
      </c>
      <c r="E2149" s="450"/>
      <c r="F2149" s="450"/>
      <c r="G2149" s="450"/>
      <c r="H2149" s="450"/>
      <c r="I2149" s="450"/>
      <c r="J2149" s="450"/>
      <c r="M2149" s="351"/>
      <c r="N2149" s="351"/>
      <c r="O2149" s="347"/>
      <c r="R2149" s="348" t="str">
        <f t="shared" ref="R2149:R2159" si="132">R$2167</f>
        <v>DELETE</v>
      </c>
    </row>
    <row r="2150" spans="2:18" ht="36" customHeight="1" x14ac:dyDescent="0.5">
      <c r="B2150" s="354"/>
      <c r="C2150" s="450"/>
      <c r="D2150" s="456" t="str">
        <f>Criteria!E10</f>
        <v>CONSOLIDATED FINANCIAL STATEMENTS</v>
      </c>
      <c r="E2150" s="450"/>
      <c r="F2150" s="450"/>
      <c r="G2150" s="450"/>
      <c r="H2150" s="450"/>
      <c r="I2150" s="450"/>
      <c r="J2150" s="450"/>
      <c r="M2150" s="351"/>
      <c r="N2150" s="351"/>
      <c r="O2150" s="351"/>
      <c r="R2150" s="348" t="str">
        <f>IF(R$2167="DELETE","DELETE",IF(D2150=0,"DELETE"," "))</f>
        <v>DELETE</v>
      </c>
    </row>
    <row r="2151" spans="2:18" ht="36" customHeight="1" x14ac:dyDescent="0.5">
      <c r="B2151" s="354"/>
      <c r="C2151" s="450"/>
      <c r="D2151" s="450"/>
      <c r="E2151" s="450"/>
      <c r="F2151" s="450"/>
      <c r="G2151" s="450"/>
      <c r="H2151" s="450"/>
      <c r="I2151" s="450"/>
      <c r="J2151" s="450"/>
      <c r="M2151" s="351"/>
      <c r="N2151" s="351"/>
      <c r="O2151" s="351"/>
      <c r="R2151" s="348" t="str">
        <f t="shared" si="132"/>
        <v>DELETE</v>
      </c>
    </row>
    <row r="2152" spans="2:18" ht="36" customHeight="1" x14ac:dyDescent="0.5">
      <c r="B2152" s="354"/>
      <c r="C2152" s="450"/>
      <c r="D2152" s="456" t="s">
        <v>351</v>
      </c>
      <c r="E2152" s="450"/>
      <c r="F2152" s="450"/>
      <c r="G2152" s="450"/>
      <c r="H2152" s="450"/>
      <c r="I2152" s="450"/>
      <c r="J2152" s="450"/>
      <c r="M2152" s="351"/>
      <c r="N2152" s="351"/>
      <c r="O2152" s="351"/>
      <c r="R2152" s="348" t="str">
        <f t="shared" si="132"/>
        <v>DELETE</v>
      </c>
    </row>
    <row r="2153" spans="2:18" ht="36" customHeight="1" x14ac:dyDescent="0.5">
      <c r="B2153" s="354"/>
      <c r="C2153" s="450"/>
      <c r="D2153" s="456" t="str">
        <f>Criteria!E20</f>
        <v>28 FEBRUARY 2025</v>
      </c>
      <c r="E2153" s="450"/>
      <c r="F2153" s="450"/>
      <c r="G2153" s="450"/>
      <c r="H2153" s="450"/>
      <c r="I2153" s="450"/>
      <c r="J2153" s="450" t="s">
        <v>231</v>
      </c>
      <c r="M2153" s="351"/>
      <c r="N2153" s="351"/>
      <c r="O2153" s="351"/>
      <c r="R2153" s="348" t="str">
        <f t="shared" si="132"/>
        <v>DELETE</v>
      </c>
    </row>
    <row r="2154" spans="2:18" ht="36" customHeight="1" x14ac:dyDescent="0.5">
      <c r="B2154" s="354"/>
      <c r="C2154" s="450"/>
      <c r="D2154" s="456"/>
      <c r="E2154" s="450"/>
      <c r="F2154" s="450"/>
      <c r="G2154" s="450"/>
      <c r="H2154" s="450"/>
      <c r="I2154" s="450"/>
      <c r="J2154" s="450"/>
      <c r="M2154" s="351"/>
      <c r="N2154" s="351"/>
      <c r="O2154" s="351"/>
      <c r="R2154" s="348" t="str">
        <f t="shared" si="132"/>
        <v>DELETE</v>
      </c>
    </row>
    <row r="2155" spans="2:18" ht="36" customHeight="1" x14ac:dyDescent="0.5">
      <c r="B2155" s="447"/>
      <c r="C2155" s="465"/>
      <c r="D2155" s="460"/>
      <c r="E2155" s="460"/>
      <c r="F2155" s="460"/>
      <c r="G2155" s="460"/>
      <c r="H2155" s="460"/>
      <c r="I2155" s="460"/>
      <c r="J2155" s="460"/>
      <c r="K2155" s="364"/>
      <c r="L2155" s="364"/>
      <c r="M2155" s="297"/>
      <c r="N2155" s="297"/>
      <c r="O2155" s="297"/>
      <c r="P2155" s="367"/>
      <c r="Q2155" s="364"/>
      <c r="R2155" s="348" t="str">
        <f t="shared" si="132"/>
        <v>DELETE</v>
      </c>
    </row>
    <row r="2156" spans="2:18" ht="36" customHeight="1" x14ac:dyDescent="0.5">
      <c r="B2156" s="316"/>
      <c r="C2156" s="456"/>
      <c r="D2156" s="450"/>
      <c r="E2156" s="450"/>
      <c r="F2156" s="450"/>
      <c r="G2156" s="450"/>
      <c r="H2156" s="450"/>
      <c r="I2156" s="450"/>
      <c r="J2156" s="450"/>
      <c r="M2156" s="294">
        <f>Criteria!E22</f>
        <v>2025</v>
      </c>
      <c r="N2156" s="294"/>
      <c r="O2156" s="294">
        <f>Criteria!E27</f>
        <v>2024</v>
      </c>
      <c r="R2156" s="348" t="str">
        <f t="shared" si="132"/>
        <v>DELETE</v>
      </c>
    </row>
    <row r="2157" spans="2:18" ht="36" customHeight="1" x14ac:dyDescent="0.5">
      <c r="B2157" s="316"/>
      <c r="C2157" s="456"/>
      <c r="D2157" s="450"/>
      <c r="E2157" s="450"/>
      <c r="F2157" s="450"/>
      <c r="G2157" s="450"/>
      <c r="H2157" s="450"/>
      <c r="I2157" s="450"/>
      <c r="J2157" s="450"/>
      <c r="M2157" s="296"/>
      <c r="N2157" s="296"/>
      <c r="O2157" s="296"/>
      <c r="R2157" s="348" t="str">
        <f t="shared" si="132"/>
        <v>DELETE</v>
      </c>
    </row>
    <row r="2158" spans="2:18" ht="36" customHeight="1" x14ac:dyDescent="0.5">
      <c r="B2158" s="316">
        <f>MAX(B$602:B2157)+1</f>
        <v>28</v>
      </c>
      <c r="C2158" s="456" t="str">
        <f>IF(COUNTIF(TrialBalance!N393:N397,"&lt;0")&gt;1,"Provisions",IF(COUNTIF(TrialBalance!L393:L397,"&lt;0")&gt;1,"Provisions","Provision"))</f>
        <v>Provision</v>
      </c>
      <c r="D2158" s="450"/>
      <c r="E2158" s="450"/>
      <c r="F2158" s="450"/>
      <c r="G2158" s="450"/>
      <c r="H2158" s="450"/>
      <c r="I2158" s="450"/>
      <c r="J2158" s="450"/>
      <c r="M2158" s="296"/>
      <c r="N2158" s="296"/>
      <c r="O2158" s="296"/>
      <c r="R2158" s="348" t="str">
        <f t="shared" si="132"/>
        <v>DELETE</v>
      </c>
    </row>
    <row r="2159" spans="2:18" ht="36" customHeight="1" x14ac:dyDescent="0.5">
      <c r="B2159" s="316"/>
      <c r="C2159" s="456"/>
      <c r="D2159" s="450"/>
      <c r="E2159" s="450"/>
      <c r="F2159" s="450"/>
      <c r="G2159" s="450"/>
      <c r="H2159" s="450"/>
      <c r="I2159" s="450"/>
      <c r="J2159" s="450"/>
      <c r="M2159" s="296"/>
      <c r="N2159" s="296"/>
      <c r="O2159" s="296"/>
      <c r="R2159" s="348" t="str">
        <f t="shared" si="132"/>
        <v>DELETE</v>
      </c>
    </row>
    <row r="2160" spans="2:18" ht="36" customHeight="1" x14ac:dyDescent="0.5">
      <c r="B2160" s="316"/>
      <c r="C2160" s="450" t="str">
        <f>TrialBalance!C393</f>
        <v>Dividends' tax provision</v>
      </c>
      <c r="D2160" s="459"/>
      <c r="E2160" s="450"/>
      <c r="F2160" s="450"/>
      <c r="G2160" s="450"/>
      <c r="H2160" s="450"/>
      <c r="I2160" s="450"/>
      <c r="J2160" s="450"/>
      <c r="M2160" s="296">
        <f>-TrialBalance!L393</f>
        <v>0</v>
      </c>
      <c r="N2160" s="296"/>
      <c r="O2160" s="296">
        <f>-TrialBalance!N393</f>
        <v>0</v>
      </c>
      <c r="R2160" s="348" t="str">
        <f>IF(M2160+O2160=0,"DELETE"," ")</f>
        <v>DELETE</v>
      </c>
    </row>
    <row r="2161" spans="2:18" ht="36" customHeight="1" x14ac:dyDescent="0.5">
      <c r="B2161" s="316"/>
      <c r="C2161" s="450" t="str">
        <f>TrialBalance!C394</f>
        <v>Dividends payable</v>
      </c>
      <c r="D2161" s="459"/>
      <c r="E2161" s="450"/>
      <c r="F2161" s="450"/>
      <c r="G2161" s="450"/>
      <c r="H2161" s="450"/>
      <c r="I2161" s="450"/>
      <c r="J2161" s="450"/>
      <c r="M2161" s="296">
        <f>-TrialBalance!L394</f>
        <v>0</v>
      </c>
      <c r="N2161" s="296"/>
      <c r="O2161" s="296">
        <f>-TrialBalance!N394</f>
        <v>0</v>
      </c>
      <c r="R2161" s="348" t="str">
        <f>IF(M2161+O2161=0,"DELETE"," ")</f>
        <v>DELETE</v>
      </c>
    </row>
    <row r="2162" spans="2:18" ht="36" customHeight="1" x14ac:dyDescent="0.5">
      <c r="B2162" s="316"/>
      <c r="C2162" s="450" t="str">
        <f>TrialBalance!C395</f>
        <v>Provision for future expenses</v>
      </c>
      <c r="D2162" s="459"/>
      <c r="E2162" s="450"/>
      <c r="F2162" s="450"/>
      <c r="G2162" s="450"/>
      <c r="H2162" s="450"/>
      <c r="I2162" s="450"/>
      <c r="J2162" s="450"/>
      <c r="M2162" s="296">
        <f>-TrialBalance!L395</f>
        <v>0</v>
      </c>
      <c r="N2162" s="296"/>
      <c r="O2162" s="296">
        <f>-TrialBalance!N395</f>
        <v>0</v>
      </c>
      <c r="R2162" s="348" t="str">
        <f>IF(M2162+O2162=0,"DELETE"," ")</f>
        <v>DELETE</v>
      </c>
    </row>
    <row r="2163" spans="2:18" ht="36" customHeight="1" x14ac:dyDescent="0.5">
      <c r="B2163" s="316"/>
      <c r="C2163" s="450" t="str">
        <f>TrialBalance!C396</f>
        <v>Provision for insurance</v>
      </c>
      <c r="D2163" s="459"/>
      <c r="E2163" s="450"/>
      <c r="F2163" s="450"/>
      <c r="G2163" s="450"/>
      <c r="H2163" s="450"/>
      <c r="I2163" s="450"/>
      <c r="J2163" s="450"/>
      <c r="M2163" s="296">
        <f>-TrialBalance!L396</f>
        <v>0</v>
      </c>
      <c r="N2163" s="296"/>
      <c r="O2163" s="296">
        <f>-TrialBalance!N396</f>
        <v>0</v>
      </c>
      <c r="R2163" s="348" t="str">
        <f>IF(M2163+O2163=0,"DELETE"," ")</f>
        <v>DELETE</v>
      </c>
    </row>
    <row r="2164" spans="2:18" ht="36" customHeight="1" x14ac:dyDescent="0.5">
      <c r="B2164" s="316"/>
      <c r="C2164" s="450" t="str">
        <f>TrialBalance!C397</f>
        <v>Provision for salary bonus</v>
      </c>
      <c r="D2164" s="459"/>
      <c r="E2164" s="450"/>
      <c r="F2164" s="450"/>
      <c r="G2164" s="450"/>
      <c r="H2164" s="450"/>
      <c r="I2164" s="450"/>
      <c r="J2164" s="450"/>
      <c r="M2164" s="296">
        <f>-TrialBalance!L397</f>
        <v>0</v>
      </c>
      <c r="N2164" s="296"/>
      <c r="O2164" s="296">
        <f>-TrialBalance!N397</f>
        <v>0</v>
      </c>
      <c r="R2164" s="348" t="str">
        <f>IF(M2164+O2164=0,"DELETE"," ")</f>
        <v>DELETE</v>
      </c>
    </row>
    <row r="2165" spans="2:18" ht="9" customHeight="1" x14ac:dyDescent="0.5">
      <c r="B2165" s="316"/>
      <c r="C2165" s="456"/>
      <c r="D2165" s="450"/>
      <c r="E2165" s="450"/>
      <c r="F2165" s="450"/>
      <c r="G2165" s="450"/>
      <c r="H2165" s="450"/>
      <c r="I2165" s="450"/>
      <c r="J2165" s="450"/>
      <c r="M2165" s="298"/>
      <c r="N2165" s="298"/>
      <c r="O2165" s="298"/>
      <c r="R2165" s="348" t="str">
        <f t="shared" ref="R2165:R2173" si="133">R$2167</f>
        <v>DELETE</v>
      </c>
    </row>
    <row r="2166" spans="2:18" ht="9" customHeight="1" x14ac:dyDescent="0.5">
      <c r="B2166" s="316"/>
      <c r="C2166" s="456"/>
      <c r="D2166" s="450"/>
      <c r="E2166" s="450"/>
      <c r="F2166" s="450"/>
      <c r="G2166" s="450"/>
      <c r="H2166" s="450"/>
      <c r="I2166" s="450"/>
      <c r="J2166" s="450"/>
      <c r="M2166" s="296"/>
      <c r="N2166" s="296"/>
      <c r="O2166" s="296"/>
      <c r="R2166" s="348" t="str">
        <f t="shared" si="133"/>
        <v>DELETE</v>
      </c>
    </row>
    <row r="2167" spans="2:18" ht="36.75" customHeight="1" x14ac:dyDescent="0.5">
      <c r="B2167" s="316"/>
      <c r="C2167" s="456"/>
      <c r="D2167" s="450"/>
      <c r="E2167" s="450"/>
      <c r="F2167" s="450"/>
      <c r="G2167" s="450"/>
      <c r="H2167" s="450"/>
      <c r="I2167" s="450"/>
      <c r="J2167" s="450"/>
      <c r="M2167" s="296">
        <f>SUM(M2160:M2166)</f>
        <v>0</v>
      </c>
      <c r="N2167" s="296"/>
      <c r="O2167" s="296">
        <f>SUM(O2160:O2166)</f>
        <v>0</v>
      </c>
      <c r="R2167" s="348" t="str">
        <f>IF(M2167+O2167=0,"DELETE"," ")</f>
        <v>DELETE</v>
      </c>
    </row>
    <row r="2168" spans="2:18" ht="9" customHeight="1" thickBot="1" x14ac:dyDescent="0.55000000000000004">
      <c r="B2168" s="316"/>
      <c r="C2168" s="456"/>
      <c r="D2168" s="450"/>
      <c r="E2168" s="450"/>
      <c r="F2168" s="450"/>
      <c r="G2168" s="450"/>
      <c r="H2168" s="450"/>
      <c r="I2168" s="450"/>
      <c r="J2168" s="450"/>
      <c r="M2168" s="299"/>
      <c r="N2168" s="299"/>
      <c r="O2168" s="299"/>
      <c r="R2168" s="348" t="str">
        <f t="shared" si="133"/>
        <v>DELETE</v>
      </c>
    </row>
    <row r="2169" spans="2:18" ht="9" customHeight="1" thickTop="1" x14ac:dyDescent="0.5">
      <c r="B2169" s="316"/>
      <c r="C2169" s="456"/>
      <c r="D2169" s="450"/>
      <c r="E2169" s="450"/>
      <c r="F2169" s="450"/>
      <c r="G2169" s="450"/>
      <c r="H2169" s="450"/>
      <c r="I2169" s="450"/>
      <c r="J2169" s="450"/>
      <c r="M2169" s="310"/>
      <c r="N2169" s="310"/>
      <c r="O2169" s="310"/>
      <c r="R2169" s="348" t="str">
        <f t="shared" si="133"/>
        <v>DELETE</v>
      </c>
    </row>
    <row r="2170" spans="2:18" ht="36" customHeight="1" x14ac:dyDescent="0.5">
      <c r="B2170" s="316"/>
      <c r="C2170" s="456"/>
      <c r="D2170" s="450"/>
      <c r="E2170" s="450"/>
      <c r="F2170" s="450"/>
      <c r="G2170" s="450"/>
      <c r="H2170" s="450"/>
      <c r="I2170" s="450"/>
      <c r="J2170" s="450"/>
      <c r="M2170" s="296"/>
      <c r="N2170" s="296"/>
      <c r="O2170" s="296"/>
      <c r="R2170" s="348" t="str">
        <f t="shared" si="133"/>
        <v>DELETE</v>
      </c>
    </row>
    <row r="2171" spans="2:18" ht="36" customHeight="1" x14ac:dyDescent="0.5">
      <c r="B2171" s="316"/>
      <c r="C2171" s="456"/>
      <c r="D2171" s="450"/>
      <c r="E2171" s="450"/>
      <c r="F2171" s="450"/>
      <c r="G2171" s="450"/>
      <c r="H2171" s="450"/>
      <c r="I2171" s="450"/>
      <c r="J2171" s="450"/>
      <c r="M2171" s="296"/>
      <c r="N2171" s="296"/>
      <c r="O2171" s="296"/>
      <c r="R2171" s="348" t="str">
        <f t="shared" si="133"/>
        <v>DELETE</v>
      </c>
    </row>
    <row r="2172" spans="2:18" ht="36" customHeight="1" x14ac:dyDescent="0.5">
      <c r="B2172" s="316"/>
      <c r="C2172" s="456"/>
      <c r="D2172" s="450"/>
      <c r="E2172" s="450"/>
      <c r="F2172" s="450"/>
      <c r="G2172" s="450"/>
      <c r="H2172" s="450"/>
      <c r="I2172" s="450"/>
      <c r="J2172" s="450"/>
      <c r="M2172" s="310"/>
      <c r="N2172" s="310"/>
      <c r="O2172" s="310"/>
      <c r="P2172" s="356"/>
      <c r="R2172" s="348" t="str">
        <f t="shared" si="133"/>
        <v>DELETE</v>
      </c>
    </row>
    <row r="2173" spans="2:18" ht="36" customHeight="1" x14ac:dyDescent="0.5">
      <c r="B2173" s="316"/>
      <c r="C2173" s="456"/>
      <c r="D2173" s="450"/>
      <c r="E2173" s="450"/>
      <c r="F2173" s="450"/>
      <c r="G2173" s="450"/>
      <c r="H2173" s="450"/>
      <c r="I2173" s="450"/>
      <c r="J2173" s="450"/>
      <c r="M2173" s="296"/>
      <c r="N2173" s="296"/>
      <c r="O2173" s="296"/>
      <c r="R2173" s="348" t="str">
        <f t="shared" si="133"/>
        <v>DELETE</v>
      </c>
    </row>
    <row r="2174" spans="2:18" ht="36" customHeight="1" x14ac:dyDescent="0.5">
      <c r="B2174" s="316"/>
      <c r="C2174" s="456"/>
      <c r="D2174" s="450"/>
      <c r="E2174" s="450"/>
      <c r="F2174" s="450"/>
      <c r="G2174" s="450"/>
      <c r="H2174" s="450"/>
      <c r="I2174" s="450"/>
      <c r="J2174" s="450"/>
      <c r="M2174" s="296"/>
      <c r="N2174" s="296"/>
      <c r="O2174" s="296" t="s">
        <v>89</v>
      </c>
      <c r="Q2174" s="292">
        <f>MAX($Q$105:Q2173)+1</f>
        <v>59</v>
      </c>
      <c r="R2174" s="348" t="str">
        <f t="shared" ref="R2174:R2185" si="134">R$2195</f>
        <v>DELETE</v>
      </c>
    </row>
    <row r="2175" spans="2:18" ht="36" customHeight="1" x14ac:dyDescent="0.5">
      <c r="B2175" s="316"/>
      <c r="C2175" s="456"/>
      <c r="D2175" s="456" t="str">
        <f>Criteria!E9</f>
        <v>HOLDING COMPANY 268 (PROPRIETARY) LIMITED</v>
      </c>
      <c r="E2175" s="450"/>
      <c r="F2175" s="450"/>
      <c r="G2175" s="450"/>
      <c r="H2175" s="450"/>
      <c r="I2175" s="450"/>
      <c r="J2175" s="450"/>
      <c r="M2175" s="351"/>
      <c r="N2175" s="351"/>
      <c r="O2175" s="347"/>
      <c r="R2175" s="348" t="str">
        <f t="shared" si="134"/>
        <v>DELETE</v>
      </c>
    </row>
    <row r="2176" spans="2:18" ht="36" customHeight="1" x14ac:dyDescent="0.5">
      <c r="B2176" s="316"/>
      <c r="C2176" s="456"/>
      <c r="D2176" s="456" t="str">
        <f>Criteria!E10</f>
        <v>CONSOLIDATED FINANCIAL STATEMENTS</v>
      </c>
      <c r="E2176" s="450"/>
      <c r="F2176" s="450"/>
      <c r="G2176" s="450"/>
      <c r="H2176" s="450"/>
      <c r="I2176" s="450"/>
      <c r="J2176" s="450"/>
      <c r="M2176" s="351"/>
      <c r="N2176" s="351"/>
      <c r="O2176" s="351"/>
      <c r="R2176" s="348" t="str">
        <f>IF(R$2195="DELETE","DELETE",IF(D2176=0,"DELETE"," "))</f>
        <v>DELETE</v>
      </c>
    </row>
    <row r="2177" spans="2:26" ht="36" customHeight="1" x14ac:dyDescent="0.5">
      <c r="B2177" s="316"/>
      <c r="C2177" s="456"/>
      <c r="D2177" s="450"/>
      <c r="E2177" s="450"/>
      <c r="F2177" s="450"/>
      <c r="G2177" s="450"/>
      <c r="H2177" s="450"/>
      <c r="I2177" s="450"/>
      <c r="J2177" s="450"/>
      <c r="M2177" s="351"/>
      <c r="N2177" s="351"/>
      <c r="O2177" s="351"/>
      <c r="R2177" s="348" t="str">
        <f t="shared" si="134"/>
        <v>DELETE</v>
      </c>
    </row>
    <row r="2178" spans="2:26" ht="36" customHeight="1" x14ac:dyDescent="0.5">
      <c r="B2178" s="316"/>
      <c r="C2178" s="456"/>
      <c r="D2178" s="456" t="s">
        <v>351</v>
      </c>
      <c r="E2178" s="450"/>
      <c r="F2178" s="450"/>
      <c r="G2178" s="450"/>
      <c r="H2178" s="450"/>
      <c r="I2178" s="450"/>
      <c r="J2178" s="450"/>
      <c r="M2178" s="351"/>
      <c r="N2178" s="351"/>
      <c r="O2178" s="351"/>
      <c r="R2178" s="348" t="str">
        <f t="shared" si="134"/>
        <v>DELETE</v>
      </c>
    </row>
    <row r="2179" spans="2:26" ht="36" customHeight="1" x14ac:dyDescent="0.5">
      <c r="B2179" s="316"/>
      <c r="C2179" s="456"/>
      <c r="D2179" s="456" t="str">
        <f>Criteria!E20</f>
        <v>28 FEBRUARY 2025</v>
      </c>
      <c r="E2179" s="450"/>
      <c r="F2179" s="450"/>
      <c r="G2179" s="450"/>
      <c r="H2179" s="450"/>
      <c r="I2179" s="450"/>
      <c r="J2179" s="450" t="s">
        <v>231</v>
      </c>
      <c r="M2179" s="351"/>
      <c r="N2179" s="351"/>
      <c r="O2179" s="351"/>
      <c r="R2179" s="348" t="str">
        <f t="shared" si="134"/>
        <v>DELETE</v>
      </c>
    </row>
    <row r="2180" spans="2:26" ht="36" customHeight="1" x14ac:dyDescent="0.5">
      <c r="B2180" s="316"/>
      <c r="C2180" s="456"/>
      <c r="D2180" s="450"/>
      <c r="E2180" s="450"/>
      <c r="F2180" s="450"/>
      <c r="G2180" s="450"/>
      <c r="H2180" s="450"/>
      <c r="I2180" s="450"/>
      <c r="J2180" s="450"/>
      <c r="M2180" s="296"/>
      <c r="N2180" s="296"/>
      <c r="O2180" s="296"/>
      <c r="R2180" s="348" t="str">
        <f t="shared" si="134"/>
        <v>DELETE</v>
      </c>
    </row>
    <row r="2181" spans="2:26" ht="36" customHeight="1" x14ac:dyDescent="0.5">
      <c r="B2181" s="447"/>
      <c r="C2181" s="465"/>
      <c r="D2181" s="460"/>
      <c r="E2181" s="460"/>
      <c r="F2181" s="460"/>
      <c r="G2181" s="460"/>
      <c r="H2181" s="460"/>
      <c r="I2181" s="460"/>
      <c r="J2181" s="460"/>
      <c r="K2181" s="364"/>
      <c r="L2181" s="364"/>
      <c r="M2181" s="297"/>
      <c r="N2181" s="297"/>
      <c r="O2181" s="297"/>
      <c r="P2181" s="367"/>
      <c r="Q2181" s="364"/>
      <c r="R2181" s="348" t="str">
        <f t="shared" si="134"/>
        <v>DELETE</v>
      </c>
    </row>
    <row r="2182" spans="2:26" ht="36" customHeight="1" x14ac:dyDescent="0.5">
      <c r="B2182" s="316"/>
      <c r="C2182" s="456"/>
      <c r="D2182" s="450"/>
      <c r="E2182" s="450"/>
      <c r="F2182" s="450"/>
      <c r="G2182" s="450"/>
      <c r="H2182" s="450"/>
      <c r="I2182" s="450"/>
      <c r="J2182" s="450"/>
      <c r="M2182" s="294">
        <f>Criteria!E22</f>
        <v>2025</v>
      </c>
      <c r="N2182" s="294"/>
      <c r="O2182" s="294">
        <f>Criteria!E27</f>
        <v>2024</v>
      </c>
      <c r="P2182" s="356"/>
      <c r="R2182" s="348" t="str">
        <f t="shared" si="134"/>
        <v>DELETE</v>
      </c>
    </row>
    <row r="2183" spans="2:26" ht="36" customHeight="1" x14ac:dyDescent="0.5">
      <c r="B2183" s="316"/>
      <c r="C2183" s="456"/>
      <c r="D2183" s="450"/>
      <c r="E2183" s="450"/>
      <c r="F2183" s="450"/>
      <c r="G2183" s="450"/>
      <c r="H2183" s="450"/>
      <c r="I2183" s="450"/>
      <c r="J2183" s="450"/>
      <c r="M2183" s="310"/>
      <c r="N2183" s="310"/>
      <c r="O2183" s="310"/>
      <c r="P2183" s="356"/>
      <c r="R2183" s="348" t="str">
        <f t="shared" si="134"/>
        <v>DELETE</v>
      </c>
    </row>
    <row r="2184" spans="2:26" ht="36" customHeight="1" x14ac:dyDescent="0.5">
      <c r="B2184" s="316">
        <f>MAX(B$602:B2183)+1</f>
        <v>29</v>
      </c>
      <c r="C2184" s="461" t="str">
        <f>IF((Y2184+Z2184)=3,"Current tax liability/(asset)",(IF((Y2184+Z2184=4),"Current tax liability","Current tax asset")))</f>
        <v>Current tax liability</v>
      </c>
      <c r="D2184" s="459"/>
      <c r="E2184" s="450"/>
      <c r="F2184" s="450"/>
      <c r="G2184" s="450"/>
      <c r="H2184" s="450"/>
      <c r="I2184" s="450"/>
      <c r="J2184" s="450"/>
      <c r="M2184" s="310"/>
      <c r="N2184" s="310"/>
      <c r="O2184" s="310"/>
      <c r="P2184" s="356"/>
      <c r="R2184" s="348" t="str">
        <f t="shared" si="134"/>
        <v>DELETE</v>
      </c>
      <c r="Y2184" s="331">
        <f>IF(M2195&lt;0,1,IF(M2195=0,IF(O2195&lt;0,1,2),2))</f>
        <v>2</v>
      </c>
      <c r="Z2184" s="331">
        <f>IF(O2195&lt;0,1,IF(O2195=0,IF(M2195&lt;0,1,2),2))</f>
        <v>2</v>
      </c>
    </row>
    <row r="2185" spans="2:26" ht="36" customHeight="1" x14ac:dyDescent="0.5">
      <c r="B2185" s="316"/>
      <c r="C2185" s="461"/>
      <c r="D2185" s="459"/>
      <c r="E2185" s="450"/>
      <c r="F2185" s="450"/>
      <c r="G2185" s="450"/>
      <c r="H2185" s="450"/>
      <c r="I2185" s="450"/>
      <c r="J2185" s="450"/>
      <c r="M2185" s="310"/>
      <c r="N2185" s="310"/>
      <c r="O2185" s="310"/>
      <c r="P2185" s="356"/>
      <c r="R2185" s="348" t="str">
        <f t="shared" si="134"/>
        <v>DELETE</v>
      </c>
    </row>
    <row r="2186" spans="2:26" ht="36" customHeight="1" x14ac:dyDescent="0.5">
      <c r="B2186" s="316"/>
      <c r="C2186" s="458" t="str">
        <f>IF((Y2186+Z2186)=3,"Current tax liability/(asset) at the beginning of the year",(IF((Y2186+Z2186=4),"Current tax liability at the beginning of the year","Current tax asset at the beginning of the year")))</f>
        <v>Current tax liability at the beginning of the year</v>
      </c>
      <c r="D2186" s="459"/>
      <c r="E2186" s="450"/>
      <c r="F2186" s="450"/>
      <c r="G2186" s="450"/>
      <c r="H2186" s="450"/>
      <c r="I2186" s="450"/>
      <c r="J2186" s="450"/>
      <c r="M2186" s="310">
        <f>-TrialBalance!L386</f>
        <v>0</v>
      </c>
      <c r="N2186" s="310"/>
      <c r="O2186" s="310">
        <f>-TrialBalance!N386</f>
        <v>0</v>
      </c>
      <c r="P2186" s="356"/>
      <c r="R2186" s="348" t="str">
        <f>IF(M2186=0,IF(O2186=0,"DELETE"," ")," ")</f>
        <v>DELETE</v>
      </c>
      <c r="V2186" s="331" t="b">
        <f>M2186=O2195</f>
        <v>1</v>
      </c>
      <c r="Y2186" s="331">
        <f>IF(M2186&lt;0,1,IF(M2186=0,IF(O2186&lt;0,1,2),2))</f>
        <v>2</v>
      </c>
      <c r="Z2186" s="331">
        <f>IF(O2186&lt;0,1,IF(O2186=0,IF(M2186&lt;0,1,2),2))</f>
        <v>2</v>
      </c>
    </row>
    <row r="2187" spans="2:26" ht="36" customHeight="1" x14ac:dyDescent="0.5">
      <c r="B2187" s="316"/>
      <c r="C2187" s="450" t="s">
        <v>1011</v>
      </c>
      <c r="D2187" s="459"/>
      <c r="E2187" s="450"/>
      <c r="F2187" s="450"/>
      <c r="G2187" s="450"/>
      <c r="H2187" s="450"/>
      <c r="I2187" s="450"/>
      <c r="J2187" s="450"/>
      <c r="M2187" s="310">
        <f>-TrialBalance!L387</f>
        <v>0</v>
      </c>
      <c r="N2187" s="310"/>
      <c r="O2187" s="310">
        <f>-TrialBalance!N387</f>
        <v>0</v>
      </c>
      <c r="P2187" s="356"/>
      <c r="R2187" s="348" t="str">
        <f t="shared" ref="R2187:R2191" si="135">IF(M2187=0,IF(O2187=0,"DELETE"," ")," ")</f>
        <v>DELETE</v>
      </c>
    </row>
    <row r="2188" spans="2:26" ht="36" customHeight="1" x14ac:dyDescent="0.5">
      <c r="B2188" s="316"/>
      <c r="C2188" s="450" t="s">
        <v>1012</v>
      </c>
      <c r="D2188" s="459"/>
      <c r="E2188" s="450"/>
      <c r="F2188" s="450"/>
      <c r="G2188" s="450"/>
      <c r="H2188" s="450"/>
      <c r="I2188" s="450"/>
      <c r="J2188" s="450"/>
      <c r="M2188" s="310">
        <f>-TrialBalance!L388</f>
        <v>0</v>
      </c>
      <c r="N2188" s="310"/>
      <c r="O2188" s="310">
        <f>-TrialBalance!N388</f>
        <v>0</v>
      </c>
      <c r="P2188" s="356"/>
      <c r="R2188" s="348" t="str">
        <f t="shared" si="135"/>
        <v>DELETE</v>
      </c>
    </row>
    <row r="2189" spans="2:26" ht="36" customHeight="1" x14ac:dyDescent="0.5">
      <c r="B2189" s="316"/>
      <c r="C2189" s="450" t="s">
        <v>1013</v>
      </c>
      <c r="D2189" s="459"/>
      <c r="E2189" s="450"/>
      <c r="F2189" s="450"/>
      <c r="G2189" s="450"/>
      <c r="H2189" s="450"/>
      <c r="I2189" s="450"/>
      <c r="J2189" s="450"/>
      <c r="M2189" s="310">
        <f>-TrialBalance!L389</f>
        <v>0</v>
      </c>
      <c r="N2189" s="310"/>
      <c r="O2189" s="310">
        <f>-TrialBalance!N389</f>
        <v>0</v>
      </c>
      <c r="P2189" s="356"/>
      <c r="R2189" s="348" t="str">
        <f t="shared" si="135"/>
        <v>DELETE</v>
      </c>
    </row>
    <row r="2190" spans="2:26" ht="36" customHeight="1" x14ac:dyDescent="0.5">
      <c r="B2190" s="316"/>
      <c r="C2190" s="450" t="s">
        <v>1014</v>
      </c>
      <c r="D2190" s="459"/>
      <c r="E2190" s="450"/>
      <c r="F2190" s="450"/>
      <c r="G2190" s="450"/>
      <c r="H2190" s="450"/>
      <c r="I2190" s="450"/>
      <c r="J2190" s="450"/>
      <c r="M2190" s="310">
        <f>-TrialBalance!L390</f>
        <v>0</v>
      </c>
      <c r="N2190" s="310"/>
      <c r="O2190" s="310">
        <f>-TrialBalance!N390</f>
        <v>0</v>
      </c>
      <c r="P2190" s="356"/>
      <c r="R2190" s="348" t="str">
        <f t="shared" si="135"/>
        <v>DELETE</v>
      </c>
    </row>
    <row r="2191" spans="2:26" ht="36" customHeight="1" x14ac:dyDescent="0.5">
      <c r="B2191" s="316"/>
      <c r="C2191" s="450" t="s">
        <v>1015</v>
      </c>
      <c r="D2191" s="459"/>
      <c r="E2191" s="450"/>
      <c r="F2191" s="450"/>
      <c r="G2191" s="450"/>
      <c r="H2191" s="450"/>
      <c r="I2191" s="450"/>
      <c r="J2191" s="450"/>
      <c r="M2191" s="310">
        <f>-TrialBalance!L391</f>
        <v>0</v>
      </c>
      <c r="N2191" s="310"/>
      <c r="O2191" s="310">
        <f>-TrialBalance!N391</f>
        <v>0</v>
      </c>
      <c r="P2191" s="356"/>
      <c r="R2191" s="348" t="str">
        <f t="shared" si="135"/>
        <v>DELETE</v>
      </c>
    </row>
    <row r="2192" spans="2:26" ht="36" customHeight="1" x14ac:dyDescent="0.5">
      <c r="B2192" s="316"/>
      <c r="C2192" s="450" t="s">
        <v>1016</v>
      </c>
      <c r="D2192" s="459"/>
      <c r="E2192" s="450"/>
      <c r="F2192" s="450"/>
      <c r="G2192" s="450"/>
      <c r="H2192" s="450"/>
      <c r="I2192" s="450"/>
      <c r="J2192" s="450"/>
      <c r="M2192" s="310">
        <f>-TrialBalance!L392</f>
        <v>0</v>
      </c>
      <c r="N2192" s="310"/>
      <c r="O2192" s="310">
        <f>-TrialBalance!N392</f>
        <v>0</v>
      </c>
      <c r="P2192" s="356"/>
      <c r="R2192" s="348" t="str">
        <f>IF(M2192=0,IF(O2192=0,"DELETE"," ")," ")</f>
        <v>DELETE</v>
      </c>
    </row>
    <row r="2193" spans="2:26" ht="9" customHeight="1" x14ac:dyDescent="0.5">
      <c r="B2193" s="316"/>
      <c r="C2193" s="450"/>
      <c r="D2193" s="459"/>
      <c r="E2193" s="450"/>
      <c r="F2193" s="450"/>
      <c r="G2193" s="450"/>
      <c r="H2193" s="450"/>
      <c r="I2193" s="450"/>
      <c r="J2193" s="450"/>
      <c r="M2193" s="298"/>
      <c r="N2193" s="298"/>
      <c r="O2193" s="298"/>
      <c r="P2193" s="356"/>
      <c r="R2193" s="348" t="str">
        <f>R$2195</f>
        <v>DELETE</v>
      </c>
    </row>
    <row r="2194" spans="2:26" ht="9" customHeight="1" x14ac:dyDescent="0.5">
      <c r="B2194" s="316"/>
      <c r="C2194" s="450"/>
      <c r="D2194" s="459"/>
      <c r="E2194" s="450"/>
      <c r="F2194" s="450"/>
      <c r="G2194" s="450"/>
      <c r="H2194" s="450"/>
      <c r="I2194" s="450"/>
      <c r="J2194" s="450"/>
      <c r="M2194" s="310"/>
      <c r="N2194" s="310"/>
      <c r="O2194" s="310"/>
      <c r="P2194" s="356"/>
      <c r="R2194" s="348" t="str">
        <f>R$2195</f>
        <v>DELETE</v>
      </c>
    </row>
    <row r="2195" spans="2:26" ht="36.75" customHeight="1" x14ac:dyDescent="0.5">
      <c r="B2195" s="316"/>
      <c r="C2195" s="458" t="str">
        <f>IF((Y2195+Z2195)=3,"Current tax liability/(asset) at the end of the year",(IF((Y2195+Z2195=4),"Current tax liability at the end of the year","Current tax asset at the end of the year")))</f>
        <v>Current tax liability at the end of the year</v>
      </c>
      <c r="D2195" s="459"/>
      <c r="E2195" s="450"/>
      <c r="F2195" s="450"/>
      <c r="G2195" s="450"/>
      <c r="H2195" s="450"/>
      <c r="I2195" s="450"/>
      <c r="J2195" s="450"/>
      <c r="M2195" s="310">
        <f>SUM(M2184:M2193)</f>
        <v>0</v>
      </c>
      <c r="N2195" s="310"/>
      <c r="O2195" s="310">
        <f>SUM(O2184:O2193)</f>
        <v>0</v>
      </c>
      <c r="P2195" s="356"/>
      <c r="R2195" s="348" t="str">
        <f>IF(M2195=0,IF(O2195=0,IF(COUNTIF(O2186:O2192,"&gt;0")&gt;0," ",IF(COUNTIF(M2186:M2192,"&gt;0")&gt;0," ","DELETE"))," ")," ")</f>
        <v>DELETE</v>
      </c>
      <c r="Y2195" s="331">
        <f>IF(M2195&lt;0,1,IF(M2195=0,IF(O2195&lt;0,1,2),2))</f>
        <v>2</v>
      </c>
      <c r="Z2195" s="331">
        <f>IF(O2195&lt;0,1,IF(O2195=0,IF(M2195&lt;0,1,2),2))</f>
        <v>2</v>
      </c>
    </row>
    <row r="2196" spans="2:26" ht="9" customHeight="1" thickBot="1" x14ac:dyDescent="0.55000000000000004">
      <c r="B2196" s="316"/>
      <c r="C2196" s="456"/>
      <c r="D2196" s="450"/>
      <c r="E2196" s="450"/>
      <c r="F2196" s="450"/>
      <c r="G2196" s="450"/>
      <c r="H2196" s="450"/>
      <c r="I2196" s="450"/>
      <c r="J2196" s="450"/>
      <c r="M2196" s="299"/>
      <c r="N2196" s="299"/>
      <c r="O2196" s="299"/>
      <c r="P2196" s="356"/>
      <c r="R2196" s="348" t="str">
        <f t="shared" ref="R2196:R2201" si="136">R$2195</f>
        <v>DELETE</v>
      </c>
    </row>
    <row r="2197" spans="2:26" ht="9" customHeight="1" thickTop="1" x14ac:dyDescent="0.5">
      <c r="B2197" s="316"/>
      <c r="C2197" s="456"/>
      <c r="D2197" s="450"/>
      <c r="E2197" s="450"/>
      <c r="F2197" s="450"/>
      <c r="G2197" s="450"/>
      <c r="H2197" s="450"/>
      <c r="I2197" s="450"/>
      <c r="J2197" s="450"/>
      <c r="M2197" s="310"/>
      <c r="N2197" s="310"/>
      <c r="O2197" s="310"/>
      <c r="P2197" s="356"/>
      <c r="R2197" s="348" t="str">
        <f t="shared" si="136"/>
        <v>DELETE</v>
      </c>
    </row>
    <row r="2198" spans="2:26" ht="36" customHeight="1" x14ac:dyDescent="0.5">
      <c r="B2198" s="316"/>
      <c r="C2198" s="456"/>
      <c r="D2198" s="450"/>
      <c r="E2198" s="450"/>
      <c r="F2198" s="450"/>
      <c r="G2198" s="450"/>
      <c r="H2198" s="450"/>
      <c r="I2198" s="450"/>
      <c r="J2198" s="450"/>
      <c r="M2198" s="310"/>
      <c r="N2198" s="310"/>
      <c r="O2198" s="310"/>
      <c r="P2198" s="356"/>
      <c r="R2198" s="348" t="str">
        <f t="shared" si="136"/>
        <v>DELETE</v>
      </c>
    </row>
    <row r="2199" spans="2:26" ht="36" customHeight="1" x14ac:dyDescent="0.5">
      <c r="B2199" s="316"/>
      <c r="C2199" s="456"/>
      <c r="D2199" s="450"/>
      <c r="E2199" s="450"/>
      <c r="F2199" s="450"/>
      <c r="G2199" s="450"/>
      <c r="H2199" s="450"/>
      <c r="I2199" s="450"/>
      <c r="J2199" s="450"/>
      <c r="M2199" s="310"/>
      <c r="N2199" s="310"/>
      <c r="O2199" s="310"/>
      <c r="P2199" s="356"/>
      <c r="R2199" s="348" t="str">
        <f t="shared" si="136"/>
        <v>DELETE</v>
      </c>
    </row>
    <row r="2200" spans="2:26" ht="36" customHeight="1" x14ac:dyDescent="0.5">
      <c r="B2200" s="316"/>
      <c r="C2200" s="456"/>
      <c r="D2200" s="450"/>
      <c r="E2200" s="450"/>
      <c r="F2200" s="450"/>
      <c r="G2200" s="450"/>
      <c r="H2200" s="450"/>
      <c r="I2200" s="450"/>
      <c r="J2200" s="450"/>
      <c r="M2200" s="310"/>
      <c r="N2200" s="310"/>
      <c r="O2200" s="310"/>
      <c r="P2200" s="356"/>
      <c r="R2200" s="348" t="str">
        <f t="shared" si="136"/>
        <v>DELETE</v>
      </c>
    </row>
    <row r="2201" spans="2:26" ht="36" customHeight="1" x14ac:dyDescent="0.5">
      <c r="B2201" s="316"/>
      <c r="C2201" s="456"/>
      <c r="D2201" s="450"/>
      <c r="E2201" s="450"/>
      <c r="F2201" s="450"/>
      <c r="G2201" s="450"/>
      <c r="H2201" s="450"/>
      <c r="I2201" s="450"/>
      <c r="J2201" s="450"/>
      <c r="M2201" s="296"/>
      <c r="N2201" s="296"/>
      <c r="O2201" s="296"/>
      <c r="R2201" s="348" t="str">
        <f t="shared" si="136"/>
        <v>DELETE</v>
      </c>
    </row>
    <row r="2202" spans="2:26" ht="36" customHeight="1" x14ac:dyDescent="0.5">
      <c r="B2202" s="316"/>
      <c r="C2202" s="456"/>
      <c r="D2202" s="450"/>
      <c r="E2202" s="450"/>
      <c r="F2202" s="450"/>
      <c r="G2202" s="450"/>
      <c r="H2202" s="450"/>
      <c r="I2202" s="450"/>
      <c r="J2202" s="450"/>
      <c r="M2202" s="296"/>
      <c r="N2202" s="296"/>
      <c r="O2202" s="296" t="s">
        <v>89</v>
      </c>
      <c r="Q2202" s="292">
        <f>MAX($Q$105:Q2201)+1</f>
        <v>60</v>
      </c>
      <c r="R2202" s="348" t="str">
        <f t="shared" ref="R2202:R2215" si="137">R$2221</f>
        <v>DELETE</v>
      </c>
    </row>
    <row r="2203" spans="2:26" ht="36" customHeight="1" x14ac:dyDescent="0.5">
      <c r="B2203" s="316"/>
      <c r="C2203" s="456"/>
      <c r="D2203" s="456" t="str">
        <f>Criteria!E9</f>
        <v>HOLDING COMPANY 268 (PROPRIETARY) LIMITED</v>
      </c>
      <c r="E2203" s="450"/>
      <c r="F2203" s="450"/>
      <c r="G2203" s="450"/>
      <c r="H2203" s="450"/>
      <c r="I2203" s="450"/>
      <c r="J2203" s="450"/>
      <c r="M2203" s="351"/>
      <c r="N2203" s="351"/>
      <c r="O2203" s="347"/>
      <c r="R2203" s="348" t="str">
        <f t="shared" si="137"/>
        <v>DELETE</v>
      </c>
    </row>
    <row r="2204" spans="2:26" ht="36" customHeight="1" x14ac:dyDescent="0.5">
      <c r="B2204" s="316"/>
      <c r="C2204" s="456"/>
      <c r="D2204" s="456" t="str">
        <f>Criteria!E10</f>
        <v>CONSOLIDATED FINANCIAL STATEMENTS</v>
      </c>
      <c r="E2204" s="450"/>
      <c r="F2204" s="450"/>
      <c r="G2204" s="450"/>
      <c r="H2204" s="450"/>
      <c r="I2204" s="450"/>
      <c r="J2204" s="450"/>
      <c r="M2204" s="351"/>
      <c r="N2204" s="351"/>
      <c r="O2204" s="351"/>
      <c r="R2204" s="348" t="str">
        <f>IF(R$2221="DELETE","DELETE",IF(D2204=0,"DELETE"," "))</f>
        <v>DELETE</v>
      </c>
    </row>
    <row r="2205" spans="2:26" ht="36" customHeight="1" x14ac:dyDescent="0.5">
      <c r="B2205" s="316"/>
      <c r="C2205" s="456"/>
      <c r="D2205" s="450"/>
      <c r="E2205" s="450"/>
      <c r="F2205" s="450"/>
      <c r="G2205" s="450"/>
      <c r="H2205" s="450"/>
      <c r="I2205" s="450"/>
      <c r="J2205" s="450"/>
      <c r="M2205" s="351"/>
      <c r="N2205" s="351"/>
      <c r="O2205" s="351"/>
      <c r="R2205" s="348" t="str">
        <f t="shared" si="137"/>
        <v>DELETE</v>
      </c>
    </row>
    <row r="2206" spans="2:26" ht="36" customHeight="1" x14ac:dyDescent="0.5">
      <c r="B2206" s="316"/>
      <c r="C2206" s="456"/>
      <c r="D2206" s="456" t="s">
        <v>351</v>
      </c>
      <c r="E2206" s="450"/>
      <c r="F2206" s="450"/>
      <c r="G2206" s="450"/>
      <c r="H2206" s="450"/>
      <c r="I2206" s="450"/>
      <c r="J2206" s="450"/>
      <c r="M2206" s="351"/>
      <c r="N2206" s="351"/>
      <c r="O2206" s="351"/>
      <c r="R2206" s="348" t="str">
        <f t="shared" si="137"/>
        <v>DELETE</v>
      </c>
    </row>
    <row r="2207" spans="2:26" ht="36" customHeight="1" x14ac:dyDescent="0.5">
      <c r="B2207" s="316"/>
      <c r="C2207" s="456"/>
      <c r="D2207" s="456" t="str">
        <f>Criteria!E20</f>
        <v>28 FEBRUARY 2025</v>
      </c>
      <c r="E2207" s="450"/>
      <c r="F2207" s="450"/>
      <c r="G2207" s="450"/>
      <c r="H2207" s="450"/>
      <c r="I2207" s="450"/>
      <c r="J2207" s="450" t="s">
        <v>231</v>
      </c>
      <c r="M2207" s="351"/>
      <c r="N2207" s="351"/>
      <c r="O2207" s="351"/>
      <c r="R2207" s="348" t="str">
        <f t="shared" si="137"/>
        <v>DELETE</v>
      </c>
    </row>
    <row r="2208" spans="2:26" ht="36" customHeight="1" x14ac:dyDescent="0.5">
      <c r="B2208" s="316"/>
      <c r="C2208" s="456"/>
      <c r="D2208" s="450"/>
      <c r="E2208" s="450"/>
      <c r="F2208" s="450"/>
      <c r="G2208" s="450"/>
      <c r="H2208" s="450"/>
      <c r="I2208" s="450"/>
      <c r="J2208" s="450"/>
      <c r="M2208" s="296"/>
      <c r="N2208" s="296"/>
      <c r="O2208" s="296"/>
      <c r="R2208" s="348" t="str">
        <f t="shared" si="137"/>
        <v>DELETE</v>
      </c>
    </row>
    <row r="2209" spans="2:18" ht="36" customHeight="1" x14ac:dyDescent="0.5">
      <c r="B2209" s="447"/>
      <c r="C2209" s="465"/>
      <c r="D2209" s="460"/>
      <c r="E2209" s="460"/>
      <c r="F2209" s="460"/>
      <c r="G2209" s="460"/>
      <c r="H2209" s="460"/>
      <c r="I2209" s="460"/>
      <c r="J2209" s="460"/>
      <c r="K2209" s="364"/>
      <c r="L2209" s="364"/>
      <c r="M2209" s="297"/>
      <c r="N2209" s="297"/>
      <c r="O2209" s="297"/>
      <c r="P2209" s="367"/>
      <c r="Q2209" s="364"/>
      <c r="R2209" s="348" t="str">
        <f t="shared" si="137"/>
        <v>DELETE</v>
      </c>
    </row>
    <row r="2210" spans="2:18" ht="36" customHeight="1" x14ac:dyDescent="0.5">
      <c r="B2210" s="316"/>
      <c r="C2210" s="456"/>
      <c r="D2210" s="450"/>
      <c r="E2210" s="450"/>
      <c r="F2210" s="450"/>
      <c r="G2210" s="450"/>
      <c r="H2210" s="450"/>
      <c r="I2210" s="450"/>
      <c r="J2210" s="450"/>
      <c r="M2210" s="294">
        <f>Criteria!E22</f>
        <v>2025</v>
      </c>
      <c r="N2210" s="294"/>
      <c r="O2210" s="294">
        <f>Criteria!E27</f>
        <v>2024</v>
      </c>
      <c r="P2210" s="356"/>
      <c r="R2210" s="348" t="str">
        <f t="shared" si="137"/>
        <v>DELETE</v>
      </c>
    </row>
    <row r="2211" spans="2:18" ht="36" customHeight="1" x14ac:dyDescent="0.5">
      <c r="B2211" s="316"/>
      <c r="C2211" s="456"/>
      <c r="D2211" s="450"/>
      <c r="E2211" s="450"/>
      <c r="F2211" s="450"/>
      <c r="G2211" s="450"/>
      <c r="H2211" s="450"/>
      <c r="I2211" s="450"/>
      <c r="J2211" s="450"/>
      <c r="M2211" s="310"/>
      <c r="N2211" s="310"/>
      <c r="O2211" s="310"/>
      <c r="P2211" s="356"/>
      <c r="R2211" s="348" t="str">
        <f t="shared" si="137"/>
        <v>DELETE</v>
      </c>
    </row>
    <row r="2212" spans="2:18" ht="36" customHeight="1" x14ac:dyDescent="0.5">
      <c r="B2212" s="316">
        <f>MAX(B$602:B2211)+1</f>
        <v>30</v>
      </c>
      <c r="C2212" s="456" t="s">
        <v>1070</v>
      </c>
      <c r="D2212" s="450"/>
      <c r="E2212" s="450"/>
      <c r="F2212" s="450"/>
      <c r="G2212" s="450"/>
      <c r="H2212" s="450"/>
      <c r="I2212" s="450"/>
      <c r="J2212" s="450"/>
      <c r="M2212" s="310"/>
      <c r="N2212" s="310"/>
      <c r="O2212" s="310"/>
      <c r="P2212" s="356"/>
      <c r="R2212" s="348" t="str">
        <f t="shared" si="137"/>
        <v>DELETE</v>
      </c>
    </row>
    <row r="2213" spans="2:18" ht="36" customHeight="1" x14ac:dyDescent="0.5">
      <c r="B2213" s="316"/>
      <c r="C2213" s="456"/>
      <c r="D2213" s="450"/>
      <c r="E2213" s="450"/>
      <c r="F2213" s="450"/>
      <c r="G2213" s="450"/>
      <c r="H2213" s="450"/>
      <c r="I2213" s="450"/>
      <c r="J2213" s="450"/>
      <c r="M2213" s="310"/>
      <c r="N2213" s="310"/>
      <c r="O2213" s="310"/>
      <c r="P2213" s="356"/>
      <c r="R2213" s="348" t="str">
        <f t="shared" si="137"/>
        <v>DELETE</v>
      </c>
    </row>
    <row r="2214" spans="2:18" ht="36" customHeight="1" x14ac:dyDescent="0.5">
      <c r="B2214" s="316"/>
      <c r="C2214" s="450" t="s">
        <v>971</v>
      </c>
      <c r="D2214" s="459"/>
      <c r="E2214" s="450"/>
      <c r="F2214" s="450"/>
      <c r="G2214" s="450"/>
      <c r="H2214" s="450"/>
      <c r="I2214" s="450"/>
      <c r="J2214" s="450"/>
      <c r="M2214" s="310"/>
      <c r="N2214" s="310"/>
      <c r="O2214" s="310"/>
      <c r="P2214" s="356"/>
      <c r="R2214" s="348" t="str">
        <f t="shared" si="137"/>
        <v>DELETE</v>
      </c>
    </row>
    <row r="2215" spans="2:18" ht="36" customHeight="1" x14ac:dyDescent="0.5">
      <c r="B2215" s="316"/>
      <c r="C2215" s="456"/>
      <c r="D2215" s="450"/>
      <c r="E2215" s="450"/>
      <c r="F2215" s="450"/>
      <c r="G2215" s="450"/>
      <c r="H2215" s="450"/>
      <c r="I2215" s="450"/>
      <c r="J2215" s="450"/>
      <c r="M2215" s="310"/>
      <c r="N2215" s="310"/>
      <c r="O2215" s="310"/>
      <c r="P2215" s="356"/>
      <c r="R2215" s="348" t="str">
        <f t="shared" si="137"/>
        <v>DELETE</v>
      </c>
    </row>
    <row r="2216" spans="2:18" ht="36" customHeight="1" x14ac:dyDescent="0.5">
      <c r="B2216" s="316"/>
      <c r="C2216" s="450" t="s">
        <v>967</v>
      </c>
      <c r="D2216" s="450"/>
      <c r="E2216" s="459"/>
      <c r="F2216" s="450"/>
      <c r="G2216" s="450"/>
      <c r="H2216" s="450"/>
      <c r="I2216" s="450"/>
      <c r="J2216" s="450"/>
      <c r="M2216" s="310">
        <f>Criteria!F355</f>
        <v>0</v>
      </c>
      <c r="N2216" s="310"/>
      <c r="O2216" s="310">
        <f>Criteria!G355</f>
        <v>0</v>
      </c>
      <c r="P2216" s="356"/>
      <c r="R2216" s="348" t="str">
        <f t="shared" ref="R2216:R2217" si="138">IF(M2216+O2216=0,"DELETE"," ")</f>
        <v>DELETE</v>
      </c>
    </row>
    <row r="2217" spans="2:18" ht="36" customHeight="1" x14ac:dyDescent="0.5">
      <c r="B2217" s="316"/>
      <c r="C2217" s="450" t="s">
        <v>972</v>
      </c>
      <c r="D2217" s="450"/>
      <c r="E2217" s="459"/>
      <c r="F2217" s="450"/>
      <c r="G2217" s="450"/>
      <c r="H2217" s="450"/>
      <c r="I2217" s="450"/>
      <c r="J2217" s="450"/>
      <c r="M2217" s="310">
        <f>Criteria!F356</f>
        <v>0</v>
      </c>
      <c r="N2217" s="310"/>
      <c r="O2217" s="310">
        <f>Criteria!G356</f>
        <v>0</v>
      </c>
      <c r="P2217" s="356"/>
      <c r="R2217" s="348" t="str">
        <f t="shared" si="138"/>
        <v>DELETE</v>
      </c>
    </row>
    <row r="2218" spans="2:18" ht="36" customHeight="1" x14ac:dyDescent="0.5">
      <c r="B2218" s="316"/>
      <c r="C2218" s="450" t="s">
        <v>969</v>
      </c>
      <c r="D2218" s="450"/>
      <c r="E2218" s="459"/>
      <c r="F2218" s="450"/>
      <c r="G2218" s="450"/>
      <c r="H2218" s="450"/>
      <c r="I2218" s="450"/>
      <c r="J2218" s="450"/>
      <c r="M2218" s="310">
        <f>Criteria!F357</f>
        <v>0</v>
      </c>
      <c r="N2218" s="310"/>
      <c r="O2218" s="310">
        <f>Criteria!G357</f>
        <v>0</v>
      </c>
      <c r="P2218" s="356"/>
      <c r="R2218" s="348" t="str">
        <f>IF(M2218+O2218=0,"DELETE"," ")</f>
        <v>DELETE</v>
      </c>
    </row>
    <row r="2219" spans="2:18" ht="9" customHeight="1" x14ac:dyDescent="0.5">
      <c r="B2219" s="316"/>
      <c r="C2219" s="456"/>
      <c r="D2219" s="450"/>
      <c r="E2219" s="450"/>
      <c r="F2219" s="450"/>
      <c r="G2219" s="450"/>
      <c r="H2219" s="450"/>
      <c r="I2219" s="450"/>
      <c r="J2219" s="450"/>
      <c r="M2219" s="298"/>
      <c r="N2219" s="298"/>
      <c r="O2219" s="298"/>
      <c r="P2219" s="356"/>
      <c r="R2219" s="348" t="str">
        <f>R$2221</f>
        <v>DELETE</v>
      </c>
    </row>
    <row r="2220" spans="2:18" ht="9" customHeight="1" x14ac:dyDescent="0.5">
      <c r="B2220" s="316"/>
      <c r="C2220" s="456"/>
      <c r="D2220" s="450"/>
      <c r="E2220" s="450"/>
      <c r="F2220" s="450"/>
      <c r="G2220" s="450"/>
      <c r="H2220" s="450"/>
      <c r="I2220" s="450"/>
      <c r="J2220" s="450"/>
      <c r="M2220" s="310"/>
      <c r="N2220" s="310"/>
      <c r="O2220" s="310"/>
      <c r="P2220" s="356"/>
      <c r="R2220" s="348" t="str">
        <f>R$2221</f>
        <v>DELETE</v>
      </c>
    </row>
    <row r="2221" spans="2:18" ht="36.75" customHeight="1" x14ac:dyDescent="0.5">
      <c r="B2221" s="316"/>
      <c r="C2221" s="456"/>
      <c r="D2221" s="450"/>
      <c r="E2221" s="450"/>
      <c r="F2221" s="450"/>
      <c r="G2221" s="450"/>
      <c r="H2221" s="450"/>
      <c r="I2221" s="450"/>
      <c r="J2221" s="450"/>
      <c r="M2221" s="310">
        <f>SUM(M2216:M2220)</f>
        <v>0</v>
      </c>
      <c r="N2221" s="310"/>
      <c r="O2221" s="310">
        <f>SUM(O2216:O2220)</f>
        <v>0</v>
      </c>
      <c r="P2221" s="356"/>
      <c r="R2221" s="348" t="str">
        <f>IF(M2221+O2221=0,"DELETE"," ")</f>
        <v>DELETE</v>
      </c>
    </row>
    <row r="2222" spans="2:18" ht="9" customHeight="1" thickBot="1" x14ac:dyDescent="0.55000000000000004">
      <c r="B2222" s="316"/>
      <c r="C2222" s="456"/>
      <c r="D2222" s="450"/>
      <c r="E2222" s="450"/>
      <c r="F2222" s="450"/>
      <c r="G2222" s="450"/>
      <c r="H2222" s="450"/>
      <c r="I2222" s="450"/>
      <c r="J2222" s="450"/>
      <c r="M2222" s="299"/>
      <c r="N2222" s="299"/>
      <c r="O2222" s="299"/>
      <c r="P2222" s="356"/>
      <c r="R2222" s="348" t="str">
        <f t="shared" ref="R2222:R2227" si="139">R$2221</f>
        <v>DELETE</v>
      </c>
    </row>
    <row r="2223" spans="2:18" ht="9" customHeight="1" thickTop="1" x14ac:dyDescent="0.5">
      <c r="B2223" s="316"/>
      <c r="C2223" s="456"/>
      <c r="D2223" s="450"/>
      <c r="E2223" s="450"/>
      <c r="F2223" s="450"/>
      <c r="G2223" s="450"/>
      <c r="H2223" s="450"/>
      <c r="I2223" s="450"/>
      <c r="J2223" s="450"/>
      <c r="M2223" s="310"/>
      <c r="N2223" s="310"/>
      <c r="O2223" s="310"/>
      <c r="P2223" s="356"/>
      <c r="R2223" s="348" t="str">
        <f t="shared" si="139"/>
        <v>DELETE</v>
      </c>
    </row>
    <row r="2224" spans="2:18" ht="36" customHeight="1" x14ac:dyDescent="0.5">
      <c r="B2224" s="316"/>
      <c r="C2224" s="456"/>
      <c r="D2224" s="450"/>
      <c r="E2224" s="450"/>
      <c r="F2224" s="450"/>
      <c r="G2224" s="450"/>
      <c r="H2224" s="450"/>
      <c r="I2224" s="450"/>
      <c r="J2224" s="450"/>
      <c r="M2224" s="310"/>
      <c r="N2224" s="310"/>
      <c r="O2224" s="310"/>
      <c r="P2224" s="356"/>
      <c r="R2224" s="348" t="str">
        <f t="shared" si="139"/>
        <v>DELETE</v>
      </c>
    </row>
    <row r="2225" spans="2:18" ht="36" customHeight="1" x14ac:dyDescent="0.5">
      <c r="B2225" s="316"/>
      <c r="C2225" s="456"/>
      <c r="D2225" s="450"/>
      <c r="E2225" s="450"/>
      <c r="F2225" s="450"/>
      <c r="G2225" s="450"/>
      <c r="H2225" s="450"/>
      <c r="I2225" s="450"/>
      <c r="J2225" s="450"/>
      <c r="M2225" s="310"/>
      <c r="N2225" s="310"/>
      <c r="O2225" s="310"/>
      <c r="P2225" s="356"/>
      <c r="R2225" s="348" t="str">
        <f t="shared" si="139"/>
        <v>DELETE</v>
      </c>
    </row>
    <row r="2226" spans="2:18" ht="36" customHeight="1" x14ac:dyDescent="0.5">
      <c r="B2226" s="316"/>
      <c r="C2226" s="456"/>
      <c r="D2226" s="450"/>
      <c r="E2226" s="450"/>
      <c r="F2226" s="450"/>
      <c r="G2226" s="450"/>
      <c r="H2226" s="450"/>
      <c r="I2226" s="450"/>
      <c r="J2226" s="450"/>
      <c r="M2226" s="310"/>
      <c r="N2226" s="310"/>
      <c r="O2226" s="310"/>
      <c r="P2226" s="356"/>
      <c r="R2226" s="348" t="str">
        <f t="shared" si="139"/>
        <v>DELETE</v>
      </c>
    </row>
    <row r="2227" spans="2:18" ht="36" customHeight="1" x14ac:dyDescent="0.5">
      <c r="B2227" s="316"/>
      <c r="C2227" s="456"/>
      <c r="D2227" s="450"/>
      <c r="E2227" s="450"/>
      <c r="F2227" s="450"/>
      <c r="G2227" s="450"/>
      <c r="H2227" s="450"/>
      <c r="I2227" s="450"/>
      <c r="J2227" s="450"/>
      <c r="M2227" s="296"/>
      <c r="N2227" s="296"/>
      <c r="O2227" s="296"/>
      <c r="R2227" s="348" t="str">
        <f t="shared" si="139"/>
        <v>DELETE</v>
      </c>
    </row>
    <row r="2228" spans="2:18" ht="36" customHeight="1" x14ac:dyDescent="0.5">
      <c r="B2228" s="316"/>
      <c r="C2228" s="456"/>
      <c r="D2228" s="450"/>
      <c r="E2228" s="450"/>
      <c r="F2228" s="450"/>
      <c r="G2228" s="450"/>
      <c r="H2228" s="450"/>
      <c r="I2228" s="450"/>
      <c r="J2228" s="450"/>
      <c r="M2228" s="296"/>
      <c r="N2228" s="296"/>
      <c r="O2228" s="296" t="s">
        <v>89</v>
      </c>
      <c r="Q2228" s="292">
        <f>MAX($Q$105:Q2227)+1</f>
        <v>61</v>
      </c>
      <c r="R2228" s="348" t="str">
        <f>IF(M2246+O2246+M2258+O2258=0,"DELETE"," ")</f>
        <v>DELETE</v>
      </c>
    </row>
    <row r="2229" spans="2:18" ht="36" customHeight="1" x14ac:dyDescent="0.5">
      <c r="B2229" s="316"/>
      <c r="C2229" s="456"/>
      <c r="D2229" s="456" t="str">
        <f>Criteria!E9</f>
        <v>HOLDING COMPANY 268 (PROPRIETARY) LIMITED</v>
      </c>
      <c r="E2229" s="450"/>
      <c r="F2229" s="450"/>
      <c r="G2229" s="450"/>
      <c r="H2229" s="450"/>
      <c r="I2229" s="450"/>
      <c r="J2229" s="450"/>
      <c r="M2229" s="351"/>
      <c r="N2229" s="351"/>
      <c r="O2229" s="347"/>
      <c r="R2229" s="348" t="str">
        <f>R$2228</f>
        <v>DELETE</v>
      </c>
    </row>
    <row r="2230" spans="2:18" ht="36" customHeight="1" x14ac:dyDescent="0.5">
      <c r="B2230" s="316"/>
      <c r="C2230" s="456"/>
      <c r="D2230" s="456" t="str">
        <f>Criteria!E10</f>
        <v>CONSOLIDATED FINANCIAL STATEMENTS</v>
      </c>
      <c r="E2230" s="450"/>
      <c r="F2230" s="450"/>
      <c r="G2230" s="450"/>
      <c r="H2230" s="450"/>
      <c r="I2230" s="450"/>
      <c r="J2230" s="450"/>
      <c r="M2230" s="351"/>
      <c r="N2230" s="351"/>
      <c r="O2230" s="351"/>
      <c r="R2230" s="348" t="str">
        <f>IF(R$2228="DELETE","DELETE",IF(D2230=0,"DELETE"," "))</f>
        <v>DELETE</v>
      </c>
    </row>
    <row r="2231" spans="2:18" ht="36" customHeight="1" x14ac:dyDescent="0.5">
      <c r="B2231" s="316"/>
      <c r="C2231" s="456"/>
      <c r="D2231" s="450"/>
      <c r="E2231" s="450"/>
      <c r="F2231" s="450"/>
      <c r="G2231" s="450"/>
      <c r="H2231" s="450"/>
      <c r="I2231" s="450"/>
      <c r="J2231" s="450"/>
      <c r="M2231" s="351"/>
      <c r="N2231" s="351"/>
      <c r="O2231" s="351"/>
      <c r="R2231" s="348" t="str">
        <f t="shared" ref="R2231:R2239" si="140">R$2228</f>
        <v>DELETE</v>
      </c>
    </row>
    <row r="2232" spans="2:18" ht="36" customHeight="1" x14ac:dyDescent="0.5">
      <c r="B2232" s="316"/>
      <c r="C2232" s="456"/>
      <c r="D2232" s="456" t="s">
        <v>351</v>
      </c>
      <c r="E2232" s="450"/>
      <c r="F2232" s="450"/>
      <c r="G2232" s="450"/>
      <c r="H2232" s="450"/>
      <c r="I2232" s="450"/>
      <c r="J2232" s="450"/>
      <c r="M2232" s="351"/>
      <c r="N2232" s="351"/>
      <c r="O2232" s="351"/>
      <c r="R2232" s="348" t="str">
        <f t="shared" si="140"/>
        <v>DELETE</v>
      </c>
    </row>
    <row r="2233" spans="2:18" ht="36" customHeight="1" x14ac:dyDescent="0.5">
      <c r="B2233" s="316"/>
      <c r="C2233" s="456"/>
      <c r="D2233" s="456" t="str">
        <f>Criteria!E20</f>
        <v>28 FEBRUARY 2025</v>
      </c>
      <c r="E2233" s="450"/>
      <c r="F2233" s="450"/>
      <c r="G2233" s="450"/>
      <c r="H2233" s="450"/>
      <c r="I2233" s="450"/>
      <c r="J2233" s="450" t="s">
        <v>231</v>
      </c>
      <c r="M2233" s="351"/>
      <c r="N2233" s="351"/>
      <c r="O2233" s="351"/>
      <c r="R2233" s="348" t="str">
        <f t="shared" si="140"/>
        <v>DELETE</v>
      </c>
    </row>
    <row r="2234" spans="2:18" ht="36" customHeight="1" x14ac:dyDescent="0.5">
      <c r="B2234" s="316"/>
      <c r="C2234" s="456"/>
      <c r="D2234" s="450"/>
      <c r="E2234" s="450"/>
      <c r="F2234" s="450"/>
      <c r="G2234" s="450"/>
      <c r="H2234" s="450"/>
      <c r="I2234" s="450"/>
      <c r="J2234" s="450"/>
      <c r="M2234" s="296"/>
      <c r="N2234" s="296"/>
      <c r="O2234" s="296"/>
      <c r="R2234" s="348" t="str">
        <f t="shared" si="140"/>
        <v>DELETE</v>
      </c>
    </row>
    <row r="2235" spans="2:18" ht="36" customHeight="1" x14ac:dyDescent="0.5">
      <c r="B2235" s="447"/>
      <c r="C2235" s="465"/>
      <c r="D2235" s="460"/>
      <c r="E2235" s="460"/>
      <c r="F2235" s="460"/>
      <c r="G2235" s="460"/>
      <c r="H2235" s="460"/>
      <c r="I2235" s="460"/>
      <c r="J2235" s="460"/>
      <c r="K2235" s="364"/>
      <c r="L2235" s="364"/>
      <c r="M2235" s="297"/>
      <c r="N2235" s="297"/>
      <c r="O2235" s="297"/>
      <c r="P2235" s="367"/>
      <c r="Q2235" s="364"/>
      <c r="R2235" s="348" t="str">
        <f t="shared" si="140"/>
        <v>DELETE</v>
      </c>
    </row>
    <row r="2236" spans="2:18" ht="36" customHeight="1" x14ac:dyDescent="0.5">
      <c r="B2236" s="316"/>
      <c r="C2236" s="456"/>
      <c r="D2236" s="450"/>
      <c r="E2236" s="450"/>
      <c r="F2236" s="450"/>
      <c r="G2236" s="450"/>
      <c r="H2236" s="450"/>
      <c r="I2236" s="450"/>
      <c r="J2236" s="450"/>
      <c r="M2236" s="294">
        <f>Criteria!E22</f>
        <v>2025</v>
      </c>
      <c r="N2236" s="294"/>
      <c r="O2236" s="294">
        <f>Criteria!E27</f>
        <v>2024</v>
      </c>
      <c r="P2236" s="356"/>
      <c r="R2236" s="348" t="str">
        <f t="shared" si="140"/>
        <v>DELETE</v>
      </c>
    </row>
    <row r="2237" spans="2:18" ht="36" customHeight="1" x14ac:dyDescent="0.5">
      <c r="B2237" s="316"/>
      <c r="C2237" s="456"/>
      <c r="D2237" s="450"/>
      <c r="E2237" s="450"/>
      <c r="F2237" s="450"/>
      <c r="G2237" s="450"/>
      <c r="H2237" s="450"/>
      <c r="I2237" s="450"/>
      <c r="J2237" s="450"/>
      <c r="M2237" s="310"/>
      <c r="N2237" s="310"/>
      <c r="O2237" s="310"/>
      <c r="P2237" s="356"/>
      <c r="R2237" s="348" t="str">
        <f t="shared" si="140"/>
        <v>DELETE</v>
      </c>
    </row>
    <row r="2238" spans="2:18" ht="36" customHeight="1" x14ac:dyDescent="0.5">
      <c r="B2238" s="316">
        <f>MAX(B$602:B2237)+1</f>
        <v>31</v>
      </c>
      <c r="C2238" s="456" t="s">
        <v>1071</v>
      </c>
      <c r="D2238" s="450"/>
      <c r="E2238" s="450"/>
      <c r="F2238" s="450"/>
      <c r="G2238" s="450"/>
      <c r="H2238" s="450"/>
      <c r="I2238" s="450"/>
      <c r="J2238" s="450"/>
      <c r="M2238" s="310"/>
      <c r="N2238" s="310"/>
      <c r="O2238" s="310"/>
      <c r="P2238" s="356"/>
      <c r="R2238" s="348" t="str">
        <f t="shared" si="140"/>
        <v>DELETE</v>
      </c>
    </row>
    <row r="2239" spans="2:18" ht="36" customHeight="1" x14ac:dyDescent="0.5">
      <c r="B2239" s="316"/>
      <c r="C2239" s="456"/>
      <c r="D2239" s="450"/>
      <c r="E2239" s="450"/>
      <c r="F2239" s="450"/>
      <c r="G2239" s="450"/>
      <c r="H2239" s="450"/>
      <c r="I2239" s="450"/>
      <c r="J2239" s="450"/>
      <c r="M2239" s="310"/>
      <c r="N2239" s="310"/>
      <c r="O2239" s="310"/>
      <c r="P2239" s="356"/>
      <c r="R2239" s="348" t="str">
        <f t="shared" si="140"/>
        <v>DELETE</v>
      </c>
    </row>
    <row r="2240" spans="2:18" ht="36" customHeight="1" x14ac:dyDescent="0.5">
      <c r="B2240" s="316"/>
      <c r="C2240" s="450" t="str">
        <f>Criteria!F362</f>
        <v>The Group rents several sales offices under operating leases. The leases are for an</v>
      </c>
      <c r="D2240" s="459"/>
      <c r="E2240" s="450"/>
      <c r="F2240" s="450"/>
      <c r="G2240" s="450"/>
      <c r="H2240" s="450"/>
      <c r="I2240" s="450"/>
      <c r="J2240" s="450"/>
      <c r="M2240" s="310"/>
      <c r="N2240" s="310"/>
      <c r="O2240" s="310"/>
      <c r="P2240" s="356"/>
      <c r="R2240" s="348" t="str">
        <f>IF(C2240=0,"DELETE"," ")</f>
        <v xml:space="preserve"> </v>
      </c>
    </row>
    <row r="2241" spans="2:18" ht="36" customHeight="1" x14ac:dyDescent="0.5">
      <c r="B2241" s="316"/>
      <c r="C2241" s="450" t="str">
        <f>Criteria!F363</f>
        <v>average period of five years, with fixed rentals over the same period.</v>
      </c>
      <c r="D2241" s="459"/>
      <c r="E2241" s="450"/>
      <c r="F2241" s="450"/>
      <c r="G2241" s="450"/>
      <c r="H2241" s="450"/>
      <c r="I2241" s="450"/>
      <c r="J2241" s="450"/>
      <c r="M2241" s="310"/>
      <c r="N2241" s="310"/>
      <c r="O2241" s="310"/>
      <c r="P2241" s="356"/>
      <c r="R2241" s="348" t="str">
        <f>IF(C2241=0,"DELETE"," ")</f>
        <v xml:space="preserve"> </v>
      </c>
    </row>
    <row r="2242" spans="2:18" ht="36" customHeight="1" x14ac:dyDescent="0.5">
      <c r="B2242" s="316"/>
      <c r="C2242" s="450" t="str">
        <f>Criteria!F364</f>
        <v>The Group also leases office equipment for an average period of 3 years, with fixed</v>
      </c>
      <c r="D2242" s="459"/>
      <c r="E2242" s="450"/>
      <c r="F2242" s="450"/>
      <c r="G2242" s="450"/>
      <c r="H2242" s="450"/>
      <c r="I2242" s="450"/>
      <c r="J2242" s="450"/>
      <c r="M2242" s="310"/>
      <c r="N2242" s="310"/>
      <c r="O2242" s="310"/>
      <c r="P2242" s="356"/>
      <c r="R2242" s="348" t="str">
        <f>IF(C2242=0,"DELETE"," ")</f>
        <v xml:space="preserve"> </v>
      </c>
    </row>
    <row r="2243" spans="2:18" ht="36" customHeight="1" x14ac:dyDescent="0.5">
      <c r="B2243" s="316"/>
      <c r="C2243" s="450" t="str">
        <f>Criteria!F365</f>
        <v>rentals over the same period.</v>
      </c>
      <c r="D2243" s="459"/>
      <c r="E2243" s="450"/>
      <c r="F2243" s="450"/>
      <c r="G2243" s="450"/>
      <c r="H2243" s="450"/>
      <c r="I2243" s="450"/>
      <c r="J2243" s="450"/>
      <c r="M2243" s="310"/>
      <c r="N2243" s="310"/>
      <c r="O2243" s="310"/>
      <c r="P2243" s="356"/>
      <c r="R2243" s="348" t="str">
        <f>IF(C2243=0,"DELETE"," ")</f>
        <v xml:space="preserve"> </v>
      </c>
    </row>
    <row r="2244" spans="2:18" ht="36" customHeight="1" x14ac:dyDescent="0.5">
      <c r="B2244" s="316"/>
      <c r="C2244" s="450"/>
      <c r="D2244" s="459"/>
      <c r="E2244" s="450"/>
      <c r="F2244" s="450"/>
      <c r="G2244" s="450"/>
      <c r="H2244" s="450"/>
      <c r="I2244" s="450"/>
      <c r="J2244" s="450"/>
      <c r="M2244" s="310"/>
      <c r="N2244" s="310"/>
      <c r="O2244" s="310"/>
      <c r="P2244" s="356"/>
      <c r="R2244" s="348" t="str">
        <f>R2240</f>
        <v xml:space="preserve"> </v>
      </c>
    </row>
    <row r="2245" spans="2:18" ht="36" customHeight="1" x14ac:dyDescent="0.5">
      <c r="B2245" s="316"/>
      <c r="C2245" s="450" t="s">
        <v>1105</v>
      </c>
      <c r="D2245" s="459"/>
      <c r="E2245" s="450"/>
      <c r="F2245" s="450"/>
      <c r="G2245" s="450"/>
      <c r="H2245" s="450"/>
      <c r="I2245" s="450"/>
      <c r="J2245" s="450"/>
      <c r="M2245" s="310"/>
      <c r="N2245" s="310"/>
      <c r="O2245" s="310"/>
      <c r="P2245" s="356"/>
      <c r="R2245" s="348" t="str">
        <f>IF(M2246+O2246=0,"DELETE"," ")</f>
        <v>DELETE</v>
      </c>
    </row>
    <row r="2246" spans="2:18" ht="36" customHeight="1" x14ac:dyDescent="0.5">
      <c r="B2246" s="316"/>
      <c r="C2246" s="450" t="s">
        <v>1106</v>
      </c>
      <c r="D2246" s="459"/>
      <c r="E2246" s="450"/>
      <c r="F2246" s="450"/>
      <c r="G2246" s="450"/>
      <c r="H2246" s="450"/>
      <c r="I2246" s="450"/>
      <c r="J2246" s="450"/>
      <c r="M2246" s="310">
        <f>TrialBalance!L49+TrialBalanceA!I49+TrialBalanceB!I49+TrialBalanceC!I49+SUM(TrialBalance!L61:L63)+SUM(TrialBalanceA!I61:I63)+SUM(TrialBalanceB!I61:I63)+SUM(TrialBalanceC!I61:I63)</f>
        <v>0</v>
      </c>
      <c r="N2246" s="310"/>
      <c r="O2246" s="310">
        <f>TrialBalance!N49+TrialBalanceA!K49+TrialBalanceB!K49+TrialBalanceC!K49+SUM(TrialBalance!N61:N63)+SUM(TrialBalanceA!K61:K63)+SUM(TrialBalanceB!K61:K63)+SUM(TrialBalanceC!K61:K63)</f>
        <v>0</v>
      </c>
      <c r="P2246" s="356"/>
      <c r="R2246" s="348" t="str">
        <f>IF(M2246+O2246=0,"DELETE"," ")</f>
        <v>DELETE</v>
      </c>
    </row>
    <row r="2247" spans="2:18" ht="9" customHeight="1" thickBot="1" x14ac:dyDescent="0.55000000000000004">
      <c r="B2247" s="316"/>
      <c r="C2247" s="450"/>
      <c r="D2247" s="459"/>
      <c r="E2247" s="450"/>
      <c r="F2247" s="450"/>
      <c r="G2247" s="450"/>
      <c r="H2247" s="450"/>
      <c r="I2247" s="450"/>
      <c r="J2247" s="450"/>
      <c r="M2247" s="299"/>
      <c r="N2247" s="299"/>
      <c r="O2247" s="299"/>
      <c r="P2247" s="356"/>
      <c r="R2247" s="348" t="str">
        <f>R$2246</f>
        <v>DELETE</v>
      </c>
    </row>
    <row r="2248" spans="2:18" ht="9" customHeight="1" thickTop="1" x14ac:dyDescent="0.5">
      <c r="B2248" s="316"/>
      <c r="C2248" s="450"/>
      <c r="D2248" s="459"/>
      <c r="E2248" s="450"/>
      <c r="F2248" s="450"/>
      <c r="G2248" s="450"/>
      <c r="H2248" s="450"/>
      <c r="I2248" s="450"/>
      <c r="J2248" s="450"/>
      <c r="M2248" s="310"/>
      <c r="N2248" s="310"/>
      <c r="O2248" s="310"/>
      <c r="P2248" s="356"/>
      <c r="R2248" s="348" t="str">
        <f>R$2246</f>
        <v>DELETE</v>
      </c>
    </row>
    <row r="2249" spans="2:18" ht="36" customHeight="1" x14ac:dyDescent="0.5">
      <c r="B2249" s="316"/>
      <c r="C2249" s="450"/>
      <c r="D2249" s="459"/>
      <c r="E2249" s="450"/>
      <c r="F2249" s="450"/>
      <c r="G2249" s="450"/>
      <c r="H2249" s="450"/>
      <c r="I2249" s="450"/>
      <c r="J2249" s="450"/>
      <c r="M2249" s="310"/>
      <c r="N2249" s="310"/>
      <c r="O2249" s="310"/>
      <c r="P2249" s="356"/>
      <c r="R2249" s="348" t="str">
        <f t="shared" ref="R2249" si="141">R$2228</f>
        <v>DELETE</v>
      </c>
    </row>
    <row r="2250" spans="2:18" ht="36" customHeight="1" x14ac:dyDescent="0.5">
      <c r="B2250" s="316"/>
      <c r="C2250" s="450" t="s">
        <v>997</v>
      </c>
      <c r="D2250" s="459"/>
      <c r="E2250" s="450"/>
      <c r="F2250" s="450"/>
      <c r="G2250" s="450"/>
      <c r="H2250" s="450"/>
      <c r="I2250" s="450"/>
      <c r="J2250" s="450"/>
      <c r="M2250" s="310"/>
      <c r="N2250" s="310"/>
      <c r="O2250" s="310"/>
      <c r="P2250" s="356"/>
      <c r="R2250" s="348" t="str">
        <f>R$2258</f>
        <v>DELETE</v>
      </c>
    </row>
    <row r="2251" spans="2:18" ht="36" customHeight="1" x14ac:dyDescent="0.5">
      <c r="B2251" s="316"/>
      <c r="C2251" s="450" t="s">
        <v>973</v>
      </c>
      <c r="D2251" s="459"/>
      <c r="E2251" s="450"/>
      <c r="F2251" s="450"/>
      <c r="G2251" s="450"/>
      <c r="H2251" s="450"/>
      <c r="I2251" s="450"/>
      <c r="J2251" s="450"/>
      <c r="M2251" s="310"/>
      <c r="N2251" s="310"/>
      <c r="O2251" s="310"/>
      <c r="P2251" s="356"/>
      <c r="R2251" s="348" t="str">
        <f>R$2258</f>
        <v>DELETE</v>
      </c>
    </row>
    <row r="2252" spans="2:18" ht="36" customHeight="1" x14ac:dyDescent="0.5">
      <c r="B2252" s="316"/>
      <c r="C2252" s="456"/>
      <c r="D2252" s="450"/>
      <c r="E2252" s="450"/>
      <c r="F2252" s="450"/>
      <c r="G2252" s="450"/>
      <c r="H2252" s="450"/>
      <c r="I2252" s="450"/>
      <c r="J2252" s="450"/>
      <c r="M2252" s="310"/>
      <c r="N2252" s="310"/>
      <c r="O2252" s="310"/>
      <c r="P2252" s="356"/>
      <c r="R2252" s="348" t="str">
        <f>R$2258</f>
        <v>DELETE</v>
      </c>
    </row>
    <row r="2253" spans="2:18" ht="36" customHeight="1" x14ac:dyDescent="0.5">
      <c r="B2253" s="316"/>
      <c r="C2253" s="450" t="s">
        <v>967</v>
      </c>
      <c r="D2253" s="450"/>
      <c r="E2253" s="459"/>
      <c r="F2253" s="450"/>
      <c r="G2253" s="450"/>
      <c r="H2253" s="450"/>
      <c r="I2253" s="450"/>
      <c r="J2253" s="450"/>
      <c r="M2253" s="310">
        <f>Criteria!F367</f>
        <v>0</v>
      </c>
      <c r="N2253" s="310"/>
      <c r="O2253" s="310">
        <f>Criteria!G367</f>
        <v>0</v>
      </c>
      <c r="P2253" s="356"/>
      <c r="R2253" s="348" t="str">
        <f>IF(M2253+O2253=0,"DELETE"," ")</f>
        <v>DELETE</v>
      </c>
    </row>
    <row r="2254" spans="2:18" ht="36" customHeight="1" x14ac:dyDescent="0.5">
      <c r="B2254" s="316"/>
      <c r="C2254" s="450" t="s">
        <v>972</v>
      </c>
      <c r="D2254" s="450"/>
      <c r="E2254" s="459"/>
      <c r="F2254" s="450"/>
      <c r="G2254" s="450"/>
      <c r="H2254" s="450"/>
      <c r="I2254" s="450"/>
      <c r="J2254" s="450"/>
      <c r="M2254" s="310">
        <f>Criteria!F368</f>
        <v>0</v>
      </c>
      <c r="N2254" s="310"/>
      <c r="O2254" s="310">
        <f>Criteria!G368</f>
        <v>0</v>
      </c>
      <c r="P2254" s="356"/>
      <c r="R2254" s="348" t="str">
        <f>IF(M2254+O2254=0,"DELETE"," ")</f>
        <v>DELETE</v>
      </c>
    </row>
    <row r="2255" spans="2:18" ht="36" customHeight="1" x14ac:dyDescent="0.5">
      <c r="B2255" s="316"/>
      <c r="C2255" s="450" t="s">
        <v>969</v>
      </c>
      <c r="D2255" s="450"/>
      <c r="E2255" s="459"/>
      <c r="F2255" s="450"/>
      <c r="G2255" s="450"/>
      <c r="H2255" s="450"/>
      <c r="I2255" s="450"/>
      <c r="J2255" s="450"/>
      <c r="M2255" s="310">
        <f>Criteria!F369</f>
        <v>0</v>
      </c>
      <c r="N2255" s="310"/>
      <c r="O2255" s="310">
        <f>Criteria!G369</f>
        <v>0</v>
      </c>
      <c r="P2255" s="356"/>
      <c r="R2255" s="348" t="str">
        <f>IF(M2255+O2255=0,"DELETE"," ")</f>
        <v>DELETE</v>
      </c>
    </row>
    <row r="2256" spans="2:18" ht="9" customHeight="1" x14ac:dyDescent="0.5">
      <c r="B2256" s="316"/>
      <c r="C2256" s="456"/>
      <c r="D2256" s="450"/>
      <c r="E2256" s="450"/>
      <c r="F2256" s="450"/>
      <c r="G2256" s="450"/>
      <c r="H2256" s="450"/>
      <c r="I2256" s="450"/>
      <c r="J2256" s="450"/>
      <c r="M2256" s="298"/>
      <c r="N2256" s="298"/>
      <c r="O2256" s="298"/>
      <c r="P2256" s="356"/>
      <c r="R2256" s="348" t="str">
        <f>R$2258</f>
        <v>DELETE</v>
      </c>
    </row>
    <row r="2257" spans="2:18" ht="9" customHeight="1" x14ac:dyDescent="0.5">
      <c r="B2257" s="316"/>
      <c r="C2257" s="456"/>
      <c r="D2257" s="450"/>
      <c r="E2257" s="450"/>
      <c r="F2257" s="450"/>
      <c r="G2257" s="450"/>
      <c r="H2257" s="450"/>
      <c r="I2257" s="450"/>
      <c r="J2257" s="450"/>
      <c r="M2257" s="310"/>
      <c r="N2257" s="310"/>
      <c r="O2257" s="310"/>
      <c r="P2257" s="356"/>
      <c r="R2257" s="348" t="str">
        <f>R$2258</f>
        <v>DELETE</v>
      </c>
    </row>
    <row r="2258" spans="2:18" ht="36.75" customHeight="1" x14ac:dyDescent="0.5">
      <c r="B2258" s="316"/>
      <c r="C2258" s="456"/>
      <c r="D2258" s="450"/>
      <c r="E2258" s="450"/>
      <c r="F2258" s="450"/>
      <c r="G2258" s="450"/>
      <c r="H2258" s="450"/>
      <c r="I2258" s="450"/>
      <c r="J2258" s="450"/>
      <c r="M2258" s="310">
        <f>SUM(M2253:M2257)</f>
        <v>0</v>
      </c>
      <c r="N2258" s="310"/>
      <c r="O2258" s="310">
        <f>SUM(O2253:O2257)</f>
        <v>0</v>
      </c>
      <c r="P2258" s="356"/>
      <c r="R2258" s="348" t="str">
        <f>IF(M2258+O2258=0,"DELETE"," ")</f>
        <v>DELETE</v>
      </c>
    </row>
    <row r="2259" spans="2:18" ht="9" customHeight="1" thickBot="1" x14ac:dyDescent="0.55000000000000004">
      <c r="B2259" s="316"/>
      <c r="C2259" s="456"/>
      <c r="D2259" s="450"/>
      <c r="E2259" s="450"/>
      <c r="F2259" s="450"/>
      <c r="G2259" s="450"/>
      <c r="H2259" s="450"/>
      <c r="I2259" s="450"/>
      <c r="J2259" s="450"/>
      <c r="M2259" s="299"/>
      <c r="N2259" s="299"/>
      <c r="O2259" s="299"/>
      <c r="P2259" s="356"/>
      <c r="R2259" s="348" t="str">
        <f>R$2258</f>
        <v>DELETE</v>
      </c>
    </row>
    <row r="2260" spans="2:18" ht="9" customHeight="1" thickTop="1" x14ac:dyDescent="0.5">
      <c r="B2260" s="316"/>
      <c r="C2260" s="456"/>
      <c r="D2260" s="450"/>
      <c r="E2260" s="450"/>
      <c r="F2260" s="450"/>
      <c r="G2260" s="450"/>
      <c r="H2260" s="450"/>
      <c r="I2260" s="450"/>
      <c r="J2260" s="450"/>
      <c r="M2260" s="310"/>
      <c r="N2260" s="310"/>
      <c r="O2260" s="310"/>
      <c r="P2260" s="356"/>
      <c r="R2260" s="348" t="str">
        <f>R$2258</f>
        <v>DELETE</v>
      </c>
    </row>
    <row r="2261" spans="2:18" ht="36" customHeight="1" x14ac:dyDescent="0.5">
      <c r="B2261" s="316"/>
      <c r="C2261" s="456"/>
      <c r="D2261" s="450"/>
      <c r="E2261" s="450"/>
      <c r="F2261" s="450"/>
      <c r="G2261" s="450"/>
      <c r="H2261" s="450"/>
      <c r="I2261" s="450"/>
      <c r="J2261" s="450"/>
      <c r="M2261" s="310"/>
      <c r="N2261" s="310"/>
      <c r="O2261" s="310"/>
      <c r="P2261" s="356"/>
      <c r="R2261" s="348" t="str">
        <f t="shared" ref="R2261:R2264" si="142">R$2228</f>
        <v>DELETE</v>
      </c>
    </row>
    <row r="2262" spans="2:18" ht="36" customHeight="1" x14ac:dyDescent="0.5">
      <c r="B2262" s="316"/>
      <c r="C2262" s="456"/>
      <c r="D2262" s="450"/>
      <c r="E2262" s="450"/>
      <c r="F2262" s="450"/>
      <c r="G2262" s="450"/>
      <c r="H2262" s="450"/>
      <c r="I2262" s="450"/>
      <c r="J2262" s="450"/>
      <c r="M2262" s="310"/>
      <c r="N2262" s="310"/>
      <c r="O2262" s="310"/>
      <c r="P2262" s="356"/>
      <c r="R2262" s="348" t="str">
        <f t="shared" si="142"/>
        <v>DELETE</v>
      </c>
    </row>
    <row r="2263" spans="2:18" ht="36" customHeight="1" x14ac:dyDescent="0.5">
      <c r="B2263" s="316"/>
      <c r="C2263" s="456"/>
      <c r="D2263" s="450"/>
      <c r="E2263" s="450"/>
      <c r="F2263" s="450"/>
      <c r="G2263" s="450"/>
      <c r="H2263" s="450"/>
      <c r="I2263" s="450"/>
      <c r="J2263" s="450"/>
      <c r="M2263" s="310"/>
      <c r="N2263" s="310"/>
      <c r="O2263" s="310"/>
      <c r="P2263" s="356"/>
      <c r="R2263" s="348" t="str">
        <f t="shared" si="142"/>
        <v>DELETE</v>
      </c>
    </row>
    <row r="2264" spans="2:18" ht="36" customHeight="1" x14ac:dyDescent="0.5">
      <c r="B2264" s="316"/>
      <c r="C2264" s="456"/>
      <c r="D2264" s="450"/>
      <c r="E2264" s="450"/>
      <c r="F2264" s="450"/>
      <c r="G2264" s="450"/>
      <c r="H2264" s="450"/>
      <c r="I2264" s="450"/>
      <c r="J2264" s="450"/>
      <c r="M2264" s="296"/>
      <c r="N2264" s="296"/>
      <c r="O2264" s="296"/>
      <c r="R2264" s="348" t="str">
        <f t="shared" si="142"/>
        <v>DELETE</v>
      </c>
    </row>
    <row r="2265" spans="2:18" ht="36" customHeight="1" x14ac:dyDescent="0.5">
      <c r="B2265" s="354"/>
      <c r="C2265" s="450"/>
      <c r="D2265" s="450"/>
      <c r="E2265" s="450"/>
      <c r="F2265" s="450"/>
      <c r="G2265" s="450"/>
      <c r="H2265" s="450"/>
      <c r="I2265" s="450"/>
      <c r="J2265" s="450"/>
      <c r="M2265" s="351"/>
      <c r="N2265" s="351"/>
      <c r="O2265" s="296" t="s">
        <v>89</v>
      </c>
      <c r="Q2265" s="292">
        <f>MAX($Q$105:Q2264)+1</f>
        <v>62</v>
      </c>
    </row>
    <row r="2266" spans="2:18" ht="36" customHeight="1" x14ac:dyDescent="0.5">
      <c r="B2266" s="354"/>
      <c r="C2266" s="450"/>
      <c r="D2266" s="456" t="str">
        <f>Criteria!E9</f>
        <v>HOLDING COMPANY 268 (PROPRIETARY) LIMITED</v>
      </c>
      <c r="E2266" s="450"/>
      <c r="F2266" s="450"/>
      <c r="G2266" s="450"/>
      <c r="H2266" s="450"/>
      <c r="I2266" s="450"/>
      <c r="J2266" s="450"/>
      <c r="M2266" s="351"/>
      <c r="N2266" s="351"/>
      <c r="O2266" s="347"/>
    </row>
    <row r="2267" spans="2:18" ht="36" customHeight="1" x14ac:dyDescent="0.5">
      <c r="B2267" s="354"/>
      <c r="C2267" s="450"/>
      <c r="D2267" s="456" t="str">
        <f>Criteria!E10</f>
        <v>CONSOLIDATED FINANCIAL STATEMENTS</v>
      </c>
      <c r="E2267" s="450"/>
      <c r="F2267" s="450"/>
      <c r="G2267" s="450"/>
      <c r="H2267" s="450"/>
      <c r="I2267" s="450"/>
      <c r="J2267" s="450"/>
      <c r="M2267" s="351"/>
      <c r="N2267" s="351"/>
      <c r="O2267" s="351"/>
      <c r="R2267" s="348" t="str">
        <f>IF(D2267=0,"DELETE"," ")</f>
        <v xml:space="preserve"> </v>
      </c>
    </row>
    <row r="2268" spans="2:18" ht="36" customHeight="1" x14ac:dyDescent="0.5">
      <c r="B2268" s="354"/>
      <c r="C2268" s="450"/>
      <c r="D2268" s="450"/>
      <c r="E2268" s="450"/>
      <c r="F2268" s="450"/>
      <c r="G2268" s="450"/>
      <c r="H2268" s="450"/>
      <c r="I2268" s="450"/>
      <c r="J2268" s="450"/>
      <c r="M2268" s="351"/>
      <c r="N2268" s="351"/>
      <c r="O2268" s="351"/>
    </row>
    <row r="2269" spans="2:18" ht="36" customHeight="1" x14ac:dyDescent="0.5">
      <c r="B2269" s="354"/>
      <c r="C2269" s="450"/>
      <c r="D2269" s="456" t="s">
        <v>351</v>
      </c>
      <c r="E2269" s="450"/>
      <c r="F2269" s="450"/>
      <c r="G2269" s="450"/>
      <c r="H2269" s="450"/>
      <c r="I2269" s="450"/>
      <c r="J2269" s="450"/>
      <c r="M2269" s="351"/>
      <c r="N2269" s="351"/>
      <c r="O2269" s="351"/>
    </row>
    <row r="2270" spans="2:18" ht="36" customHeight="1" x14ac:dyDescent="0.5">
      <c r="B2270" s="354"/>
      <c r="C2270" s="450"/>
      <c r="D2270" s="456" t="str">
        <f>Criteria!E20</f>
        <v>28 FEBRUARY 2025</v>
      </c>
      <c r="E2270" s="450"/>
      <c r="F2270" s="450"/>
      <c r="G2270" s="450"/>
      <c r="H2270" s="450"/>
      <c r="I2270" s="450"/>
      <c r="J2270" s="450" t="s">
        <v>231</v>
      </c>
      <c r="M2270" s="351"/>
      <c r="N2270" s="351"/>
      <c r="O2270" s="351"/>
    </row>
    <row r="2271" spans="2:18" ht="36" customHeight="1" x14ac:dyDescent="0.5">
      <c r="B2271" s="354"/>
      <c r="C2271" s="450"/>
      <c r="D2271" s="450"/>
      <c r="E2271" s="450"/>
      <c r="F2271" s="450"/>
      <c r="G2271" s="450"/>
      <c r="H2271" s="450"/>
      <c r="I2271" s="450"/>
      <c r="J2271" s="450"/>
      <c r="M2271" s="351"/>
      <c r="N2271" s="351"/>
      <c r="O2271" s="351"/>
    </row>
    <row r="2272" spans="2:18" ht="36" customHeight="1" x14ac:dyDescent="0.5">
      <c r="B2272" s="368"/>
      <c r="C2272" s="460"/>
      <c r="D2272" s="460"/>
      <c r="E2272" s="460"/>
      <c r="F2272" s="460"/>
      <c r="G2272" s="460"/>
      <c r="H2272" s="460"/>
      <c r="I2272" s="460"/>
      <c r="J2272" s="460"/>
      <c r="K2272" s="364"/>
      <c r="L2272" s="364"/>
      <c r="M2272" s="378"/>
      <c r="N2272" s="378"/>
      <c r="O2272" s="378"/>
      <c r="P2272" s="367"/>
      <c r="Q2272" s="364"/>
    </row>
    <row r="2273" spans="2:18" ht="36" customHeight="1" x14ac:dyDescent="0.5">
      <c r="B2273" s="316">
        <f>MAX(B$602:B2272)+1</f>
        <v>32</v>
      </c>
      <c r="C2273" s="461" t="s">
        <v>1072</v>
      </c>
      <c r="D2273" s="450"/>
      <c r="E2273" s="450"/>
      <c r="F2273" s="450"/>
      <c r="G2273" s="450"/>
      <c r="H2273" s="450"/>
      <c r="I2273" s="450"/>
      <c r="J2273" s="450"/>
      <c r="M2273" s="371"/>
      <c r="N2273" s="371"/>
      <c r="O2273" s="371"/>
      <c r="P2273" s="356"/>
    </row>
    <row r="2274" spans="2:18" ht="36" customHeight="1" x14ac:dyDescent="0.5">
      <c r="B2274" s="354"/>
      <c r="C2274" s="450"/>
      <c r="D2274" s="450"/>
      <c r="E2274" s="450"/>
      <c r="F2274" s="450"/>
      <c r="G2274" s="450"/>
      <c r="H2274" s="450"/>
      <c r="I2274" s="450"/>
      <c r="J2274" s="450"/>
      <c r="M2274" s="371"/>
      <c r="N2274" s="371"/>
      <c r="O2274" s="371"/>
      <c r="P2274" s="356"/>
    </row>
    <row r="2275" spans="2:18" ht="36" customHeight="1" x14ac:dyDescent="0.5">
      <c r="B2275" s="354"/>
      <c r="C2275" s="450" t="str">
        <f>IF(Criteria!E24="Yes","The group entered into transactions with related parties in the ordinary course of business.","The group entered into transactions with related parties in the ordinary course of business,")</f>
        <v>The group entered into transactions with related parties in the ordinary course of business,</v>
      </c>
      <c r="D2275" s="450"/>
      <c r="E2275" s="450"/>
      <c r="F2275" s="450"/>
      <c r="G2275" s="450"/>
      <c r="H2275" s="450"/>
      <c r="I2275" s="450"/>
      <c r="J2275" s="450"/>
      <c r="M2275" s="371"/>
      <c r="N2275" s="371"/>
      <c r="O2275" s="371"/>
      <c r="P2275" s="356"/>
    </row>
    <row r="2276" spans="2:18" ht="36" customHeight="1" x14ac:dyDescent="0.5">
      <c r="B2276" s="354"/>
      <c r="C2276" s="450" t="str">
        <f>IF(Criteria!E24="Yes"," ","the nature of which was consistent with those previously reported.")</f>
        <v>the nature of which was consistent with those previously reported.</v>
      </c>
      <c r="D2276" s="450"/>
      <c r="E2276" s="450"/>
      <c r="F2276" s="450"/>
      <c r="G2276" s="450"/>
      <c r="H2276" s="450"/>
      <c r="I2276" s="450"/>
      <c r="J2276" s="450"/>
      <c r="M2276" s="371"/>
      <c r="N2276" s="371"/>
      <c r="O2276" s="371"/>
      <c r="P2276" s="356"/>
      <c r="R2276" s="348" t="str">
        <f>IF(C2276=" ","DELETE"," ")</f>
        <v xml:space="preserve"> </v>
      </c>
    </row>
    <row r="2277" spans="2:18" ht="36" customHeight="1" x14ac:dyDescent="0.5">
      <c r="B2277" s="354"/>
      <c r="C2277" s="450"/>
      <c r="D2277" s="450"/>
      <c r="E2277" s="450"/>
      <c r="F2277" s="450"/>
      <c r="G2277" s="450"/>
      <c r="H2277" s="450"/>
      <c r="I2277" s="450"/>
      <c r="J2277" s="450"/>
      <c r="M2277" s="371"/>
      <c r="N2277" s="371"/>
      <c r="O2277" s="371"/>
      <c r="P2277" s="356"/>
    </row>
    <row r="2278" spans="2:18" ht="36" customHeight="1" x14ac:dyDescent="0.5">
      <c r="B2278" s="354"/>
      <c r="C2278" s="462" t="s">
        <v>779</v>
      </c>
      <c r="D2278" s="450"/>
      <c r="E2278" s="450"/>
      <c r="F2278" s="450"/>
      <c r="G2278" s="450"/>
      <c r="H2278" s="450"/>
      <c r="I2278" s="450"/>
      <c r="J2278" s="462" t="s">
        <v>770</v>
      </c>
      <c r="M2278" s="371"/>
      <c r="N2278" s="371"/>
      <c r="O2278" s="371"/>
      <c r="P2278" s="356"/>
    </row>
    <row r="2279" spans="2:18" ht="36" customHeight="1" x14ac:dyDescent="0.5">
      <c r="B2279" s="354"/>
      <c r="C2279" s="450" t="str">
        <f>Criteria!E38</f>
        <v>A Director</v>
      </c>
      <c r="D2279" s="459"/>
      <c r="E2279" s="450"/>
      <c r="F2279" s="450"/>
      <c r="G2279" s="450"/>
      <c r="H2279" s="450"/>
      <c r="I2279" s="450"/>
      <c r="J2279" s="450" t="s">
        <v>771</v>
      </c>
      <c r="M2279" s="371"/>
      <c r="N2279" s="371"/>
      <c r="O2279" s="371"/>
      <c r="P2279" s="356"/>
      <c r="R2279" s="348" t="str">
        <f>IF(C2279=0,"DELETE"," ")</f>
        <v xml:space="preserve"> </v>
      </c>
    </row>
    <row r="2280" spans="2:18" ht="36" customHeight="1" x14ac:dyDescent="0.5">
      <c r="B2280" s="354"/>
      <c r="C2280" s="450" t="str">
        <f>Criteria!E39</f>
        <v>B Director</v>
      </c>
      <c r="D2280" s="459"/>
      <c r="E2280" s="450"/>
      <c r="F2280" s="450"/>
      <c r="G2280" s="450"/>
      <c r="H2280" s="450"/>
      <c r="I2280" s="450"/>
      <c r="J2280" s="450" t="s">
        <v>771</v>
      </c>
      <c r="M2280" s="371"/>
      <c r="N2280" s="371"/>
      <c r="O2280" s="371"/>
      <c r="P2280" s="356"/>
      <c r="R2280" s="348" t="str">
        <f>IF(C2280=0,"DELETE"," ")</f>
        <v xml:space="preserve"> </v>
      </c>
    </row>
    <row r="2281" spans="2:18" ht="36" customHeight="1" x14ac:dyDescent="0.5">
      <c r="B2281" s="354"/>
      <c r="C2281" s="450">
        <f>Criteria!E40</f>
        <v>0</v>
      </c>
      <c r="D2281" s="459"/>
      <c r="E2281" s="450"/>
      <c r="F2281" s="450"/>
      <c r="G2281" s="450"/>
      <c r="H2281" s="450"/>
      <c r="I2281" s="450"/>
      <c r="J2281" s="450" t="s">
        <v>771</v>
      </c>
      <c r="M2281" s="371"/>
      <c r="N2281" s="371"/>
      <c r="O2281" s="371"/>
      <c r="P2281" s="356"/>
      <c r="R2281" s="348" t="str">
        <f>IF(C2281=0,"DELETE"," ")</f>
        <v>DELETE</v>
      </c>
    </row>
    <row r="2282" spans="2:18" ht="36" customHeight="1" x14ac:dyDescent="0.5">
      <c r="B2282" s="354"/>
      <c r="C2282" s="450">
        <f>Criteria!E41</f>
        <v>0</v>
      </c>
      <c r="D2282" s="459"/>
      <c r="E2282" s="450"/>
      <c r="F2282" s="450"/>
      <c r="G2282" s="450"/>
      <c r="H2282" s="450"/>
      <c r="I2282" s="450"/>
      <c r="J2282" s="450" t="s">
        <v>771</v>
      </c>
      <c r="M2282" s="371"/>
      <c r="N2282" s="371"/>
      <c r="O2282" s="371"/>
      <c r="P2282" s="356"/>
      <c r="R2282" s="348" t="str">
        <f>IF(C2282=0,"DELETE"," ")</f>
        <v>DELETE</v>
      </c>
    </row>
    <row r="2283" spans="2:18" ht="36" customHeight="1" x14ac:dyDescent="0.5">
      <c r="B2283" s="354"/>
      <c r="C2283" s="450">
        <f>Criteria!E42</f>
        <v>0</v>
      </c>
      <c r="D2283" s="459"/>
      <c r="E2283" s="450"/>
      <c r="F2283" s="450"/>
      <c r="G2283" s="450"/>
      <c r="H2283" s="450"/>
      <c r="I2283" s="450"/>
      <c r="J2283" s="450" t="s">
        <v>771</v>
      </c>
      <c r="M2283" s="371"/>
      <c r="N2283" s="371"/>
      <c r="O2283" s="371"/>
      <c r="P2283" s="356"/>
      <c r="R2283" s="348" t="str">
        <f>IF(C2283=0,"DELETE"," ")</f>
        <v>DELETE</v>
      </c>
    </row>
    <row r="2284" spans="2:18" ht="36" customHeight="1" x14ac:dyDescent="0.5">
      <c r="B2284" s="354"/>
      <c r="C2284" s="450"/>
      <c r="D2284" s="450"/>
      <c r="E2284" s="450"/>
      <c r="F2284" s="450"/>
      <c r="G2284" s="450"/>
      <c r="H2284" s="450"/>
      <c r="I2284" s="450"/>
      <c r="J2284" s="450"/>
      <c r="M2284" s="371"/>
      <c r="N2284" s="371"/>
      <c r="O2284" s="371"/>
      <c r="P2284" s="356"/>
    </row>
    <row r="2285" spans="2:18" ht="36" customHeight="1" x14ac:dyDescent="0.5">
      <c r="B2285" s="354"/>
      <c r="C2285" s="450" t="str">
        <f>CONCATENATE("The details of ",IF(MAX(Criteria!I38:I42)&gt;1,"directors' remuneration","the director's remuneration")," are comprehensively disclosed in Note ",B958," of the")</f>
        <v>The details of directors' remuneration are comprehensively disclosed in Note 5 of the</v>
      </c>
      <c r="D2285" s="450"/>
      <c r="E2285" s="450"/>
      <c r="F2285" s="450"/>
      <c r="G2285" s="450"/>
      <c r="H2285" s="450"/>
      <c r="I2285" s="450"/>
      <c r="J2285" s="450"/>
      <c r="M2285" s="371"/>
      <c r="N2285" s="371"/>
      <c r="O2285" s="371"/>
      <c r="P2285" s="356"/>
    </row>
    <row r="2286" spans="2:18" ht="36" customHeight="1" x14ac:dyDescent="0.5">
      <c r="B2286" s="354"/>
      <c r="C2286" s="450" t="s">
        <v>1203</v>
      </c>
      <c r="D2286" s="450"/>
      <c r="E2286" s="450"/>
      <c r="F2286" s="450"/>
      <c r="G2286" s="450"/>
      <c r="H2286" s="450"/>
      <c r="I2286" s="450"/>
      <c r="J2286" s="450"/>
      <c r="M2286" s="371"/>
      <c r="N2286" s="371"/>
      <c r="O2286" s="371"/>
      <c r="P2286" s="356"/>
    </row>
    <row r="2287" spans="2:18" ht="36" customHeight="1" x14ac:dyDescent="0.5">
      <c r="B2287" s="354"/>
      <c r="C2287" s="450"/>
      <c r="D2287" s="450"/>
      <c r="E2287" s="450"/>
      <c r="F2287" s="450"/>
      <c r="G2287" s="450"/>
      <c r="H2287" s="450"/>
      <c r="I2287" s="450"/>
      <c r="J2287" s="450"/>
      <c r="M2287" s="371"/>
      <c r="N2287" s="371"/>
      <c r="O2287" s="371"/>
      <c r="P2287" s="356"/>
    </row>
    <row r="2288" spans="2:18" ht="36" customHeight="1" x14ac:dyDescent="0.5">
      <c r="B2288" s="354"/>
      <c r="C2288" s="450" t="str">
        <f>IF(SUM(Criteria!G376:H376)&gt;0,"Related party balances and transactions with entities with control, joint control or","There were no related party balances outstanding at year end and no further transactions")</f>
        <v>There were no related party balances outstanding at year end and no further transactions</v>
      </c>
      <c r="D2288" s="450"/>
      <c r="E2288" s="450"/>
      <c r="F2288" s="450"/>
      <c r="G2288" s="450"/>
      <c r="H2288" s="450"/>
      <c r="I2288" s="450"/>
      <c r="J2288" s="450"/>
      <c r="M2288" s="371"/>
      <c r="N2288" s="371"/>
      <c r="O2288" s="371"/>
      <c r="P2288" s="356"/>
    </row>
    <row r="2289" spans="2:18" ht="36" customHeight="1" x14ac:dyDescent="0.5">
      <c r="B2289" s="354"/>
      <c r="C2289" s="450" t="str">
        <f>IF(SUM(Criteria!G376:H376)&gt;0,"significant influence over the group are as follows:","with entities with control, joint control or significant influence over the group.")</f>
        <v>with entities with control, joint control or significant influence over the group.</v>
      </c>
      <c r="D2289" s="450"/>
      <c r="E2289" s="450"/>
      <c r="F2289" s="450"/>
      <c r="G2289" s="450"/>
      <c r="H2289" s="450"/>
      <c r="I2289" s="450"/>
      <c r="J2289" s="450"/>
      <c r="M2289" s="371"/>
      <c r="N2289" s="371"/>
      <c r="O2289" s="371"/>
      <c r="P2289" s="356"/>
    </row>
    <row r="2290" spans="2:18" ht="36" customHeight="1" x14ac:dyDescent="0.5">
      <c r="B2290" s="354"/>
      <c r="C2290" s="450"/>
      <c r="D2290" s="450"/>
      <c r="E2290" s="450"/>
      <c r="F2290" s="450"/>
      <c r="G2290" s="450"/>
      <c r="H2290" s="450"/>
      <c r="I2290" s="450"/>
      <c r="J2290" s="450"/>
      <c r="L2290" s="475" t="s">
        <v>644</v>
      </c>
      <c r="M2290" s="475"/>
      <c r="N2290" s="475"/>
      <c r="O2290" s="475" t="s">
        <v>84</v>
      </c>
      <c r="P2290" s="475"/>
      <c r="R2290" s="348" t="str">
        <f>IF(SUM(Criteria!G376:H376)&gt;0," ","DELETE")</f>
        <v>DELETE</v>
      </c>
    </row>
    <row r="2291" spans="2:18" ht="36" customHeight="1" x14ac:dyDescent="0.5">
      <c r="B2291" s="354"/>
      <c r="C2291" s="462" t="s">
        <v>772</v>
      </c>
      <c r="D2291" s="450"/>
      <c r="E2291" s="450"/>
      <c r="F2291" s="450"/>
      <c r="G2291" s="450"/>
      <c r="H2291" s="450"/>
      <c r="I2291" s="450"/>
      <c r="J2291" s="450"/>
      <c r="L2291" s="474" t="s">
        <v>776</v>
      </c>
      <c r="M2291" s="474"/>
      <c r="N2291" s="474"/>
      <c r="O2291" s="474" t="s">
        <v>773</v>
      </c>
      <c r="P2291" s="474"/>
      <c r="R2291" s="348" t="str">
        <f>R2290</f>
        <v>DELETE</v>
      </c>
    </row>
    <row r="2292" spans="2:18" ht="36" customHeight="1" x14ac:dyDescent="0.5">
      <c r="B2292" s="354"/>
      <c r="C2292" s="450"/>
      <c r="D2292" s="450"/>
      <c r="E2292" s="450"/>
      <c r="F2292" s="450"/>
      <c r="G2292" s="450"/>
      <c r="H2292" s="450"/>
      <c r="I2292" s="450"/>
      <c r="J2292" s="450"/>
      <c r="M2292" s="371"/>
      <c r="N2292" s="371"/>
      <c r="O2292" s="371"/>
      <c r="P2292" s="356"/>
    </row>
    <row r="2293" spans="2:18" ht="36" customHeight="1" x14ac:dyDescent="0.5">
      <c r="B2293" s="354"/>
      <c r="C2293" s="450">
        <f>Criteria!C376</f>
        <v>0</v>
      </c>
      <c r="D2293" s="450"/>
      <c r="E2293" s="450"/>
      <c r="F2293" s="450"/>
      <c r="G2293" s="450"/>
      <c r="H2293" s="450"/>
      <c r="I2293" s="450"/>
      <c r="J2293" s="450"/>
      <c r="M2293" s="371">
        <f>-Criteria!F376</f>
        <v>0</v>
      </c>
      <c r="N2293" s="371"/>
      <c r="O2293" s="371">
        <f>Criteria!E376</f>
        <v>0</v>
      </c>
      <c r="P2293" s="356"/>
      <c r="R2293" s="348" t="str">
        <f>IF(M2293=0,IF(O2293=0,"DELETE"," ")," ")</f>
        <v>DELETE</v>
      </c>
    </row>
    <row r="2294" spans="2:18" ht="36" customHeight="1" x14ac:dyDescent="0.5">
      <c r="B2294" s="354"/>
      <c r="C2294" s="450">
        <f>Criteria!C377</f>
        <v>0</v>
      </c>
      <c r="D2294" s="450"/>
      <c r="E2294" s="450"/>
      <c r="F2294" s="450"/>
      <c r="G2294" s="450"/>
      <c r="H2294" s="450"/>
      <c r="I2294" s="450"/>
      <c r="J2294" s="450"/>
      <c r="M2294" s="371">
        <f>-Criteria!F377</f>
        <v>0</v>
      </c>
      <c r="N2294" s="371"/>
      <c r="O2294" s="371">
        <f>Criteria!E377</f>
        <v>0</v>
      </c>
      <c r="P2294" s="356"/>
      <c r="R2294" s="348" t="str">
        <f t="shared" ref="R2294:R2302" si="143">IF(M2294=0,IF(O2294=0,"DELETE"," ")," ")</f>
        <v>DELETE</v>
      </c>
    </row>
    <row r="2295" spans="2:18" ht="36" customHeight="1" x14ac:dyDescent="0.5">
      <c r="B2295" s="354"/>
      <c r="C2295" s="450">
        <f>Criteria!C378</f>
        <v>0</v>
      </c>
      <c r="D2295" s="450"/>
      <c r="E2295" s="450"/>
      <c r="F2295" s="450"/>
      <c r="G2295" s="450"/>
      <c r="H2295" s="450"/>
      <c r="I2295" s="450"/>
      <c r="J2295" s="450"/>
      <c r="M2295" s="371">
        <f>-Criteria!F378</f>
        <v>0</v>
      </c>
      <c r="N2295" s="371"/>
      <c r="O2295" s="371">
        <f>Criteria!E378</f>
        <v>0</v>
      </c>
      <c r="P2295" s="356"/>
      <c r="R2295" s="348" t="str">
        <f t="shared" si="143"/>
        <v>DELETE</v>
      </c>
    </row>
    <row r="2296" spans="2:18" ht="36" customHeight="1" x14ac:dyDescent="0.5">
      <c r="B2296" s="354"/>
      <c r="C2296" s="450">
        <f>Criteria!C379</f>
        <v>0</v>
      </c>
      <c r="D2296" s="450"/>
      <c r="E2296" s="450"/>
      <c r="F2296" s="450"/>
      <c r="G2296" s="450"/>
      <c r="H2296" s="450"/>
      <c r="I2296" s="450"/>
      <c r="J2296" s="450"/>
      <c r="M2296" s="371">
        <f>-Criteria!F379</f>
        <v>0</v>
      </c>
      <c r="N2296" s="371"/>
      <c r="O2296" s="371">
        <f>Criteria!E379</f>
        <v>0</v>
      </c>
      <c r="P2296" s="356"/>
      <c r="R2296" s="348" t="str">
        <f t="shared" si="143"/>
        <v>DELETE</v>
      </c>
    </row>
    <row r="2297" spans="2:18" ht="36" customHeight="1" x14ac:dyDescent="0.5">
      <c r="B2297" s="354"/>
      <c r="C2297" s="450">
        <f>Criteria!C380</f>
        <v>0</v>
      </c>
      <c r="D2297" s="450"/>
      <c r="E2297" s="450"/>
      <c r="F2297" s="450"/>
      <c r="G2297" s="450"/>
      <c r="H2297" s="450"/>
      <c r="I2297" s="450"/>
      <c r="J2297" s="450"/>
      <c r="M2297" s="371">
        <f>-Criteria!F380</f>
        <v>0</v>
      </c>
      <c r="N2297" s="371"/>
      <c r="O2297" s="371">
        <f>Criteria!E380</f>
        <v>0</v>
      </c>
      <c r="P2297" s="356"/>
      <c r="R2297" s="348" t="str">
        <f t="shared" si="143"/>
        <v>DELETE</v>
      </c>
    </row>
    <row r="2298" spans="2:18" ht="36" customHeight="1" x14ac:dyDescent="0.5">
      <c r="B2298" s="354"/>
      <c r="C2298" s="450">
        <f>Criteria!C381</f>
        <v>0</v>
      </c>
      <c r="D2298" s="450"/>
      <c r="E2298" s="450"/>
      <c r="F2298" s="450"/>
      <c r="G2298" s="450"/>
      <c r="H2298" s="450"/>
      <c r="I2298" s="450"/>
      <c r="J2298" s="450"/>
      <c r="M2298" s="371">
        <f>-Criteria!F381</f>
        <v>0</v>
      </c>
      <c r="N2298" s="371"/>
      <c r="O2298" s="371">
        <f>Criteria!E381</f>
        <v>0</v>
      </c>
      <c r="P2298" s="356"/>
      <c r="R2298" s="348" t="str">
        <f t="shared" si="143"/>
        <v>DELETE</v>
      </c>
    </row>
    <row r="2299" spans="2:18" ht="36" customHeight="1" x14ac:dyDescent="0.5">
      <c r="B2299" s="354"/>
      <c r="C2299" s="450">
        <f>Criteria!C382</f>
        <v>0</v>
      </c>
      <c r="D2299" s="450"/>
      <c r="E2299" s="450"/>
      <c r="F2299" s="450"/>
      <c r="G2299" s="450"/>
      <c r="H2299" s="450"/>
      <c r="I2299" s="450"/>
      <c r="J2299" s="450"/>
      <c r="M2299" s="371">
        <f>-Criteria!F382</f>
        <v>0</v>
      </c>
      <c r="N2299" s="371"/>
      <c r="O2299" s="371">
        <f>Criteria!E382</f>
        <v>0</v>
      </c>
      <c r="P2299" s="356"/>
      <c r="R2299" s="348" t="str">
        <f t="shared" si="143"/>
        <v>DELETE</v>
      </c>
    </row>
    <row r="2300" spans="2:18" ht="36" customHeight="1" x14ac:dyDescent="0.5">
      <c r="B2300" s="354"/>
      <c r="C2300" s="450">
        <f>Criteria!C383</f>
        <v>0</v>
      </c>
      <c r="D2300" s="450"/>
      <c r="E2300" s="450"/>
      <c r="F2300" s="450"/>
      <c r="G2300" s="450"/>
      <c r="H2300" s="450"/>
      <c r="I2300" s="450"/>
      <c r="J2300" s="450"/>
      <c r="M2300" s="371">
        <f>-Criteria!F383</f>
        <v>0</v>
      </c>
      <c r="N2300" s="371"/>
      <c r="O2300" s="371">
        <f>Criteria!E383</f>
        <v>0</v>
      </c>
      <c r="P2300" s="356"/>
      <c r="R2300" s="348" t="str">
        <f t="shared" si="143"/>
        <v>DELETE</v>
      </c>
    </row>
    <row r="2301" spans="2:18" ht="36" customHeight="1" x14ac:dyDescent="0.5">
      <c r="B2301" s="354"/>
      <c r="C2301" s="450">
        <f>Criteria!C384</f>
        <v>0</v>
      </c>
      <c r="D2301" s="450"/>
      <c r="E2301" s="450"/>
      <c r="F2301" s="450"/>
      <c r="G2301" s="450"/>
      <c r="H2301" s="450"/>
      <c r="I2301" s="450"/>
      <c r="J2301" s="450"/>
      <c r="M2301" s="371">
        <f>-Criteria!F384</f>
        <v>0</v>
      </c>
      <c r="N2301" s="371"/>
      <c r="O2301" s="371">
        <f>Criteria!E384</f>
        <v>0</v>
      </c>
      <c r="P2301" s="356"/>
      <c r="R2301" s="348" t="str">
        <f t="shared" si="143"/>
        <v>DELETE</v>
      </c>
    </row>
    <row r="2302" spans="2:18" ht="36" customHeight="1" x14ac:dyDescent="0.5">
      <c r="B2302" s="354"/>
      <c r="C2302" s="450">
        <f>Criteria!C385</f>
        <v>0</v>
      </c>
      <c r="D2302" s="450"/>
      <c r="E2302" s="450"/>
      <c r="F2302" s="450"/>
      <c r="G2302" s="450"/>
      <c r="H2302" s="450"/>
      <c r="I2302" s="450"/>
      <c r="J2302" s="450"/>
      <c r="M2302" s="371">
        <f>-Criteria!F385</f>
        <v>0</v>
      </c>
      <c r="N2302" s="371"/>
      <c r="O2302" s="371">
        <f>Criteria!E385</f>
        <v>0</v>
      </c>
      <c r="P2302" s="356"/>
      <c r="R2302" s="348" t="str">
        <f t="shared" si="143"/>
        <v>DELETE</v>
      </c>
    </row>
    <row r="2303" spans="2:18" ht="36" customHeight="1" x14ac:dyDescent="0.5">
      <c r="B2303" s="354"/>
      <c r="C2303" s="450"/>
      <c r="D2303" s="450"/>
      <c r="E2303" s="450"/>
      <c r="F2303" s="450"/>
      <c r="G2303" s="450"/>
      <c r="H2303" s="450"/>
      <c r="I2303" s="450"/>
      <c r="J2303" s="450"/>
      <c r="M2303" s="371"/>
      <c r="N2303" s="371"/>
      <c r="O2303" s="371"/>
      <c r="P2303" s="356"/>
    </row>
    <row r="2304" spans="2:18" ht="36" customHeight="1" x14ac:dyDescent="0.5">
      <c r="B2304" s="354"/>
      <c r="C2304" s="450"/>
      <c r="D2304" s="450"/>
      <c r="E2304" s="450"/>
      <c r="F2304" s="450"/>
      <c r="G2304" s="450"/>
      <c r="H2304" s="450"/>
      <c r="I2304" s="450"/>
      <c r="J2304" s="450"/>
      <c r="M2304" s="371"/>
      <c r="N2304" s="371"/>
      <c r="O2304" s="371"/>
      <c r="P2304" s="356"/>
    </row>
    <row r="2305" spans="2:24" ht="36" customHeight="1" x14ac:dyDescent="0.5">
      <c r="B2305" s="354"/>
      <c r="C2305" s="450"/>
      <c r="D2305" s="450"/>
      <c r="E2305" s="450"/>
      <c r="F2305" s="450"/>
      <c r="G2305" s="450"/>
      <c r="H2305" s="450"/>
      <c r="I2305" s="450"/>
      <c r="J2305" s="450"/>
      <c r="M2305" s="371"/>
      <c r="N2305" s="371"/>
      <c r="O2305" s="371"/>
      <c r="P2305" s="356"/>
    </row>
    <row r="2306" spans="2:24" ht="36" customHeight="1" x14ac:dyDescent="0.5">
      <c r="C2306" s="450"/>
      <c r="D2306" s="450"/>
      <c r="E2306" s="450"/>
      <c r="F2306" s="450"/>
      <c r="G2306" s="450"/>
      <c r="H2306" s="450"/>
      <c r="I2306" s="450"/>
      <c r="J2306" s="450"/>
      <c r="M2306" s="351"/>
      <c r="N2306" s="351"/>
      <c r="O2306" s="351"/>
    </row>
    <row r="2307" spans="2:24" ht="36" customHeight="1" x14ac:dyDescent="0.5">
      <c r="C2307" s="450"/>
      <c r="D2307" s="450"/>
      <c r="E2307" s="450"/>
      <c r="F2307" s="450"/>
      <c r="G2307" s="450"/>
      <c r="H2307" s="450"/>
      <c r="I2307" s="450"/>
      <c r="J2307" s="450"/>
      <c r="M2307" s="351"/>
      <c r="N2307" s="351"/>
      <c r="O2307" s="296" t="s">
        <v>89</v>
      </c>
      <c r="Q2307" s="292">
        <f>MAX($Q$105:Q2306)+1</f>
        <v>63</v>
      </c>
    </row>
    <row r="2308" spans="2:24" ht="36" customHeight="1" x14ac:dyDescent="0.5">
      <c r="C2308" s="353"/>
      <c r="D2308" s="433" t="str">
        <f>Criteria!E9</f>
        <v>HOLDING COMPANY 268 (PROPRIETARY) LIMITED</v>
      </c>
      <c r="E2308" s="434"/>
      <c r="F2308" s="434"/>
      <c r="G2308" s="434"/>
      <c r="H2308" s="434"/>
      <c r="I2308" s="434"/>
      <c r="J2308" s="434"/>
      <c r="M2308" s="351"/>
      <c r="N2308" s="351"/>
      <c r="O2308" s="347"/>
    </row>
    <row r="2309" spans="2:24" ht="36" customHeight="1" x14ac:dyDescent="0.5">
      <c r="C2309" s="353"/>
      <c r="D2309" s="433" t="str">
        <f>IF(Criteria!E13=0," ",CONCATENATE("T/A ",Criteria!E13))</f>
        <v>T/A FINANCIAL INSTRUMENTS</v>
      </c>
      <c r="E2309" s="434"/>
      <c r="F2309" s="434"/>
      <c r="G2309" s="434"/>
      <c r="H2309" s="434"/>
      <c r="I2309" s="434"/>
      <c r="J2309" s="434"/>
      <c r="M2309" s="351"/>
      <c r="N2309" s="351"/>
      <c r="O2309" s="351"/>
      <c r="R2309" s="348" t="str">
        <f>IF(Criteria!E13=0,"DELETE"," ")</f>
        <v xml:space="preserve"> </v>
      </c>
    </row>
    <row r="2310" spans="2:24" ht="36" customHeight="1" x14ac:dyDescent="0.5">
      <c r="C2310" s="353"/>
      <c r="D2310" s="434"/>
      <c r="E2310" s="434"/>
      <c r="F2310" s="434"/>
      <c r="G2310" s="434"/>
      <c r="H2310" s="434"/>
      <c r="I2310" s="434"/>
      <c r="J2310" s="434"/>
      <c r="M2310" s="351"/>
      <c r="N2310" s="351"/>
      <c r="O2310" s="351"/>
    </row>
    <row r="2311" spans="2:24" ht="36" customHeight="1" x14ac:dyDescent="0.5">
      <c r="C2311" s="353"/>
      <c r="D2311" s="433" t="s">
        <v>86</v>
      </c>
      <c r="E2311" s="434"/>
      <c r="F2311" s="434"/>
      <c r="G2311" s="434"/>
      <c r="H2311" s="434"/>
      <c r="I2311" s="434"/>
      <c r="J2311" s="434"/>
      <c r="M2311" s="351"/>
      <c r="N2311" s="351"/>
      <c r="O2311" s="351"/>
    </row>
    <row r="2312" spans="2:24" ht="36" customHeight="1" x14ac:dyDescent="0.5">
      <c r="C2312" s="353"/>
      <c r="D2312" s="433" t="str">
        <f>Criteria!E20</f>
        <v>28 FEBRUARY 2025</v>
      </c>
      <c r="E2312" s="434"/>
      <c r="F2312" s="434"/>
      <c r="G2312" s="434"/>
      <c r="H2312" s="434"/>
      <c r="I2312" s="434"/>
      <c r="J2312" s="434"/>
      <c r="M2312" s="351"/>
      <c r="N2312" s="351"/>
      <c r="O2312" s="351"/>
    </row>
    <row r="2313" spans="2:24" ht="36" customHeight="1" x14ac:dyDescent="0.5">
      <c r="C2313" s="353"/>
      <c r="D2313" s="434"/>
      <c r="E2313" s="434"/>
      <c r="F2313" s="434"/>
      <c r="G2313" s="434"/>
      <c r="H2313" s="434"/>
      <c r="I2313" s="434"/>
      <c r="J2313" s="434"/>
      <c r="M2313" s="351"/>
      <c r="N2313" s="351"/>
      <c r="O2313" s="351"/>
    </row>
    <row r="2314" spans="2:24" ht="36" customHeight="1" x14ac:dyDescent="0.5">
      <c r="C2314" s="353"/>
      <c r="D2314" s="444"/>
      <c r="E2314" s="444"/>
      <c r="F2314" s="444"/>
      <c r="G2314" s="444"/>
      <c r="H2314" s="444"/>
      <c r="I2314" s="444"/>
      <c r="J2314" s="444"/>
      <c r="K2314" s="364"/>
      <c r="L2314" s="364"/>
      <c r="M2314" s="378"/>
      <c r="N2314" s="378"/>
      <c r="O2314" s="378"/>
      <c r="P2314" s="367"/>
      <c r="Q2314" s="364"/>
    </row>
    <row r="2315" spans="2:24" ht="36" customHeight="1" x14ac:dyDescent="0.5">
      <c r="C2315" s="353"/>
      <c r="D2315" s="434"/>
      <c r="E2315" s="434"/>
      <c r="F2315" s="434"/>
      <c r="G2315" s="434"/>
      <c r="H2315" s="434"/>
      <c r="I2315" s="434"/>
      <c r="J2315" s="449"/>
      <c r="K2315" s="292" t="s">
        <v>1041</v>
      </c>
      <c r="L2315" s="292"/>
      <c r="M2315" s="294">
        <f>Criteria!E22</f>
        <v>2025</v>
      </c>
      <c r="N2315" s="294"/>
      <c r="O2315" s="294">
        <f>Criteria!E27</f>
        <v>2024</v>
      </c>
      <c r="P2315" s="295"/>
    </row>
    <row r="2316" spans="2:24" ht="36" customHeight="1" x14ac:dyDescent="0.5">
      <c r="C2316" s="353"/>
      <c r="D2316" s="434"/>
      <c r="E2316" s="434"/>
      <c r="F2316" s="434"/>
      <c r="G2316" s="434"/>
      <c r="H2316" s="434"/>
      <c r="I2316" s="434"/>
      <c r="J2316" s="449"/>
      <c r="K2316" s="292"/>
      <c r="L2316" s="292"/>
      <c r="M2316" s="296"/>
      <c r="N2316" s="296"/>
      <c r="O2316" s="296"/>
      <c r="P2316" s="295"/>
    </row>
    <row r="2317" spans="2:24" ht="36" customHeight="1" x14ac:dyDescent="0.45">
      <c r="D2317" s="433" t="s">
        <v>836</v>
      </c>
      <c r="E2317" s="434"/>
      <c r="F2317" s="434"/>
      <c r="G2317" s="434"/>
      <c r="H2317" s="434"/>
      <c r="I2317" s="434"/>
      <c r="J2317" s="449"/>
      <c r="K2317" s="292"/>
      <c r="L2317" s="292"/>
      <c r="M2317" s="296">
        <f>-SUM(TrialBalance!L5:L10)</f>
        <v>0</v>
      </c>
      <c r="N2317" s="296"/>
      <c r="O2317" s="296">
        <f>-SUM(TrialBalance!N5:N10)</f>
        <v>0</v>
      </c>
      <c r="P2317" s="295"/>
      <c r="R2317" s="348" t="str">
        <f>IF(M2317+O2317=0,IF(M2319+O2319=0," ","DELETE")," ")</f>
        <v xml:space="preserve"> </v>
      </c>
      <c r="S2317" s="333">
        <f>M2317</f>
        <v>0</v>
      </c>
      <c r="T2317" s="333"/>
      <c r="U2317" s="333">
        <f>O2317</f>
        <v>0</v>
      </c>
      <c r="V2317" s="333"/>
      <c r="W2317" s="333"/>
      <c r="X2317" s="333"/>
    </row>
    <row r="2318" spans="2:24" ht="36" customHeight="1" x14ac:dyDescent="0.45">
      <c r="D2318" s="433"/>
      <c r="E2318" s="434"/>
      <c r="F2318" s="434"/>
      <c r="G2318" s="434"/>
      <c r="H2318" s="434"/>
      <c r="I2318" s="434"/>
      <c r="J2318" s="449"/>
      <c r="K2318" s="292"/>
      <c r="L2318" s="292"/>
      <c r="M2318" s="296"/>
      <c r="N2318" s="296"/>
      <c r="O2318" s="296"/>
      <c r="P2318" s="295"/>
      <c r="R2318" s="348" t="str">
        <f>R2317</f>
        <v xml:space="preserve"> </v>
      </c>
      <c r="S2318" s="333"/>
      <c r="T2318" s="333"/>
      <c r="U2318" s="333"/>
      <c r="V2318" s="333"/>
      <c r="W2318" s="333"/>
      <c r="X2318" s="333"/>
    </row>
    <row r="2319" spans="2:24" ht="36" customHeight="1" x14ac:dyDescent="0.45">
      <c r="D2319" s="433" t="s">
        <v>334</v>
      </c>
      <c r="E2319" s="434"/>
      <c r="F2319" s="434"/>
      <c r="G2319" s="434"/>
      <c r="H2319" s="434"/>
      <c r="I2319" s="434"/>
      <c r="J2319" s="449"/>
      <c r="K2319" s="292"/>
      <c r="L2319" s="292"/>
      <c r="M2319" s="296">
        <f>-TrialBalance!L11</f>
        <v>0</v>
      </c>
      <c r="N2319" s="296"/>
      <c r="O2319" s="296">
        <f>-TrialBalance!N11</f>
        <v>0</v>
      </c>
      <c r="P2319" s="295"/>
      <c r="R2319" s="348" t="str">
        <f>IF(M2319+O2319=0,"DELETE"," ")</f>
        <v>DELETE</v>
      </c>
      <c r="S2319" s="333">
        <f>M2319</f>
        <v>0</v>
      </c>
      <c r="T2319" s="333"/>
      <c r="U2319" s="333">
        <f>O2319</f>
        <v>0</v>
      </c>
      <c r="V2319" s="333"/>
      <c r="W2319" s="333"/>
      <c r="X2319" s="333"/>
    </row>
    <row r="2320" spans="2:24" ht="36" customHeight="1" x14ac:dyDescent="0.45">
      <c r="D2320" s="433"/>
      <c r="E2320" s="434"/>
      <c r="F2320" s="434"/>
      <c r="G2320" s="434"/>
      <c r="H2320" s="434"/>
      <c r="I2320" s="434"/>
      <c r="J2320" s="449"/>
      <c r="K2320" s="292"/>
      <c r="L2320" s="292"/>
      <c r="M2320" s="296"/>
      <c r="N2320" s="296"/>
      <c r="O2320" s="296"/>
      <c r="P2320" s="295"/>
      <c r="R2320" s="348" t="str">
        <f>R2319</f>
        <v>DELETE</v>
      </c>
    </row>
    <row r="2321" spans="3:26" ht="36" customHeight="1" x14ac:dyDescent="0.45">
      <c r="D2321" s="433" t="s">
        <v>1074</v>
      </c>
      <c r="E2321" s="434"/>
      <c r="F2321" s="434"/>
      <c r="G2321" s="434"/>
      <c r="H2321" s="434"/>
      <c r="I2321" s="434"/>
      <c r="J2321" s="449"/>
      <c r="K2321" s="292"/>
      <c r="L2321" s="292"/>
      <c r="M2321" s="296">
        <f>SUM(M2324:M2331)</f>
        <v>0</v>
      </c>
      <c r="N2321" s="296"/>
      <c r="O2321" s="296">
        <f>SUM(O2324:O2331)</f>
        <v>0</v>
      </c>
      <c r="P2321" s="295"/>
      <c r="R2321" s="348" t="str">
        <f>IF(M2321=0,IF(O2321=0,"DELETE"," ")," ")</f>
        <v>DELETE</v>
      </c>
      <c r="S2321" s="333">
        <f>-M2321</f>
        <v>0</v>
      </c>
      <c r="T2321" s="333"/>
      <c r="U2321" s="333">
        <f>-O2321</f>
        <v>0</v>
      </c>
      <c r="V2321" s="333"/>
      <c r="W2321" s="333"/>
      <c r="X2321" s="333"/>
    </row>
    <row r="2322" spans="3:26" ht="9" customHeight="1" x14ac:dyDescent="0.45">
      <c r="C2322" s="397"/>
      <c r="D2322" s="434"/>
      <c r="E2322" s="434"/>
      <c r="F2322" s="434"/>
      <c r="G2322" s="434"/>
      <c r="H2322" s="434"/>
      <c r="I2322" s="434"/>
      <c r="J2322" s="449"/>
      <c r="K2322" s="292"/>
      <c r="L2322" s="292"/>
      <c r="M2322" s="296"/>
      <c r="N2322" s="296"/>
      <c r="O2322" s="296"/>
      <c r="P2322" s="295"/>
      <c r="R2322" s="348" t="str">
        <f>R2321</f>
        <v>DELETE</v>
      </c>
    </row>
    <row r="2323" spans="3:26" ht="9" customHeight="1" x14ac:dyDescent="0.45">
      <c r="C2323" s="397"/>
      <c r="D2323" s="434"/>
      <c r="E2323" s="434"/>
      <c r="F2323" s="434"/>
      <c r="G2323" s="434"/>
      <c r="H2323" s="434"/>
      <c r="I2323" s="434"/>
      <c r="J2323" s="449"/>
      <c r="K2323" s="292"/>
      <c r="L2323" s="292"/>
      <c r="M2323" s="398"/>
      <c r="N2323" s="297"/>
      <c r="O2323" s="399"/>
      <c r="P2323" s="295"/>
      <c r="R2323" s="348" t="str">
        <f>R2322</f>
        <v>DELETE</v>
      </c>
    </row>
    <row r="2324" spans="3:26" ht="36" customHeight="1" x14ac:dyDescent="0.45">
      <c r="C2324" s="397"/>
      <c r="D2324" s="434" t="s">
        <v>492</v>
      </c>
      <c r="E2324" s="434"/>
      <c r="F2324" s="434"/>
      <c r="G2324" s="434"/>
      <c r="H2324" s="434"/>
      <c r="I2324" s="434"/>
      <c r="J2324" s="449"/>
      <c r="K2324" s="292"/>
      <c r="L2324" s="292"/>
      <c r="M2324" s="400">
        <f>SUM(TrialBalance!L13:L16)</f>
        <v>0</v>
      </c>
      <c r="N2324" s="296"/>
      <c r="O2324" s="401">
        <f>SUM(TrialBalance!N13:N16)</f>
        <v>0</v>
      </c>
      <c r="P2324" s="295"/>
      <c r="R2324" s="348" t="str">
        <f t="shared" ref="R2324:R2331" si="144">IF(M2324+O2324=0,"DELETE"," ")</f>
        <v>DELETE</v>
      </c>
    </row>
    <row r="2325" spans="3:26" ht="36" customHeight="1" x14ac:dyDescent="0.45">
      <c r="C2325" s="397"/>
      <c r="D2325" s="434" t="s">
        <v>249</v>
      </c>
      <c r="E2325" s="434"/>
      <c r="F2325" s="434"/>
      <c r="G2325" s="434"/>
      <c r="H2325" s="434"/>
      <c r="I2325" s="434"/>
      <c r="J2325" s="449"/>
      <c r="K2325" s="292"/>
      <c r="L2325" s="292"/>
      <c r="M2325" s="400">
        <f>TrialBalance!L17</f>
        <v>0</v>
      </c>
      <c r="N2325" s="296"/>
      <c r="O2325" s="401">
        <f>TrialBalance!N17</f>
        <v>0</v>
      </c>
      <c r="P2325" s="295"/>
      <c r="R2325" s="348" t="str">
        <f t="shared" si="144"/>
        <v>DELETE</v>
      </c>
    </row>
    <row r="2326" spans="3:26" ht="36" customHeight="1" x14ac:dyDescent="0.45">
      <c r="C2326" s="397"/>
      <c r="D2326" s="434">
        <f>TrialBalance!C18</f>
        <v>0</v>
      </c>
      <c r="E2326" s="434"/>
      <c r="F2326" s="434"/>
      <c r="G2326" s="434"/>
      <c r="H2326" s="434"/>
      <c r="I2326" s="434"/>
      <c r="J2326" s="449"/>
      <c r="K2326" s="292"/>
      <c r="L2326" s="292"/>
      <c r="M2326" s="400">
        <f>TrialBalance!L18</f>
        <v>0</v>
      </c>
      <c r="N2326" s="296"/>
      <c r="O2326" s="401">
        <f>TrialBalance!N18</f>
        <v>0</v>
      </c>
      <c r="P2326" s="295"/>
      <c r="R2326" s="348" t="str">
        <f t="shared" si="144"/>
        <v>DELETE</v>
      </c>
    </row>
    <row r="2327" spans="3:26" ht="36" customHeight="1" x14ac:dyDescent="0.45">
      <c r="C2327" s="397"/>
      <c r="D2327" s="434">
        <f>TrialBalance!C19</f>
        <v>0</v>
      </c>
      <c r="E2327" s="434"/>
      <c r="F2327" s="434"/>
      <c r="G2327" s="434"/>
      <c r="H2327" s="434"/>
      <c r="I2327" s="434"/>
      <c r="J2327" s="449"/>
      <c r="K2327" s="292"/>
      <c r="L2327" s="292"/>
      <c r="M2327" s="400">
        <f>TrialBalance!L19</f>
        <v>0</v>
      </c>
      <c r="N2327" s="296"/>
      <c r="O2327" s="401">
        <f>TrialBalance!N19</f>
        <v>0</v>
      </c>
      <c r="P2327" s="295"/>
      <c r="R2327" s="348" t="str">
        <f t="shared" si="144"/>
        <v>DELETE</v>
      </c>
    </row>
    <row r="2328" spans="3:26" ht="36" customHeight="1" x14ac:dyDescent="0.45">
      <c r="C2328" s="397"/>
      <c r="D2328" s="434">
        <f>TrialBalance!C20</f>
        <v>0</v>
      </c>
      <c r="E2328" s="434"/>
      <c r="F2328" s="434"/>
      <c r="G2328" s="434"/>
      <c r="H2328" s="434"/>
      <c r="I2328" s="434"/>
      <c r="J2328" s="449"/>
      <c r="K2328" s="292"/>
      <c r="L2328" s="292"/>
      <c r="M2328" s="400">
        <f>TrialBalance!L20</f>
        <v>0</v>
      </c>
      <c r="N2328" s="296"/>
      <c r="O2328" s="401">
        <f>TrialBalance!N20</f>
        <v>0</v>
      </c>
      <c r="P2328" s="295"/>
      <c r="R2328" s="348" t="str">
        <f t="shared" si="144"/>
        <v>DELETE</v>
      </c>
    </row>
    <row r="2329" spans="3:26" ht="36" customHeight="1" x14ac:dyDescent="0.45">
      <c r="C2329" s="397"/>
      <c r="D2329" s="434">
        <f>TrialBalance!C21</f>
        <v>0</v>
      </c>
      <c r="E2329" s="434"/>
      <c r="F2329" s="434"/>
      <c r="G2329" s="434"/>
      <c r="H2329" s="434"/>
      <c r="I2329" s="434"/>
      <c r="J2329" s="449"/>
      <c r="K2329" s="292"/>
      <c r="L2329" s="292"/>
      <c r="M2329" s="400">
        <f>TrialBalance!L21</f>
        <v>0</v>
      </c>
      <c r="N2329" s="296"/>
      <c r="O2329" s="401">
        <f>TrialBalance!N21</f>
        <v>0</v>
      </c>
      <c r="P2329" s="295"/>
      <c r="R2329" s="348" t="str">
        <f t="shared" si="144"/>
        <v>DELETE</v>
      </c>
    </row>
    <row r="2330" spans="3:26" ht="36" customHeight="1" x14ac:dyDescent="0.45">
      <c r="C2330" s="397"/>
      <c r="D2330" s="434">
        <f>TrialBalance!C22</f>
        <v>0</v>
      </c>
      <c r="E2330" s="434"/>
      <c r="F2330" s="434"/>
      <c r="G2330" s="434"/>
      <c r="H2330" s="434"/>
      <c r="I2330" s="434"/>
      <c r="J2330" s="449"/>
      <c r="K2330" s="292"/>
      <c r="L2330" s="292"/>
      <c r="M2330" s="400">
        <f>TrialBalance!L22</f>
        <v>0</v>
      </c>
      <c r="N2330" s="296"/>
      <c r="O2330" s="401">
        <f>TrialBalance!N22</f>
        <v>0</v>
      </c>
      <c r="P2330" s="295"/>
      <c r="R2330" s="348" t="str">
        <f t="shared" si="144"/>
        <v>DELETE</v>
      </c>
    </row>
    <row r="2331" spans="3:26" ht="36" customHeight="1" x14ac:dyDescent="0.45">
      <c r="C2331" s="397"/>
      <c r="D2331" s="434" t="s">
        <v>493</v>
      </c>
      <c r="E2331" s="434"/>
      <c r="F2331" s="434"/>
      <c r="G2331" s="434"/>
      <c r="H2331" s="434"/>
      <c r="I2331" s="434"/>
      <c r="J2331" s="449"/>
      <c r="K2331" s="292"/>
      <c r="L2331" s="292"/>
      <c r="M2331" s="400">
        <f>SUM(TrialBalance!L23:L26)</f>
        <v>0</v>
      </c>
      <c r="N2331" s="296"/>
      <c r="O2331" s="401">
        <f>SUM(TrialBalance!N23:N26)</f>
        <v>0</v>
      </c>
      <c r="P2331" s="295"/>
      <c r="R2331" s="348" t="str">
        <f t="shared" si="144"/>
        <v>DELETE</v>
      </c>
    </row>
    <row r="2332" spans="3:26" ht="9" customHeight="1" x14ac:dyDescent="0.45">
      <c r="C2332" s="397"/>
      <c r="D2332" s="434"/>
      <c r="E2332" s="434"/>
      <c r="F2332" s="434"/>
      <c r="G2332" s="434"/>
      <c r="H2332" s="434"/>
      <c r="I2332" s="434"/>
      <c r="J2332" s="449"/>
      <c r="K2332" s="292"/>
      <c r="L2332" s="292"/>
      <c r="M2332" s="402"/>
      <c r="N2332" s="298"/>
      <c r="O2332" s="403"/>
      <c r="P2332" s="295"/>
      <c r="R2332" s="348" t="str">
        <f>R2321</f>
        <v>DELETE</v>
      </c>
    </row>
    <row r="2333" spans="3:26" ht="9" customHeight="1" x14ac:dyDescent="0.45">
      <c r="C2333" s="397"/>
      <c r="D2333" s="434"/>
      <c r="E2333" s="434"/>
      <c r="F2333" s="434"/>
      <c r="G2333" s="434"/>
      <c r="H2333" s="434"/>
      <c r="I2333" s="434"/>
      <c r="J2333" s="449"/>
      <c r="K2333" s="292"/>
      <c r="L2333" s="292"/>
      <c r="M2333" s="298"/>
      <c r="N2333" s="298"/>
      <c r="O2333" s="298"/>
      <c r="P2333" s="295"/>
      <c r="R2333" s="348" t="str">
        <f>R2321</f>
        <v>DELETE</v>
      </c>
    </row>
    <row r="2334" spans="3:26" ht="9" customHeight="1" x14ac:dyDescent="0.45">
      <c r="C2334" s="397"/>
      <c r="D2334" s="434"/>
      <c r="E2334" s="434"/>
      <c r="F2334" s="434"/>
      <c r="G2334" s="434"/>
      <c r="H2334" s="434"/>
      <c r="I2334" s="434"/>
      <c r="J2334" s="449"/>
      <c r="K2334" s="292"/>
      <c r="L2334" s="292"/>
      <c r="M2334" s="296"/>
      <c r="N2334" s="296"/>
      <c r="O2334" s="296"/>
      <c r="P2334" s="295"/>
      <c r="R2334" s="348" t="str">
        <f>R2333</f>
        <v>DELETE</v>
      </c>
    </row>
    <row r="2335" spans="3:26" ht="36" customHeight="1" x14ac:dyDescent="0.45">
      <c r="D2335" s="446" t="str">
        <f>IF((Y2335+Z2335)=3,"Gross profit/(loss)",(IF((Y2335+Z2335=4),"Gross profit","Gross loss")))</f>
        <v>Gross profit</v>
      </c>
      <c r="E2335" s="434"/>
      <c r="F2335" s="434"/>
      <c r="G2335" s="434"/>
      <c r="H2335" s="434"/>
      <c r="I2335" s="434"/>
      <c r="J2335" s="449"/>
      <c r="K2335" s="292"/>
      <c r="L2335" s="292"/>
      <c r="M2335" s="296">
        <f>SUM(S2317:S2332)</f>
        <v>0</v>
      </c>
      <c r="N2335" s="296"/>
      <c r="O2335" s="296">
        <f>SUM(U2317:U2332)</f>
        <v>0</v>
      </c>
      <c r="P2335" s="295"/>
      <c r="R2335" s="348" t="str">
        <f>R2334</f>
        <v>DELETE</v>
      </c>
      <c r="Y2335" s="331">
        <f>IF(M2335&lt;0,1,IF(M2335=0,IF(O2335&lt;0,1,2),2))</f>
        <v>2</v>
      </c>
      <c r="Z2335" s="331">
        <f>IF(O2335&lt;0,1,IF(O2335=0,IF(M2335&lt;0,1,2),2))</f>
        <v>2</v>
      </c>
    </row>
    <row r="2336" spans="3:26" ht="36" customHeight="1" x14ac:dyDescent="0.45">
      <c r="C2336" s="397"/>
      <c r="D2336" s="434"/>
      <c r="E2336" s="434"/>
      <c r="F2336" s="434"/>
      <c r="G2336" s="434"/>
      <c r="H2336" s="434"/>
      <c r="I2336" s="434"/>
      <c r="J2336" s="449"/>
      <c r="K2336" s="292"/>
      <c r="L2336" s="292"/>
      <c r="M2336" s="296"/>
      <c r="N2336" s="296"/>
      <c r="O2336" s="296"/>
      <c r="P2336" s="295"/>
      <c r="R2336" s="348" t="str">
        <f>R2335</f>
        <v>DELETE</v>
      </c>
    </row>
    <row r="2337" spans="3:24" ht="36" customHeight="1" x14ac:dyDescent="0.45">
      <c r="D2337" s="433" t="s">
        <v>1037</v>
      </c>
      <c r="E2337" s="434"/>
      <c r="F2337" s="434"/>
      <c r="G2337" s="434"/>
      <c r="H2337" s="434"/>
      <c r="I2337" s="434"/>
      <c r="J2337" s="449"/>
      <c r="K2337" s="292"/>
      <c r="L2337" s="292"/>
      <c r="M2337" s="296">
        <f>SUM(M2339:M2346)</f>
        <v>0</v>
      </c>
      <c r="N2337" s="296"/>
      <c r="O2337" s="296">
        <f>SUM(O2339:O2346)</f>
        <v>0</v>
      </c>
      <c r="P2337" s="295"/>
      <c r="R2337" s="348" t="str">
        <f>IF(M2337+O2337=0,"DELETE"," ")</f>
        <v>DELETE</v>
      </c>
      <c r="S2337" s="333">
        <f>M2337</f>
        <v>0</v>
      </c>
      <c r="T2337" s="333"/>
      <c r="U2337" s="333">
        <f>O2337</f>
        <v>0</v>
      </c>
    </row>
    <row r="2338" spans="3:24" ht="9" customHeight="1" x14ac:dyDescent="0.45">
      <c r="C2338" s="397"/>
      <c r="D2338" s="434"/>
      <c r="E2338" s="434"/>
      <c r="F2338" s="434"/>
      <c r="G2338" s="434"/>
      <c r="H2338" s="434"/>
      <c r="I2338" s="434"/>
      <c r="J2338" s="449"/>
      <c r="K2338" s="292"/>
      <c r="L2338" s="292"/>
      <c r="M2338" s="296"/>
      <c r="N2338" s="296"/>
      <c r="O2338" s="296"/>
      <c r="P2338" s="295"/>
      <c r="R2338" s="348" t="str">
        <f>R2337</f>
        <v>DELETE</v>
      </c>
    </row>
    <row r="2339" spans="3:24" ht="9" customHeight="1" x14ac:dyDescent="0.45">
      <c r="C2339" s="397"/>
      <c r="D2339" s="434"/>
      <c r="E2339" s="434"/>
      <c r="F2339" s="434"/>
      <c r="G2339" s="434"/>
      <c r="H2339" s="434"/>
      <c r="I2339" s="434"/>
      <c r="J2339" s="449"/>
      <c r="K2339" s="292"/>
      <c r="L2339" s="292"/>
      <c r="M2339" s="398"/>
      <c r="N2339" s="297"/>
      <c r="O2339" s="399"/>
      <c r="P2339" s="295"/>
      <c r="R2339" s="348" t="str">
        <f>R2337</f>
        <v>DELETE</v>
      </c>
    </row>
    <row r="2340" spans="3:24" ht="36" customHeight="1" x14ac:dyDescent="0.45">
      <c r="C2340" s="397"/>
      <c r="D2340" s="434" t="str">
        <f>TrialBalance!C28</f>
        <v>Insurance claims - Financial instruments</v>
      </c>
      <c r="E2340" s="434"/>
      <c r="F2340" s="434"/>
      <c r="G2340" s="434"/>
      <c r="H2340" s="434"/>
      <c r="I2340" s="434"/>
      <c r="J2340" s="449"/>
      <c r="K2340" s="292"/>
      <c r="L2340" s="292"/>
      <c r="M2340" s="400">
        <f>-TrialBalance!L28</f>
        <v>0</v>
      </c>
      <c r="N2340" s="296"/>
      <c r="O2340" s="401">
        <f>-TrialBalance!N28</f>
        <v>0</v>
      </c>
      <c r="P2340" s="295"/>
      <c r="R2340" s="348" t="str">
        <f t="shared" ref="R2340:R2345" si="145">IF(M2340+O2340=0,"DELETE"," ")</f>
        <v>DELETE</v>
      </c>
    </row>
    <row r="2341" spans="3:24" ht="36" customHeight="1" x14ac:dyDescent="0.45">
      <c r="C2341" s="397"/>
      <c r="D2341" s="434" t="str">
        <f>TrialBalance!C29</f>
        <v>Government grants received</v>
      </c>
      <c r="E2341" s="434"/>
      <c r="F2341" s="434"/>
      <c r="G2341" s="434"/>
      <c r="H2341" s="434"/>
      <c r="I2341" s="434"/>
      <c r="J2341" s="449"/>
      <c r="K2341" s="292"/>
      <c r="L2341" s="292"/>
      <c r="M2341" s="400">
        <f>-TrialBalance!L29</f>
        <v>0</v>
      </c>
      <c r="N2341" s="296"/>
      <c r="O2341" s="401">
        <f>-TrialBalance!N29</f>
        <v>0</v>
      </c>
      <c r="P2341" s="295"/>
      <c r="R2341" s="348" t="str">
        <f t="shared" si="145"/>
        <v>DELETE</v>
      </c>
    </row>
    <row r="2342" spans="3:24" ht="36" customHeight="1" x14ac:dyDescent="0.45">
      <c r="C2342" s="397"/>
      <c r="D2342" s="434">
        <f>TrialBalance!C30</f>
        <v>0</v>
      </c>
      <c r="E2342" s="434"/>
      <c r="F2342" s="434"/>
      <c r="G2342" s="434"/>
      <c r="H2342" s="434"/>
      <c r="I2342" s="434"/>
      <c r="J2342" s="449"/>
      <c r="K2342" s="292"/>
      <c r="L2342" s="292"/>
      <c r="M2342" s="400">
        <f>-TrialBalance!L30</f>
        <v>0</v>
      </c>
      <c r="N2342" s="296"/>
      <c r="O2342" s="401">
        <f>-TrialBalance!N30</f>
        <v>0</v>
      </c>
      <c r="P2342" s="295"/>
      <c r="R2342" s="348" t="str">
        <f t="shared" si="145"/>
        <v>DELETE</v>
      </c>
    </row>
    <row r="2343" spans="3:24" ht="36" customHeight="1" x14ac:dyDescent="0.45">
      <c r="C2343" s="397"/>
      <c r="D2343" s="434">
        <f>TrialBalance!C31</f>
        <v>0</v>
      </c>
      <c r="E2343" s="434"/>
      <c r="F2343" s="434"/>
      <c r="G2343" s="434"/>
      <c r="H2343" s="434"/>
      <c r="I2343" s="434"/>
      <c r="J2343" s="449"/>
      <c r="K2343" s="292"/>
      <c r="L2343" s="292"/>
      <c r="M2343" s="400">
        <f>-TrialBalance!L31</f>
        <v>0</v>
      </c>
      <c r="N2343" s="296"/>
      <c r="O2343" s="401">
        <f>-TrialBalance!N31</f>
        <v>0</v>
      </c>
      <c r="P2343" s="295"/>
      <c r="R2343" s="348" t="str">
        <f t="shared" si="145"/>
        <v>DELETE</v>
      </c>
    </row>
    <row r="2344" spans="3:24" ht="36" customHeight="1" x14ac:dyDescent="0.45">
      <c r="C2344" s="397"/>
      <c r="D2344" s="434">
        <f>TrialBalance!C32</f>
        <v>0</v>
      </c>
      <c r="E2344" s="434"/>
      <c r="F2344" s="434"/>
      <c r="G2344" s="434"/>
      <c r="H2344" s="434"/>
      <c r="I2344" s="434"/>
      <c r="J2344" s="449"/>
      <c r="K2344" s="292"/>
      <c r="L2344" s="292"/>
      <c r="M2344" s="400">
        <f>-TrialBalance!L32</f>
        <v>0</v>
      </c>
      <c r="N2344" s="296"/>
      <c r="O2344" s="401">
        <f>-TrialBalance!N32</f>
        <v>0</v>
      </c>
      <c r="P2344" s="295"/>
      <c r="R2344" s="348" t="str">
        <f t="shared" si="145"/>
        <v>DELETE</v>
      </c>
    </row>
    <row r="2345" spans="3:24" ht="36" customHeight="1" x14ac:dyDescent="0.45">
      <c r="C2345" s="397"/>
      <c r="D2345" s="434" t="str">
        <f>TrialBalance!C33</f>
        <v>Recoupment of depreciation</v>
      </c>
      <c r="E2345" s="434"/>
      <c r="F2345" s="434"/>
      <c r="G2345" s="434"/>
      <c r="H2345" s="434"/>
      <c r="I2345" s="434"/>
      <c r="J2345" s="449"/>
      <c r="K2345" s="292"/>
      <c r="L2345" s="292"/>
      <c r="M2345" s="400">
        <f>-TrialBalance!L33</f>
        <v>0</v>
      </c>
      <c r="N2345" s="296"/>
      <c r="O2345" s="401">
        <f>-TrialBalance!N33</f>
        <v>0</v>
      </c>
      <c r="P2345" s="295"/>
      <c r="R2345" s="348" t="str">
        <f t="shared" si="145"/>
        <v>DELETE</v>
      </c>
    </row>
    <row r="2346" spans="3:24" ht="9" customHeight="1" x14ac:dyDescent="0.45">
      <c r="C2346" s="397"/>
      <c r="D2346" s="434"/>
      <c r="E2346" s="434"/>
      <c r="F2346" s="434"/>
      <c r="G2346" s="434"/>
      <c r="H2346" s="434"/>
      <c r="I2346" s="434"/>
      <c r="J2346" s="449"/>
      <c r="K2346" s="292"/>
      <c r="L2346" s="292"/>
      <c r="M2346" s="402"/>
      <c r="N2346" s="298"/>
      <c r="O2346" s="403"/>
      <c r="P2346" s="295"/>
      <c r="R2346" s="348" t="str">
        <f>R2337</f>
        <v>DELETE</v>
      </c>
    </row>
    <row r="2347" spans="3:24" ht="9" customHeight="1" x14ac:dyDescent="0.45">
      <c r="C2347" s="397"/>
      <c r="D2347" s="434"/>
      <c r="E2347" s="434"/>
      <c r="F2347" s="434"/>
      <c r="G2347" s="434"/>
      <c r="H2347" s="434"/>
      <c r="I2347" s="434"/>
      <c r="J2347" s="449"/>
      <c r="K2347" s="292"/>
      <c r="L2347" s="292"/>
      <c r="M2347" s="314"/>
      <c r="N2347" s="314"/>
      <c r="O2347" s="314"/>
      <c r="P2347" s="295"/>
      <c r="R2347" s="348" t="str">
        <f>R2346</f>
        <v>DELETE</v>
      </c>
    </row>
    <row r="2348" spans="3:24" ht="9" customHeight="1" x14ac:dyDescent="0.45">
      <c r="C2348" s="397"/>
      <c r="D2348" s="434"/>
      <c r="E2348" s="434"/>
      <c r="F2348" s="434"/>
      <c r="G2348" s="434"/>
      <c r="H2348" s="434"/>
      <c r="I2348" s="434"/>
      <c r="J2348" s="449"/>
      <c r="K2348" s="292"/>
      <c r="L2348" s="292"/>
      <c r="M2348" s="296"/>
      <c r="N2348" s="296"/>
      <c r="O2348" s="296"/>
      <c r="P2348" s="295"/>
      <c r="R2348" s="348" t="str">
        <f>R2347</f>
        <v>DELETE</v>
      </c>
    </row>
    <row r="2349" spans="3:24" ht="36" customHeight="1" x14ac:dyDescent="0.45">
      <c r="C2349" s="397"/>
      <c r="D2349" s="434"/>
      <c r="E2349" s="434"/>
      <c r="F2349" s="434"/>
      <c r="G2349" s="434"/>
      <c r="H2349" s="434"/>
      <c r="I2349" s="434"/>
      <c r="J2349" s="449"/>
      <c r="K2349" s="292"/>
      <c r="L2349" s="292"/>
      <c r="M2349" s="296">
        <f>SUM(S2317:S2337)</f>
        <v>0</v>
      </c>
      <c r="N2349" s="296"/>
      <c r="O2349" s="296">
        <f>SUM(U2317:U2337)</f>
        <v>0</v>
      </c>
      <c r="P2349" s="295"/>
      <c r="R2349" s="348" t="str">
        <f>R2337</f>
        <v>DELETE</v>
      </c>
    </row>
    <row r="2350" spans="3:24" ht="36" customHeight="1" x14ac:dyDescent="0.45">
      <c r="C2350" s="397"/>
      <c r="D2350" s="434"/>
      <c r="E2350" s="434"/>
      <c r="F2350" s="434"/>
      <c r="G2350" s="434"/>
      <c r="H2350" s="434"/>
      <c r="I2350" s="434"/>
      <c r="J2350" s="449"/>
      <c r="K2350" s="292"/>
      <c r="L2350" s="292"/>
      <c r="M2350" s="296"/>
      <c r="N2350" s="296"/>
      <c r="O2350" s="296"/>
      <c r="P2350" s="295"/>
      <c r="R2350" s="348" t="str">
        <f>R2349</f>
        <v>DELETE</v>
      </c>
    </row>
    <row r="2351" spans="3:24" ht="36" customHeight="1" x14ac:dyDescent="0.45">
      <c r="D2351" s="433" t="s">
        <v>1075</v>
      </c>
      <c r="E2351" s="434"/>
      <c r="F2351" s="434"/>
      <c r="G2351" s="434"/>
      <c r="H2351" s="434"/>
      <c r="I2351" s="434"/>
      <c r="J2351" s="449"/>
      <c r="K2351" s="292"/>
      <c r="L2351" s="292"/>
      <c r="M2351" s="296">
        <f>SUM(M2353:M2382)</f>
        <v>0</v>
      </c>
      <c r="N2351" s="296"/>
      <c r="O2351" s="296">
        <f>SUM(O2353:O2382)</f>
        <v>0</v>
      </c>
      <c r="P2351" s="295"/>
      <c r="R2351" s="348" t="str">
        <f>IF(M2351+O2351=0,"DELETE"," ")</f>
        <v>DELETE</v>
      </c>
      <c r="S2351" s="333">
        <f>-M2351</f>
        <v>0</v>
      </c>
      <c r="T2351" s="333"/>
      <c r="U2351" s="333">
        <f>-O2351</f>
        <v>0</v>
      </c>
      <c r="V2351" s="333"/>
      <c r="W2351" s="333"/>
      <c r="X2351" s="333"/>
    </row>
    <row r="2352" spans="3:24" ht="9" customHeight="1" x14ac:dyDescent="0.45">
      <c r="C2352" s="397"/>
      <c r="D2352" s="434"/>
      <c r="E2352" s="434"/>
      <c r="F2352" s="434"/>
      <c r="G2352" s="434"/>
      <c r="H2352" s="434"/>
      <c r="I2352" s="434"/>
      <c r="J2352" s="449"/>
      <c r="K2352" s="292"/>
      <c r="L2352" s="292"/>
      <c r="M2352" s="296"/>
      <c r="N2352" s="296"/>
      <c r="O2352" s="296"/>
      <c r="P2352" s="295"/>
      <c r="R2352" s="348" t="str">
        <f>R2351</f>
        <v>DELETE</v>
      </c>
    </row>
    <row r="2353" spans="3:24" ht="9" customHeight="1" x14ac:dyDescent="0.45">
      <c r="C2353" s="397"/>
      <c r="D2353" s="434"/>
      <c r="E2353" s="434"/>
      <c r="F2353" s="434"/>
      <c r="G2353" s="434"/>
      <c r="H2353" s="434"/>
      <c r="I2353" s="434"/>
      <c r="J2353" s="449"/>
      <c r="K2353" s="292"/>
      <c r="L2353" s="292"/>
      <c r="M2353" s="398"/>
      <c r="N2353" s="297"/>
      <c r="O2353" s="399"/>
      <c r="P2353" s="295"/>
      <c r="R2353" s="348" t="str">
        <f>R2352</f>
        <v>DELETE</v>
      </c>
    </row>
    <row r="2354" spans="3:24" ht="36" customHeight="1" x14ac:dyDescent="0.45">
      <c r="C2354" s="397"/>
      <c r="D2354" s="434" t="s">
        <v>250</v>
      </c>
      <c r="E2354" s="434"/>
      <c r="F2354" s="434"/>
      <c r="G2354" s="434"/>
      <c r="H2354" s="434"/>
      <c r="I2354" s="434"/>
      <c r="J2354" s="449"/>
      <c r="K2354" s="292"/>
      <c r="L2354" s="292"/>
      <c r="M2354" s="400">
        <f>TrialBalance!L40</f>
        <v>0</v>
      </c>
      <c r="N2354" s="296"/>
      <c r="O2354" s="401">
        <f>TrialBalance!N40</f>
        <v>0</v>
      </c>
      <c r="P2354" s="295"/>
      <c r="R2354" s="348" t="str">
        <f t="shared" ref="R2354:R2372" si="146">IF(M2354+O2354=0,"DELETE"," ")</f>
        <v>DELETE</v>
      </c>
    </row>
    <row r="2355" spans="3:24" ht="36" customHeight="1" x14ac:dyDescent="0.45">
      <c r="C2355" s="397"/>
      <c r="D2355" s="434" t="s">
        <v>658</v>
      </c>
      <c r="E2355" s="434"/>
      <c r="F2355" s="434"/>
      <c r="G2355" s="434"/>
      <c r="H2355" s="434"/>
      <c r="I2355" s="434"/>
      <c r="J2355" s="449"/>
      <c r="K2355" s="292"/>
      <c r="L2355" s="292"/>
      <c r="M2355" s="400">
        <f>TrialBalance!L41</f>
        <v>0</v>
      </c>
      <c r="N2355" s="296"/>
      <c r="O2355" s="401">
        <f>TrialBalance!N41</f>
        <v>0</v>
      </c>
      <c r="P2355" s="295"/>
      <c r="R2355" s="348" t="str">
        <f t="shared" si="146"/>
        <v>DELETE</v>
      </c>
    </row>
    <row r="2356" spans="3:24" ht="36" customHeight="1" x14ac:dyDescent="0.45">
      <c r="C2356" s="397"/>
      <c r="D2356" s="434" t="s">
        <v>251</v>
      </c>
      <c r="E2356" s="434"/>
      <c r="F2356" s="434"/>
      <c r="G2356" s="434"/>
      <c r="H2356" s="434"/>
      <c r="I2356" s="434"/>
      <c r="J2356" s="449"/>
      <c r="K2356" s="292"/>
      <c r="L2356" s="292"/>
      <c r="M2356" s="400">
        <f>TrialBalance!L42</f>
        <v>0</v>
      </c>
      <c r="N2356" s="296"/>
      <c r="O2356" s="401">
        <f>TrialBalance!N42</f>
        <v>0</v>
      </c>
      <c r="P2356" s="295"/>
      <c r="R2356" s="348" t="str">
        <f t="shared" si="146"/>
        <v>DELETE</v>
      </c>
    </row>
    <row r="2357" spans="3:24" ht="36" customHeight="1" x14ac:dyDescent="0.45">
      <c r="C2357" s="397"/>
      <c r="D2357" s="434" t="s">
        <v>252</v>
      </c>
      <c r="E2357" s="434"/>
      <c r="F2357" s="434"/>
      <c r="G2357" s="434"/>
      <c r="H2357" s="434"/>
      <c r="I2357" s="434"/>
      <c r="J2357" s="449"/>
      <c r="K2357" s="292">
        <f>B$958</f>
        <v>5</v>
      </c>
      <c r="L2357" s="292"/>
      <c r="M2357" s="400">
        <f>SUM(TrialBalance!L44:L46)</f>
        <v>0</v>
      </c>
      <c r="N2357" s="296"/>
      <c r="O2357" s="401">
        <f>SUM(TrialBalance!N44:N46)</f>
        <v>0</v>
      </c>
      <c r="P2357" s="295"/>
      <c r="R2357" s="348" t="str">
        <f t="shared" si="146"/>
        <v>DELETE</v>
      </c>
    </row>
    <row r="2358" spans="3:24" ht="36" customHeight="1" x14ac:dyDescent="0.45">
      <c r="C2358" s="397"/>
      <c r="D2358" s="434" t="s">
        <v>494</v>
      </c>
      <c r="E2358" s="434"/>
      <c r="F2358" s="434"/>
      <c r="G2358" s="434"/>
      <c r="H2358" s="434"/>
      <c r="I2358" s="434"/>
      <c r="J2358" s="449"/>
      <c r="K2358" s="292"/>
      <c r="L2358" s="292"/>
      <c r="M2358" s="400">
        <f>TrialBalance!L47</f>
        <v>0</v>
      </c>
      <c r="N2358" s="296"/>
      <c r="O2358" s="401">
        <f>TrialBalance!N47</f>
        <v>0</v>
      </c>
      <c r="P2358" s="295"/>
      <c r="R2358" s="348" t="str">
        <f t="shared" si="146"/>
        <v>DELETE</v>
      </c>
      <c r="S2358" s="336"/>
      <c r="T2358" s="336"/>
      <c r="U2358" s="336"/>
      <c r="V2358" s="336"/>
      <c r="W2358" s="336"/>
      <c r="X2358" s="336"/>
    </row>
    <row r="2359" spans="3:24" ht="36" customHeight="1" x14ac:dyDescent="0.45">
      <c r="C2359" s="397"/>
      <c r="D2359" s="434" t="s">
        <v>678</v>
      </c>
      <c r="E2359" s="434"/>
      <c r="F2359" s="434"/>
      <c r="G2359" s="434"/>
      <c r="H2359" s="434"/>
      <c r="I2359" s="434"/>
      <c r="J2359" s="449"/>
      <c r="K2359" s="292"/>
      <c r="L2359" s="292"/>
      <c r="M2359" s="400">
        <f>TrialBalance!L48</f>
        <v>0</v>
      </c>
      <c r="N2359" s="296"/>
      <c r="O2359" s="401">
        <f>TrialBalance!N48</f>
        <v>0</v>
      </c>
      <c r="P2359" s="295"/>
      <c r="R2359" s="348" t="str">
        <f t="shared" si="146"/>
        <v>DELETE</v>
      </c>
    </row>
    <row r="2360" spans="3:24" ht="36" customHeight="1" x14ac:dyDescent="0.45">
      <c r="C2360" s="397"/>
      <c r="D2360" s="434" t="s">
        <v>54</v>
      </c>
      <c r="E2360" s="434"/>
      <c r="F2360" s="434"/>
      <c r="G2360" s="434"/>
      <c r="H2360" s="434"/>
      <c r="I2360" s="434"/>
      <c r="J2360" s="449"/>
      <c r="K2360" s="292"/>
      <c r="L2360" s="292"/>
      <c r="M2360" s="400">
        <f>TrialBalance!L49</f>
        <v>0</v>
      </c>
      <c r="N2360" s="296"/>
      <c r="O2360" s="401">
        <f>TrialBalance!N49</f>
        <v>0</v>
      </c>
      <c r="P2360" s="295"/>
      <c r="R2360" s="348" t="str">
        <f t="shared" si="146"/>
        <v>DELETE</v>
      </c>
    </row>
    <row r="2361" spans="3:24" ht="36" customHeight="1" x14ac:dyDescent="0.45">
      <c r="C2361" s="397"/>
      <c r="D2361" s="434" t="s">
        <v>253</v>
      </c>
      <c r="E2361" s="434"/>
      <c r="F2361" s="434"/>
      <c r="G2361" s="434"/>
      <c r="H2361" s="434"/>
      <c r="I2361" s="434"/>
      <c r="J2361" s="449"/>
      <c r="K2361" s="292"/>
      <c r="L2361" s="292"/>
      <c r="M2361" s="400">
        <f>TrialBalance!L50</f>
        <v>0</v>
      </c>
      <c r="N2361" s="296"/>
      <c r="O2361" s="401">
        <f>TrialBalance!N50</f>
        <v>0</v>
      </c>
      <c r="P2361" s="295"/>
      <c r="R2361" s="348" t="str">
        <f t="shared" si="146"/>
        <v>DELETE</v>
      </c>
    </row>
    <row r="2362" spans="3:24" ht="36" customHeight="1" x14ac:dyDescent="0.45">
      <c r="C2362" s="397"/>
      <c r="D2362" s="434" t="s">
        <v>511</v>
      </c>
      <c r="E2362" s="434"/>
      <c r="F2362" s="434"/>
      <c r="G2362" s="434"/>
      <c r="H2362" s="434"/>
      <c r="I2362" s="434"/>
      <c r="J2362" s="449"/>
      <c r="K2362" s="292"/>
      <c r="L2362" s="292"/>
      <c r="M2362" s="400">
        <f>SUM(TrialBalance!L51:L52)</f>
        <v>0</v>
      </c>
      <c r="N2362" s="296"/>
      <c r="O2362" s="401">
        <f>SUM(TrialBalance!N51:N52)</f>
        <v>0</v>
      </c>
      <c r="P2362" s="295"/>
      <c r="R2362" s="348" t="str">
        <f t="shared" si="146"/>
        <v>DELETE</v>
      </c>
    </row>
    <row r="2363" spans="3:24" ht="36" customHeight="1" x14ac:dyDescent="0.45">
      <c r="C2363" s="397"/>
      <c r="D2363" s="434" t="s">
        <v>510</v>
      </c>
      <c r="E2363" s="434"/>
      <c r="F2363" s="434"/>
      <c r="G2363" s="434"/>
      <c r="H2363" s="434"/>
      <c r="I2363" s="434"/>
      <c r="J2363" s="449"/>
      <c r="K2363" s="292"/>
      <c r="L2363" s="292"/>
      <c r="M2363" s="400">
        <f>TrialBalance!L53</f>
        <v>0</v>
      </c>
      <c r="N2363" s="296"/>
      <c r="O2363" s="401">
        <f>TrialBalance!N53</f>
        <v>0</v>
      </c>
      <c r="P2363" s="295"/>
      <c r="R2363" s="348" t="str">
        <f t="shared" si="146"/>
        <v>DELETE</v>
      </c>
    </row>
    <row r="2364" spans="3:24" ht="36" customHeight="1" x14ac:dyDescent="0.45">
      <c r="C2364" s="397"/>
      <c r="D2364" s="434" t="s">
        <v>495</v>
      </c>
      <c r="E2364" s="434"/>
      <c r="F2364" s="434"/>
      <c r="G2364" s="434"/>
      <c r="H2364" s="434"/>
      <c r="I2364" s="434"/>
      <c r="J2364" s="449"/>
      <c r="K2364" s="292"/>
      <c r="L2364" s="292"/>
      <c r="M2364" s="400">
        <f>SUM(TrialBalance!L55:L59)</f>
        <v>0</v>
      </c>
      <c r="N2364" s="296"/>
      <c r="O2364" s="401">
        <f>SUM(TrialBalance!N55:N59)</f>
        <v>0</v>
      </c>
      <c r="P2364" s="295"/>
      <c r="R2364" s="348" t="str">
        <f t="shared" si="146"/>
        <v>DELETE</v>
      </c>
    </row>
    <row r="2365" spans="3:24" ht="36" customHeight="1" x14ac:dyDescent="0.45">
      <c r="C2365" s="397"/>
      <c r="D2365" s="434" t="s">
        <v>479</v>
      </c>
      <c r="E2365" s="434"/>
      <c r="F2365" s="434"/>
      <c r="G2365" s="434"/>
      <c r="H2365" s="434"/>
      <c r="I2365" s="434"/>
      <c r="J2365" s="449"/>
      <c r="K2365" s="292">
        <f>B$958</f>
        <v>5</v>
      </c>
      <c r="L2365" s="292"/>
      <c r="M2365" s="400">
        <f>SUM(TrialBalance!L61:L63)</f>
        <v>0</v>
      </c>
      <c r="N2365" s="296"/>
      <c r="O2365" s="401">
        <f>SUM(TrialBalance!N61:N63)</f>
        <v>0</v>
      </c>
      <c r="P2365" s="295"/>
      <c r="R2365" s="348" t="str">
        <f t="shared" si="146"/>
        <v>DELETE</v>
      </c>
      <c r="X2365" s="333"/>
    </row>
    <row r="2366" spans="3:24" ht="36" customHeight="1" x14ac:dyDescent="0.45">
      <c r="C2366" s="397"/>
      <c r="D2366" s="434" t="s">
        <v>57</v>
      </c>
      <c r="E2366" s="434"/>
      <c r="F2366" s="434"/>
      <c r="G2366" s="434"/>
      <c r="H2366" s="434"/>
      <c r="I2366" s="434"/>
      <c r="J2366" s="449"/>
      <c r="K2366" s="292"/>
      <c r="L2366" s="292"/>
      <c r="M2366" s="400">
        <f>TrialBalance!L64</f>
        <v>0</v>
      </c>
      <c r="N2366" s="296"/>
      <c r="O2366" s="401">
        <f>TrialBalance!N64</f>
        <v>0</v>
      </c>
      <c r="P2366" s="295"/>
      <c r="R2366" s="348" t="str">
        <f t="shared" si="146"/>
        <v>DELETE</v>
      </c>
    </row>
    <row r="2367" spans="3:24" ht="36" customHeight="1" x14ac:dyDescent="0.45">
      <c r="C2367" s="397"/>
      <c r="D2367" s="434" t="s">
        <v>1210</v>
      </c>
      <c r="E2367" s="434"/>
      <c r="F2367" s="434"/>
      <c r="G2367" s="434"/>
      <c r="H2367" s="434"/>
      <c r="I2367" s="434"/>
      <c r="J2367" s="449"/>
      <c r="K2367" s="292"/>
      <c r="L2367" s="292"/>
      <c r="M2367" s="400">
        <f>TrialBalance!L65</f>
        <v>0</v>
      </c>
      <c r="N2367" s="296"/>
      <c r="O2367" s="401">
        <f>TrialBalance!N65</f>
        <v>0</v>
      </c>
      <c r="P2367" s="295"/>
      <c r="R2367" s="348" t="str">
        <f>IF(M2367+O2367=0,"DELETE"," ")</f>
        <v>DELETE</v>
      </c>
    </row>
    <row r="2368" spans="3:24" ht="36" customHeight="1" x14ac:dyDescent="0.45">
      <c r="C2368" s="397"/>
      <c r="D2368" s="434" t="s">
        <v>235</v>
      </c>
      <c r="E2368" s="434"/>
      <c r="F2368" s="434"/>
      <c r="G2368" s="434"/>
      <c r="H2368" s="434"/>
      <c r="I2368" s="434"/>
      <c r="J2368" s="449"/>
      <c r="K2368" s="292"/>
      <c r="L2368" s="292"/>
      <c r="M2368" s="400">
        <f>SUM(TrialBalance!L66:L68)</f>
        <v>0</v>
      </c>
      <c r="N2368" s="296"/>
      <c r="O2368" s="401">
        <f>SUM(TrialBalance!N66:N68)</f>
        <v>0</v>
      </c>
      <c r="P2368" s="295"/>
      <c r="R2368" s="348" t="str">
        <f t="shared" si="146"/>
        <v>DELETE</v>
      </c>
    </row>
    <row r="2369" spans="3:18" ht="36" customHeight="1" x14ac:dyDescent="0.45">
      <c r="C2369" s="397"/>
      <c r="D2369" s="434" t="s">
        <v>679</v>
      </c>
      <c r="E2369" s="434"/>
      <c r="F2369" s="434"/>
      <c r="G2369" s="434"/>
      <c r="H2369" s="434"/>
      <c r="I2369" s="434"/>
      <c r="J2369" s="449"/>
      <c r="K2369" s="292"/>
      <c r="L2369" s="292"/>
      <c r="M2369" s="400">
        <f>SUM(TrialBalance!L69:L70)</f>
        <v>0</v>
      </c>
      <c r="N2369" s="296"/>
      <c r="O2369" s="401">
        <f>SUM(TrialBalance!N69:N70)</f>
        <v>0</v>
      </c>
      <c r="P2369" s="295"/>
      <c r="R2369" s="348" t="str">
        <f t="shared" si="146"/>
        <v>DELETE</v>
      </c>
    </row>
    <row r="2370" spans="3:18" ht="36" customHeight="1" x14ac:dyDescent="0.45">
      <c r="C2370" s="397"/>
      <c r="D2370" s="434" t="s">
        <v>236</v>
      </c>
      <c r="E2370" s="434"/>
      <c r="F2370" s="434"/>
      <c r="G2370" s="434"/>
      <c r="H2370" s="434"/>
      <c r="I2370" s="434"/>
      <c r="J2370" s="449"/>
      <c r="K2370" s="292"/>
      <c r="L2370" s="292"/>
      <c r="M2370" s="400">
        <f>TrialBalance!L71</f>
        <v>0</v>
      </c>
      <c r="N2370" s="296"/>
      <c r="O2370" s="401">
        <f>TrialBalance!N71</f>
        <v>0</v>
      </c>
      <c r="P2370" s="295"/>
      <c r="R2370" s="348" t="str">
        <f t="shared" si="146"/>
        <v>DELETE</v>
      </c>
    </row>
    <row r="2371" spans="3:18" ht="36" customHeight="1" x14ac:dyDescent="0.45">
      <c r="C2371" s="397"/>
      <c r="D2371" s="434" t="s">
        <v>361</v>
      </c>
      <c r="E2371" s="434"/>
      <c r="F2371" s="434"/>
      <c r="G2371" s="434"/>
      <c r="H2371" s="434"/>
      <c r="I2371" s="434"/>
      <c r="J2371" s="449"/>
      <c r="K2371" s="292"/>
      <c r="L2371" s="292"/>
      <c r="M2371" s="400">
        <f>TrialBalance!L72</f>
        <v>0</v>
      </c>
      <c r="N2371" s="296"/>
      <c r="O2371" s="401">
        <f>TrialBalance!N72</f>
        <v>0</v>
      </c>
      <c r="P2371" s="295"/>
      <c r="R2371" s="348" t="str">
        <f t="shared" si="146"/>
        <v>DELETE</v>
      </c>
    </row>
    <row r="2372" spans="3:18" ht="36" customHeight="1" x14ac:dyDescent="0.45">
      <c r="C2372" s="397"/>
      <c r="D2372" s="434">
        <f>TrialBalance!C73</f>
        <v>0</v>
      </c>
      <c r="E2372" s="434"/>
      <c r="F2372" s="434"/>
      <c r="G2372" s="434"/>
      <c r="H2372" s="434"/>
      <c r="I2372" s="434"/>
      <c r="J2372" s="449"/>
      <c r="K2372" s="292"/>
      <c r="L2372" s="292"/>
      <c r="M2372" s="400">
        <f>TrialBalance!L73</f>
        <v>0</v>
      </c>
      <c r="N2372" s="296"/>
      <c r="O2372" s="401">
        <f>TrialBalance!N73</f>
        <v>0</v>
      </c>
      <c r="P2372" s="295"/>
      <c r="R2372" s="348" t="str">
        <f t="shared" si="146"/>
        <v>DELETE</v>
      </c>
    </row>
    <row r="2373" spans="3:18" ht="36" customHeight="1" x14ac:dyDescent="0.45">
      <c r="C2373" s="397"/>
      <c r="D2373" s="434">
        <f>TrialBalance!C74</f>
        <v>0</v>
      </c>
      <c r="E2373" s="434"/>
      <c r="F2373" s="434"/>
      <c r="G2373" s="434"/>
      <c r="H2373" s="434"/>
      <c r="I2373" s="434"/>
      <c r="J2373" s="449"/>
      <c r="K2373" s="292"/>
      <c r="L2373" s="292"/>
      <c r="M2373" s="400">
        <f>TrialBalance!L74</f>
        <v>0</v>
      </c>
      <c r="N2373" s="296"/>
      <c r="O2373" s="401">
        <f>TrialBalance!N74</f>
        <v>0</v>
      </c>
      <c r="P2373" s="295"/>
      <c r="R2373" s="348" t="str">
        <f t="shared" ref="R2373:R2381" si="147">IF(M2373+O2373=0,"DELETE"," ")</f>
        <v>DELETE</v>
      </c>
    </row>
    <row r="2374" spans="3:18" ht="36" customHeight="1" x14ac:dyDescent="0.45">
      <c r="C2374" s="397"/>
      <c r="D2374" s="434">
        <f>TrialBalance!C75</f>
        <v>0</v>
      </c>
      <c r="E2374" s="434"/>
      <c r="F2374" s="434"/>
      <c r="G2374" s="434"/>
      <c r="H2374" s="434"/>
      <c r="I2374" s="434"/>
      <c r="J2374" s="449"/>
      <c r="K2374" s="292"/>
      <c r="L2374" s="292"/>
      <c r="M2374" s="400">
        <f>TrialBalance!L75</f>
        <v>0</v>
      </c>
      <c r="N2374" s="296"/>
      <c r="O2374" s="401">
        <f>TrialBalance!N75</f>
        <v>0</v>
      </c>
      <c r="P2374" s="295"/>
      <c r="R2374" s="348" t="str">
        <f t="shared" si="147"/>
        <v>DELETE</v>
      </c>
    </row>
    <row r="2375" spans="3:18" ht="36" customHeight="1" x14ac:dyDescent="0.45">
      <c r="C2375" s="397"/>
      <c r="D2375" s="434">
        <f>TrialBalance!C76</f>
        <v>0</v>
      </c>
      <c r="E2375" s="434"/>
      <c r="F2375" s="434"/>
      <c r="G2375" s="434"/>
      <c r="H2375" s="434"/>
      <c r="I2375" s="434"/>
      <c r="J2375" s="449"/>
      <c r="K2375" s="292"/>
      <c r="L2375" s="292"/>
      <c r="M2375" s="400">
        <f>TrialBalance!L76</f>
        <v>0</v>
      </c>
      <c r="N2375" s="296"/>
      <c r="O2375" s="401">
        <f>TrialBalance!N76</f>
        <v>0</v>
      </c>
      <c r="P2375" s="295"/>
      <c r="R2375" s="348" t="str">
        <f t="shared" si="147"/>
        <v>DELETE</v>
      </c>
    </row>
    <row r="2376" spans="3:18" ht="36" customHeight="1" x14ac:dyDescent="0.45">
      <c r="C2376" s="397"/>
      <c r="D2376" s="434">
        <f>TrialBalance!C77</f>
        <v>0</v>
      </c>
      <c r="E2376" s="434"/>
      <c r="F2376" s="434"/>
      <c r="G2376" s="434"/>
      <c r="H2376" s="434"/>
      <c r="I2376" s="434"/>
      <c r="J2376" s="449"/>
      <c r="K2376" s="292"/>
      <c r="L2376" s="292"/>
      <c r="M2376" s="400">
        <f>TrialBalance!L77</f>
        <v>0</v>
      </c>
      <c r="N2376" s="296"/>
      <c r="O2376" s="401">
        <f>TrialBalance!N77</f>
        <v>0</v>
      </c>
      <c r="P2376" s="295"/>
      <c r="R2376" s="348" t="str">
        <f t="shared" si="147"/>
        <v>DELETE</v>
      </c>
    </row>
    <row r="2377" spans="3:18" ht="36" customHeight="1" x14ac:dyDescent="0.45">
      <c r="C2377" s="397"/>
      <c r="D2377" s="434">
        <f>TrialBalance!C78</f>
        <v>0</v>
      </c>
      <c r="E2377" s="434"/>
      <c r="F2377" s="434"/>
      <c r="G2377" s="434"/>
      <c r="H2377" s="434"/>
      <c r="I2377" s="434"/>
      <c r="J2377" s="449"/>
      <c r="K2377" s="292"/>
      <c r="L2377" s="292"/>
      <c r="M2377" s="400">
        <f>TrialBalance!L78</f>
        <v>0</v>
      </c>
      <c r="N2377" s="296"/>
      <c r="O2377" s="401">
        <f>TrialBalance!N78</f>
        <v>0</v>
      </c>
      <c r="P2377" s="295"/>
      <c r="R2377" s="348" t="str">
        <f t="shared" si="147"/>
        <v>DELETE</v>
      </c>
    </row>
    <row r="2378" spans="3:18" ht="36" customHeight="1" x14ac:dyDescent="0.45">
      <c r="C2378" s="397"/>
      <c r="D2378" s="434">
        <f>TrialBalance!C79</f>
        <v>0</v>
      </c>
      <c r="E2378" s="434"/>
      <c r="F2378" s="434"/>
      <c r="G2378" s="434"/>
      <c r="H2378" s="434"/>
      <c r="I2378" s="434"/>
      <c r="J2378" s="449"/>
      <c r="K2378" s="292"/>
      <c r="L2378" s="292"/>
      <c r="M2378" s="400">
        <f>TrialBalance!L79</f>
        <v>0</v>
      </c>
      <c r="N2378" s="296"/>
      <c r="O2378" s="401">
        <f>TrialBalance!N79</f>
        <v>0</v>
      </c>
      <c r="P2378" s="295"/>
      <c r="R2378" s="348" t="str">
        <f t="shared" si="147"/>
        <v>DELETE</v>
      </c>
    </row>
    <row r="2379" spans="3:18" ht="36" customHeight="1" x14ac:dyDescent="0.45">
      <c r="C2379" s="397"/>
      <c r="D2379" s="434">
        <f>TrialBalance!C80</f>
        <v>0</v>
      </c>
      <c r="E2379" s="434"/>
      <c r="F2379" s="434"/>
      <c r="G2379" s="434"/>
      <c r="H2379" s="434"/>
      <c r="I2379" s="434"/>
      <c r="J2379" s="449"/>
      <c r="K2379" s="292"/>
      <c r="L2379" s="292"/>
      <c r="M2379" s="400">
        <f>TrialBalance!L80</f>
        <v>0</v>
      </c>
      <c r="N2379" s="296"/>
      <c r="O2379" s="401">
        <f>TrialBalance!N80</f>
        <v>0</v>
      </c>
      <c r="P2379" s="295"/>
      <c r="R2379" s="348" t="str">
        <f t="shared" si="147"/>
        <v>DELETE</v>
      </c>
    </row>
    <row r="2380" spans="3:18" ht="36" customHeight="1" x14ac:dyDescent="0.45">
      <c r="C2380" s="397"/>
      <c r="D2380" s="434">
        <f>TrialBalance!C81</f>
        <v>0</v>
      </c>
      <c r="E2380" s="434"/>
      <c r="F2380" s="434"/>
      <c r="G2380" s="434"/>
      <c r="H2380" s="434"/>
      <c r="I2380" s="434"/>
      <c r="J2380" s="449"/>
      <c r="K2380" s="292"/>
      <c r="L2380" s="292"/>
      <c r="M2380" s="400">
        <f>TrialBalance!L81</f>
        <v>0</v>
      </c>
      <c r="N2380" s="296"/>
      <c r="O2380" s="401">
        <f>TrialBalance!N81</f>
        <v>0</v>
      </c>
      <c r="P2380" s="295"/>
      <c r="R2380" s="348" t="str">
        <f t="shared" si="147"/>
        <v>DELETE</v>
      </c>
    </row>
    <row r="2381" spans="3:18" ht="36" customHeight="1" x14ac:dyDescent="0.45">
      <c r="C2381" s="397"/>
      <c r="D2381" s="434">
        <f>TrialBalance!C82</f>
        <v>0</v>
      </c>
      <c r="E2381" s="434"/>
      <c r="F2381" s="434"/>
      <c r="G2381" s="434"/>
      <c r="H2381" s="434"/>
      <c r="I2381" s="434"/>
      <c r="J2381" s="449"/>
      <c r="K2381" s="292"/>
      <c r="L2381" s="292"/>
      <c r="M2381" s="400">
        <f>TrialBalance!L82</f>
        <v>0</v>
      </c>
      <c r="N2381" s="296"/>
      <c r="O2381" s="401">
        <f>TrialBalance!N82</f>
        <v>0</v>
      </c>
      <c r="P2381" s="295"/>
      <c r="R2381" s="348" t="str">
        <f t="shared" si="147"/>
        <v>DELETE</v>
      </c>
    </row>
    <row r="2382" spans="3:18" ht="9" customHeight="1" x14ac:dyDescent="0.45">
      <c r="C2382" s="397"/>
      <c r="D2382" s="434"/>
      <c r="E2382" s="434"/>
      <c r="F2382" s="434"/>
      <c r="G2382" s="434"/>
      <c r="H2382" s="434"/>
      <c r="I2382" s="434"/>
      <c r="J2382" s="449"/>
      <c r="K2382" s="292"/>
      <c r="L2382" s="292"/>
      <c r="M2382" s="402"/>
      <c r="N2382" s="298"/>
      <c r="O2382" s="403"/>
      <c r="P2382" s="295"/>
      <c r="R2382" s="348" t="str">
        <f>R2351</f>
        <v>DELETE</v>
      </c>
    </row>
    <row r="2383" spans="3:18" ht="9" customHeight="1" x14ac:dyDescent="0.45">
      <c r="C2383" s="397"/>
      <c r="D2383" s="434"/>
      <c r="E2383" s="434"/>
      <c r="F2383" s="434"/>
      <c r="G2383" s="434"/>
      <c r="H2383" s="434"/>
      <c r="I2383" s="434"/>
      <c r="J2383" s="449"/>
      <c r="K2383" s="292"/>
      <c r="L2383" s="292"/>
      <c r="M2383" s="298"/>
      <c r="N2383" s="298"/>
      <c r="O2383" s="298"/>
      <c r="P2383" s="295"/>
    </row>
    <row r="2384" spans="3:18" ht="9" customHeight="1" x14ac:dyDescent="0.45">
      <c r="C2384" s="397"/>
      <c r="D2384" s="434"/>
      <c r="E2384" s="434"/>
      <c r="F2384" s="434"/>
      <c r="G2384" s="434"/>
      <c r="H2384" s="434"/>
      <c r="I2384" s="434"/>
      <c r="J2384" s="449"/>
      <c r="K2384" s="292"/>
      <c r="L2384" s="292"/>
      <c r="M2384" s="296"/>
      <c r="N2384" s="296"/>
      <c r="O2384" s="296"/>
      <c r="P2384" s="295"/>
    </row>
    <row r="2385" spans="3:26" ht="36" customHeight="1" x14ac:dyDescent="0.45">
      <c r="D2385" s="446" t="str">
        <f>IF((Y2385+Z2385)=3,"Operating profit/(loss)",(IF((Y2385+Z2385=4),"Operating profit","Operating loss")))</f>
        <v>Operating profit</v>
      </c>
      <c r="E2385" s="434"/>
      <c r="F2385" s="434"/>
      <c r="G2385" s="434"/>
      <c r="H2385" s="434"/>
      <c r="I2385" s="434"/>
      <c r="J2385" s="449"/>
      <c r="K2385" s="292"/>
      <c r="L2385" s="292"/>
      <c r="M2385" s="296">
        <f>SUM(S2317:S2383)</f>
        <v>0</v>
      </c>
      <c r="N2385" s="296"/>
      <c r="O2385" s="296">
        <f>SUM(U2317:U2383)</f>
        <v>0</v>
      </c>
      <c r="P2385" s="295"/>
      <c r="Y2385" s="331">
        <f>IF(M2385&lt;0,1,IF(M2385=0,IF(O2385&lt;0,1,2),2))</f>
        <v>2</v>
      </c>
      <c r="Z2385" s="331">
        <f>IF(O2385&lt;0,1,IF(O2385=0,IF(M2385&lt;0,1,2),2))</f>
        <v>2</v>
      </c>
    </row>
    <row r="2386" spans="3:26" ht="36" customHeight="1" x14ac:dyDescent="0.45">
      <c r="C2386" s="397"/>
      <c r="D2386" s="434"/>
      <c r="E2386" s="434" t="s">
        <v>238</v>
      </c>
      <c r="F2386" s="434"/>
      <c r="G2386" s="434"/>
      <c r="H2386" s="434"/>
      <c r="I2386" s="434"/>
      <c r="J2386" s="449"/>
      <c r="K2386" s="292"/>
      <c r="L2386" s="292"/>
      <c r="M2386" s="296"/>
      <c r="N2386" s="296"/>
      <c r="O2386" s="296"/>
      <c r="P2386" s="295"/>
    </row>
    <row r="2387" spans="3:26" ht="36" customHeight="1" x14ac:dyDescent="0.45">
      <c r="C2387" s="397"/>
      <c r="D2387" s="434"/>
      <c r="E2387" s="434"/>
      <c r="F2387" s="434"/>
      <c r="G2387" s="434"/>
      <c r="H2387" s="434"/>
      <c r="I2387" s="434"/>
      <c r="J2387" s="449"/>
      <c r="K2387" s="292"/>
      <c r="L2387" s="292"/>
      <c r="M2387" s="296"/>
      <c r="N2387" s="296"/>
      <c r="O2387" s="296"/>
      <c r="P2387" s="295"/>
    </row>
    <row r="2388" spans="3:26" ht="36" customHeight="1" x14ac:dyDescent="0.45">
      <c r="C2388" s="397"/>
      <c r="D2388" s="434"/>
      <c r="E2388" s="434"/>
      <c r="F2388" s="434"/>
      <c r="G2388" s="434"/>
      <c r="H2388" s="434"/>
      <c r="I2388" s="434"/>
      <c r="J2388" s="449"/>
      <c r="K2388" s="292"/>
      <c r="L2388" s="292"/>
      <c r="M2388" s="296"/>
      <c r="N2388" s="296"/>
      <c r="O2388" s="296"/>
      <c r="P2388" s="295"/>
    </row>
    <row r="2389" spans="3:26" ht="36" customHeight="1" x14ac:dyDescent="0.45">
      <c r="C2389" s="397"/>
      <c r="D2389" s="434"/>
      <c r="E2389" s="434"/>
      <c r="F2389" s="434"/>
      <c r="G2389" s="434"/>
      <c r="H2389" s="434"/>
      <c r="I2389" s="434"/>
      <c r="J2389" s="449"/>
      <c r="K2389" s="292"/>
      <c r="L2389" s="292"/>
      <c r="M2389" s="310"/>
      <c r="N2389" s="310"/>
      <c r="O2389" s="310"/>
      <c r="P2389" s="330"/>
    </row>
    <row r="2390" spans="3:26" ht="36" customHeight="1" x14ac:dyDescent="0.45">
      <c r="C2390" s="397"/>
      <c r="D2390" s="434"/>
      <c r="E2390" s="434"/>
      <c r="F2390" s="434"/>
      <c r="G2390" s="434"/>
      <c r="H2390" s="434"/>
      <c r="I2390" s="434"/>
      <c r="J2390" s="449"/>
      <c r="K2390" s="292"/>
      <c r="L2390" s="292"/>
      <c r="M2390" s="296"/>
      <c r="N2390" s="296"/>
      <c r="O2390" s="296"/>
      <c r="P2390" s="295"/>
    </row>
    <row r="2391" spans="3:26" ht="36" customHeight="1" x14ac:dyDescent="0.45">
      <c r="C2391" s="397"/>
      <c r="D2391" s="434"/>
      <c r="E2391" s="434"/>
      <c r="F2391" s="434"/>
      <c r="G2391" s="434"/>
      <c r="H2391" s="434"/>
      <c r="I2391" s="434"/>
      <c r="J2391" s="449"/>
      <c r="K2391" s="292"/>
      <c r="L2391" s="292"/>
      <c r="M2391" s="296"/>
      <c r="N2391" s="296"/>
      <c r="O2391" s="296" t="s">
        <v>89</v>
      </c>
      <c r="P2391" s="295"/>
      <c r="Q2391" s="292">
        <f>MAX($Q$105:Q2390)+1</f>
        <v>64</v>
      </c>
    </row>
    <row r="2392" spans="3:26" ht="36" customHeight="1" x14ac:dyDescent="0.45">
      <c r="C2392" s="397"/>
      <c r="D2392" s="433" t="str">
        <f>Criteria!E9</f>
        <v>HOLDING COMPANY 268 (PROPRIETARY) LIMITED</v>
      </c>
      <c r="E2392" s="434"/>
      <c r="F2392" s="434"/>
      <c r="G2392" s="434"/>
      <c r="H2392" s="434"/>
      <c r="I2392" s="434"/>
      <c r="J2392" s="449"/>
      <c r="K2392" s="292"/>
      <c r="L2392" s="292"/>
      <c r="M2392" s="296"/>
      <c r="N2392" s="296"/>
      <c r="O2392" s="347"/>
    </row>
    <row r="2393" spans="3:26" ht="36" customHeight="1" x14ac:dyDescent="0.45">
      <c r="C2393" s="397"/>
      <c r="D2393" s="433" t="str">
        <f>IF(Criteria!E13=0," ",CONCATENATE("T/A ",Criteria!E13))</f>
        <v>T/A FINANCIAL INSTRUMENTS</v>
      </c>
      <c r="E2393" s="434"/>
      <c r="F2393" s="434"/>
      <c r="G2393" s="434"/>
      <c r="H2393" s="434"/>
      <c r="I2393" s="434"/>
      <c r="J2393" s="449"/>
      <c r="K2393" s="292"/>
      <c r="L2393" s="292"/>
      <c r="M2393" s="296"/>
      <c r="N2393" s="296"/>
      <c r="O2393" s="296"/>
      <c r="P2393" s="295"/>
      <c r="R2393" s="348" t="str">
        <f>IF(Criteria!E13=0,"DELETE"," ")</f>
        <v xml:space="preserve"> </v>
      </c>
    </row>
    <row r="2394" spans="3:26" ht="36" customHeight="1" x14ac:dyDescent="0.45">
      <c r="C2394" s="397"/>
      <c r="D2394" s="434"/>
      <c r="E2394" s="434"/>
      <c r="F2394" s="434"/>
      <c r="G2394" s="434"/>
      <c r="H2394" s="434"/>
      <c r="I2394" s="434"/>
      <c r="J2394" s="449"/>
      <c r="K2394" s="292"/>
      <c r="L2394" s="292"/>
      <c r="M2394" s="296"/>
      <c r="N2394" s="296"/>
      <c r="O2394" s="296"/>
      <c r="P2394" s="295"/>
    </row>
    <row r="2395" spans="3:26" ht="36" customHeight="1" x14ac:dyDescent="0.45">
      <c r="C2395" s="397"/>
      <c r="D2395" s="433" t="s">
        <v>86</v>
      </c>
      <c r="E2395" s="434"/>
      <c r="F2395" s="434"/>
      <c r="G2395" s="434"/>
      <c r="H2395" s="434"/>
      <c r="I2395" s="434"/>
      <c r="J2395" s="449"/>
      <c r="K2395" s="292"/>
      <c r="L2395" s="292"/>
      <c r="M2395" s="296"/>
      <c r="N2395" s="296"/>
      <c r="O2395" s="296"/>
      <c r="P2395" s="295"/>
    </row>
    <row r="2396" spans="3:26" ht="36" customHeight="1" x14ac:dyDescent="0.45">
      <c r="C2396" s="397"/>
      <c r="D2396" s="433" t="str">
        <f>D2312</f>
        <v>28 FEBRUARY 2025</v>
      </c>
      <c r="E2396" s="434"/>
      <c r="F2396" s="434"/>
      <c r="G2396" s="434"/>
      <c r="H2396" s="434"/>
      <c r="I2396" s="434"/>
      <c r="J2396" s="434" t="s">
        <v>95</v>
      </c>
      <c r="K2396" s="292"/>
      <c r="L2396" s="292"/>
      <c r="M2396" s="296"/>
      <c r="N2396" s="296"/>
      <c r="O2396" s="296"/>
      <c r="P2396" s="295"/>
    </row>
    <row r="2397" spans="3:26" ht="36" customHeight="1" x14ac:dyDescent="0.45">
      <c r="C2397" s="397"/>
      <c r="D2397" s="434"/>
      <c r="E2397" s="434"/>
      <c r="F2397" s="434"/>
      <c r="G2397" s="434"/>
      <c r="H2397" s="434"/>
      <c r="I2397" s="434"/>
      <c r="J2397" s="449"/>
      <c r="K2397" s="304"/>
      <c r="L2397" s="304"/>
      <c r="M2397" s="298"/>
      <c r="N2397" s="298"/>
      <c r="O2397" s="298"/>
      <c r="P2397" s="295"/>
    </row>
    <row r="2398" spans="3:26" ht="36" customHeight="1" x14ac:dyDescent="0.45">
      <c r="C2398" s="397"/>
      <c r="D2398" s="444"/>
      <c r="E2398" s="444"/>
      <c r="F2398" s="444"/>
      <c r="G2398" s="444"/>
      <c r="H2398" s="444"/>
      <c r="I2398" s="444"/>
      <c r="J2398" s="453"/>
      <c r="M2398" s="351"/>
      <c r="N2398" s="351"/>
      <c r="O2398" s="351"/>
      <c r="P2398" s="313"/>
      <c r="Q2398" s="364"/>
    </row>
    <row r="2399" spans="3:26" ht="36" customHeight="1" x14ac:dyDescent="0.45">
      <c r="C2399" s="397"/>
      <c r="D2399" s="434"/>
      <c r="E2399" s="434"/>
      <c r="F2399" s="434"/>
      <c r="G2399" s="434"/>
      <c r="H2399" s="434"/>
      <c r="I2399" s="434"/>
      <c r="J2399" s="449"/>
      <c r="K2399" s="292" t="s">
        <v>1041</v>
      </c>
      <c r="L2399" s="292"/>
      <c r="M2399" s="294">
        <f>Criteria!E22</f>
        <v>2025</v>
      </c>
      <c r="N2399" s="294"/>
      <c r="O2399" s="294">
        <f>Criteria!E27</f>
        <v>2024</v>
      </c>
      <c r="P2399" s="295"/>
    </row>
    <row r="2400" spans="3:26" ht="36" customHeight="1" x14ac:dyDescent="0.45">
      <c r="C2400" s="397"/>
      <c r="D2400" s="434"/>
      <c r="E2400" s="434"/>
      <c r="F2400" s="434"/>
      <c r="G2400" s="434"/>
      <c r="H2400" s="434"/>
      <c r="I2400" s="434"/>
      <c r="J2400" s="449"/>
      <c r="K2400" s="292"/>
      <c r="L2400" s="292"/>
      <c r="M2400" s="296"/>
      <c r="N2400" s="296"/>
      <c r="O2400" s="296"/>
      <c r="P2400" s="295"/>
    </row>
    <row r="2401" spans="3:26" ht="36" customHeight="1" x14ac:dyDescent="0.45">
      <c r="D2401" s="446" t="str">
        <f>IF((Y2401+Z2401)=3,"Operating profit/(loss)",(IF((Y2401+Z2401=4),"Operating profit","Operating loss")))</f>
        <v>Operating profit</v>
      </c>
      <c r="E2401" s="434"/>
      <c r="F2401" s="434"/>
      <c r="G2401" s="434"/>
      <c r="H2401" s="434"/>
      <c r="I2401" s="434"/>
      <c r="J2401" s="449"/>
      <c r="K2401" s="292"/>
      <c r="L2401" s="292"/>
      <c r="M2401" s="296">
        <f>SUM(S2317:S2382)</f>
        <v>0</v>
      </c>
      <c r="N2401" s="296"/>
      <c r="O2401" s="296">
        <f>SUM(U2317:U2382)</f>
        <v>0</v>
      </c>
      <c r="P2401" s="295"/>
      <c r="V2401" s="331" t="b">
        <f>M2401=M2385</f>
        <v>1</v>
      </c>
      <c r="X2401" s="331" t="b">
        <f>O2401=O2385</f>
        <v>1</v>
      </c>
      <c r="Y2401" s="331">
        <f>IF(M2401&lt;0,1,IF(M2401=0,IF(O2401&lt;0,1,2),2))</f>
        <v>2</v>
      </c>
      <c r="Z2401" s="331">
        <f>IF(O2401&lt;0,1,IF(O2401=0,IF(M2401&lt;0,1,2),2))</f>
        <v>2</v>
      </c>
    </row>
    <row r="2402" spans="3:26" ht="36" customHeight="1" x14ac:dyDescent="0.45">
      <c r="C2402" s="397"/>
      <c r="D2402" s="434"/>
      <c r="E2402" s="434" t="s">
        <v>239</v>
      </c>
      <c r="F2402" s="434"/>
      <c r="G2402" s="434"/>
      <c r="H2402" s="434"/>
      <c r="I2402" s="434"/>
      <c r="J2402" s="449"/>
      <c r="K2402" s="292"/>
      <c r="L2402" s="292"/>
      <c r="M2402" s="296"/>
      <c r="N2402" s="296"/>
      <c r="O2402" s="296"/>
      <c r="P2402" s="295"/>
    </row>
    <row r="2403" spans="3:26" ht="36" customHeight="1" x14ac:dyDescent="0.45">
      <c r="C2403" s="397"/>
      <c r="D2403" s="434"/>
      <c r="E2403" s="434"/>
      <c r="F2403" s="434"/>
      <c r="G2403" s="434"/>
      <c r="H2403" s="434"/>
      <c r="I2403" s="434"/>
      <c r="J2403" s="449"/>
      <c r="K2403" s="292"/>
      <c r="L2403" s="292"/>
      <c r="M2403" s="296"/>
      <c r="N2403" s="296"/>
      <c r="O2403" s="296"/>
      <c r="P2403" s="295"/>
    </row>
    <row r="2404" spans="3:26" ht="36" customHeight="1" x14ac:dyDescent="0.45">
      <c r="D2404" s="433" t="s">
        <v>1076</v>
      </c>
      <c r="E2404" s="434"/>
      <c r="F2404" s="434"/>
      <c r="G2404" s="434"/>
      <c r="H2404" s="434"/>
      <c r="I2404" s="434"/>
      <c r="J2404" s="449"/>
      <c r="K2404" s="292"/>
      <c r="L2404" s="292"/>
      <c r="M2404" s="296">
        <f>SUM(M2407:M2441)</f>
        <v>0</v>
      </c>
      <c r="N2404" s="296"/>
      <c r="O2404" s="296">
        <f>SUM(O2407:O2441)</f>
        <v>0</v>
      </c>
      <c r="P2404" s="295"/>
      <c r="R2404" s="348" t="str">
        <f>IF(M2404+O2404=0,"DELETE"," ")</f>
        <v>DELETE</v>
      </c>
      <c r="S2404" s="333">
        <f>-M2404</f>
        <v>0</v>
      </c>
      <c r="T2404" s="333"/>
      <c r="U2404" s="333">
        <f>-O2404</f>
        <v>0</v>
      </c>
      <c r="V2404" s="333"/>
      <c r="W2404" s="333"/>
      <c r="X2404" s="333"/>
    </row>
    <row r="2405" spans="3:26" ht="9" customHeight="1" x14ac:dyDescent="0.45">
      <c r="C2405" s="397"/>
      <c r="D2405" s="434"/>
      <c r="E2405" s="434"/>
      <c r="F2405" s="434"/>
      <c r="G2405" s="434"/>
      <c r="H2405" s="434"/>
      <c r="I2405" s="434"/>
      <c r="J2405" s="449"/>
      <c r="K2405" s="292"/>
      <c r="L2405" s="292"/>
      <c r="M2405" s="296"/>
      <c r="N2405" s="296"/>
      <c r="O2405" s="296"/>
      <c r="P2405" s="295"/>
      <c r="R2405" s="348" t="str">
        <f>R2404</f>
        <v>DELETE</v>
      </c>
    </row>
    <row r="2406" spans="3:26" ht="9" customHeight="1" x14ac:dyDescent="0.45">
      <c r="C2406" s="397"/>
      <c r="D2406" s="434"/>
      <c r="E2406" s="434"/>
      <c r="F2406" s="434"/>
      <c r="G2406" s="434"/>
      <c r="H2406" s="434"/>
      <c r="I2406" s="434"/>
      <c r="J2406" s="449"/>
      <c r="K2406" s="292"/>
      <c r="L2406" s="292"/>
      <c r="M2406" s="398"/>
      <c r="N2406" s="297"/>
      <c r="O2406" s="399"/>
      <c r="P2406" s="295"/>
      <c r="R2406" s="348" t="str">
        <f>R2405</f>
        <v>DELETE</v>
      </c>
    </row>
    <row r="2407" spans="3:26" ht="36" customHeight="1" x14ac:dyDescent="0.45">
      <c r="C2407" s="397"/>
      <c r="D2407" s="434" t="s">
        <v>199</v>
      </c>
      <c r="E2407" s="434"/>
      <c r="F2407" s="434"/>
      <c r="G2407" s="434"/>
      <c r="H2407" s="434"/>
      <c r="I2407" s="434"/>
      <c r="J2407" s="449"/>
      <c r="K2407" s="292"/>
      <c r="L2407" s="292"/>
      <c r="M2407" s="400">
        <f>SUM(TrialBalance!L102:L102)</f>
        <v>0</v>
      </c>
      <c r="N2407" s="296"/>
      <c r="O2407" s="401">
        <f>SUM(TrialBalance!N102:N102)</f>
        <v>0</v>
      </c>
      <c r="P2407" s="295"/>
      <c r="R2407" s="348" t="str">
        <f t="shared" ref="R2407:R2434" si="148">IF(M2407+O2407=0,"DELETE"," ")</f>
        <v>DELETE</v>
      </c>
    </row>
    <row r="2408" spans="3:26" ht="36" customHeight="1" x14ac:dyDescent="0.45">
      <c r="C2408" s="397"/>
      <c r="D2408" s="434" t="s">
        <v>633</v>
      </c>
      <c r="E2408" s="434"/>
      <c r="F2408" s="434"/>
      <c r="G2408" s="434"/>
      <c r="H2408" s="434"/>
      <c r="I2408" s="434"/>
      <c r="J2408" s="449"/>
      <c r="K2408" s="292"/>
      <c r="L2408" s="292"/>
      <c r="M2408" s="400">
        <f>SUM(TrialBalance!L99:L101)</f>
        <v>0</v>
      </c>
      <c r="N2408" s="296"/>
      <c r="O2408" s="401">
        <f>SUM(TrialBalance!N99:N101)</f>
        <v>0</v>
      </c>
      <c r="P2408" s="295"/>
      <c r="R2408" s="348" t="str">
        <f t="shared" si="148"/>
        <v>DELETE</v>
      </c>
    </row>
    <row r="2409" spans="3:26" ht="36" customHeight="1" x14ac:dyDescent="0.45">
      <c r="C2409" s="397"/>
      <c r="D2409" s="434" t="s">
        <v>203</v>
      </c>
      <c r="E2409" s="434"/>
      <c r="F2409" s="434"/>
      <c r="G2409" s="434"/>
      <c r="H2409" s="434"/>
      <c r="I2409" s="434"/>
      <c r="J2409" s="449"/>
      <c r="K2409" s="292"/>
      <c r="L2409" s="292"/>
      <c r="M2409" s="400">
        <f>TrialBalance!L104</f>
        <v>0</v>
      </c>
      <c r="N2409" s="296"/>
      <c r="O2409" s="401">
        <f>TrialBalance!N104</f>
        <v>0</v>
      </c>
      <c r="P2409" s="295"/>
      <c r="R2409" s="348" t="str">
        <f t="shared" ref="R2409" si="149">IF(M2409+O2409=0,"DELETE"," ")</f>
        <v>DELETE</v>
      </c>
    </row>
    <row r="2410" spans="3:26" ht="36" customHeight="1" x14ac:dyDescent="0.45">
      <c r="C2410" s="397"/>
      <c r="D2410" s="434" t="s">
        <v>201</v>
      </c>
      <c r="E2410" s="434"/>
      <c r="F2410" s="434"/>
      <c r="G2410" s="434"/>
      <c r="H2410" s="434"/>
      <c r="I2410" s="434"/>
      <c r="J2410" s="449"/>
      <c r="K2410" s="292"/>
      <c r="L2410" s="292"/>
      <c r="M2410" s="400">
        <f>TrialBalance!L103</f>
        <v>0</v>
      </c>
      <c r="N2410" s="296"/>
      <c r="O2410" s="401">
        <f>TrialBalance!N103</f>
        <v>0</v>
      </c>
      <c r="P2410" s="295"/>
      <c r="R2410" s="348" t="str">
        <f t="shared" si="148"/>
        <v>DELETE</v>
      </c>
    </row>
    <row r="2411" spans="3:26" ht="36" customHeight="1" x14ac:dyDescent="0.45">
      <c r="C2411" s="397"/>
      <c r="D2411" s="434" t="s">
        <v>240</v>
      </c>
      <c r="E2411" s="434"/>
      <c r="F2411" s="434"/>
      <c r="G2411" s="434"/>
      <c r="H2411" s="434"/>
      <c r="I2411" s="434"/>
      <c r="J2411" s="449"/>
      <c r="K2411" s="292"/>
      <c r="L2411" s="292"/>
      <c r="M2411" s="400">
        <f>TrialBalance!L105</f>
        <v>0</v>
      </c>
      <c r="N2411" s="296"/>
      <c r="O2411" s="401">
        <f>TrialBalance!N105</f>
        <v>0</v>
      </c>
      <c r="P2411" s="295"/>
      <c r="R2411" s="348" t="str">
        <f t="shared" si="148"/>
        <v>DELETE</v>
      </c>
    </row>
    <row r="2412" spans="3:26" ht="36" customHeight="1" x14ac:dyDescent="0.45">
      <c r="C2412" s="397"/>
      <c r="D2412" s="434" t="s">
        <v>206</v>
      </c>
      <c r="E2412" s="434"/>
      <c r="F2412" s="434"/>
      <c r="G2412" s="434"/>
      <c r="H2412" s="434"/>
      <c r="I2412" s="434"/>
      <c r="J2412" s="449"/>
      <c r="K2412" s="292"/>
      <c r="L2412" s="292"/>
      <c r="M2412" s="400">
        <f>TrialBalance!L106</f>
        <v>0</v>
      </c>
      <c r="N2412" s="296"/>
      <c r="O2412" s="401">
        <f>TrialBalance!N106</f>
        <v>0</v>
      </c>
      <c r="P2412" s="295"/>
      <c r="R2412" s="348" t="str">
        <f t="shared" si="148"/>
        <v>DELETE</v>
      </c>
    </row>
    <row r="2413" spans="3:26" ht="36" customHeight="1" x14ac:dyDescent="0.45">
      <c r="C2413" s="397"/>
      <c r="D2413" s="434" t="s">
        <v>680</v>
      </c>
      <c r="E2413" s="434"/>
      <c r="F2413" s="434"/>
      <c r="G2413" s="434"/>
      <c r="H2413" s="434"/>
      <c r="I2413" s="434"/>
      <c r="J2413" s="449"/>
      <c r="K2413" s="292"/>
      <c r="L2413" s="292"/>
      <c r="M2413" s="400">
        <f>TrialBalance!L107</f>
        <v>0</v>
      </c>
      <c r="N2413" s="296"/>
      <c r="O2413" s="401">
        <f>TrialBalance!N107</f>
        <v>0</v>
      </c>
      <c r="P2413" s="295"/>
      <c r="R2413" s="348" t="str">
        <f t="shared" ref="R2413" si="150">IF(M2413+O2413=0,"DELETE"," ")</f>
        <v>DELETE</v>
      </c>
    </row>
    <row r="2414" spans="3:26" ht="36" customHeight="1" x14ac:dyDescent="0.45">
      <c r="C2414" s="397"/>
      <c r="D2414" s="434" t="s">
        <v>1212</v>
      </c>
      <c r="E2414" s="434"/>
      <c r="F2414" s="434"/>
      <c r="G2414" s="434"/>
      <c r="H2414" s="434"/>
      <c r="I2414" s="434"/>
      <c r="J2414" s="449"/>
      <c r="K2414" s="292"/>
      <c r="L2414" s="292"/>
      <c r="M2414" s="400">
        <f>TrialBalance!L108</f>
        <v>0</v>
      </c>
      <c r="N2414" s="296"/>
      <c r="O2414" s="401">
        <f>TrialBalance!N108</f>
        <v>0</v>
      </c>
      <c r="P2414" s="295"/>
      <c r="R2414" s="348" t="str">
        <f t="shared" ref="R2414" si="151">IF(M2414+O2414=0,"DELETE"," ")</f>
        <v>DELETE</v>
      </c>
    </row>
    <row r="2415" spans="3:26" ht="36" customHeight="1" x14ac:dyDescent="0.45">
      <c r="C2415" s="397"/>
      <c r="D2415" s="434" t="s">
        <v>252</v>
      </c>
      <c r="E2415" s="434"/>
      <c r="F2415" s="434"/>
      <c r="G2415" s="434"/>
      <c r="H2415" s="434"/>
      <c r="I2415" s="434"/>
      <c r="J2415" s="449"/>
      <c r="K2415" s="292">
        <f>B$958</f>
        <v>5</v>
      </c>
      <c r="L2415" s="292"/>
      <c r="M2415" s="400">
        <f>SUM(TrialBalance!L110:L111)</f>
        <v>0</v>
      </c>
      <c r="N2415" s="296"/>
      <c r="O2415" s="401">
        <f>SUM(TrialBalance!N110:N111)</f>
        <v>0</v>
      </c>
      <c r="P2415" s="295"/>
      <c r="R2415" s="348" t="str">
        <f t="shared" si="148"/>
        <v>DELETE</v>
      </c>
    </row>
    <row r="2416" spans="3:26" ht="36" customHeight="1" x14ac:dyDescent="0.45">
      <c r="C2416" s="397"/>
      <c r="D2416" s="434" t="str">
        <f>IF(MAX(Criteria!I38:I42)&gt;1,"Directors' remuneration","Director's remuneration")</f>
        <v>Directors' remuneration</v>
      </c>
      <c r="E2416" s="434"/>
      <c r="F2416" s="434"/>
      <c r="G2416" s="434"/>
      <c r="H2416" s="434"/>
      <c r="I2416" s="434"/>
      <c r="J2416" s="449"/>
      <c r="K2416" s="292">
        <f>B$958</f>
        <v>5</v>
      </c>
      <c r="L2416" s="292"/>
      <c r="M2416" s="400">
        <f>SUM(TrialBalance!L113:L117)</f>
        <v>0</v>
      </c>
      <c r="N2416" s="296"/>
      <c r="O2416" s="401">
        <f>SUM(TrialBalance!N113:N117)</f>
        <v>0</v>
      </c>
      <c r="P2416" s="295"/>
      <c r="R2416" s="348" t="str">
        <f t="shared" si="148"/>
        <v>DELETE</v>
      </c>
    </row>
    <row r="2417" spans="3:18" ht="36" customHeight="1" x14ac:dyDescent="0.45">
      <c r="C2417" s="397"/>
      <c r="D2417" s="434" t="s">
        <v>241</v>
      </c>
      <c r="E2417" s="434"/>
      <c r="F2417" s="434"/>
      <c r="G2417" s="434"/>
      <c r="H2417" s="434"/>
      <c r="I2417" s="434"/>
      <c r="J2417" s="449"/>
      <c r="K2417" s="292"/>
      <c r="L2417" s="292"/>
      <c r="M2417" s="400">
        <f>TrialBalance!L118</f>
        <v>0</v>
      </c>
      <c r="N2417" s="296"/>
      <c r="O2417" s="401">
        <f>TrialBalance!N118</f>
        <v>0</v>
      </c>
      <c r="P2417" s="295"/>
      <c r="R2417" s="348" t="str">
        <f t="shared" si="148"/>
        <v>DELETE</v>
      </c>
    </row>
    <row r="2418" spans="3:18" ht="36" customHeight="1" x14ac:dyDescent="0.45">
      <c r="C2418" s="397"/>
      <c r="D2418" s="434" t="s">
        <v>344</v>
      </c>
      <c r="E2418" s="434"/>
      <c r="F2418" s="434"/>
      <c r="G2418" s="434"/>
      <c r="H2418" s="434"/>
      <c r="I2418" s="434"/>
      <c r="J2418" s="449"/>
      <c r="K2418" s="292"/>
      <c r="L2418" s="292"/>
      <c r="M2418" s="400">
        <f>TrialBalance!L119</f>
        <v>0</v>
      </c>
      <c r="N2418" s="296"/>
      <c r="O2418" s="401">
        <f>TrialBalance!N119</f>
        <v>0</v>
      </c>
      <c r="P2418" s="295"/>
      <c r="R2418" s="348" t="str">
        <f t="shared" si="148"/>
        <v>DELETE</v>
      </c>
    </row>
    <row r="2419" spans="3:18" ht="36" customHeight="1" x14ac:dyDescent="0.45">
      <c r="C2419" s="397"/>
      <c r="D2419" s="434" t="s">
        <v>305</v>
      </c>
      <c r="E2419" s="434"/>
      <c r="F2419" s="434"/>
      <c r="G2419" s="434"/>
      <c r="H2419" s="434"/>
      <c r="I2419" s="434"/>
      <c r="J2419" s="449"/>
      <c r="K2419" s="292"/>
      <c r="L2419" s="292"/>
      <c r="M2419" s="400">
        <f>TrialBalance!L120</f>
        <v>0</v>
      </c>
      <c r="N2419" s="296"/>
      <c r="O2419" s="401">
        <f>TrialBalance!N120</f>
        <v>0</v>
      </c>
      <c r="P2419" s="295"/>
      <c r="R2419" s="348" t="str">
        <f t="shared" ref="R2419" si="152">IF(M2419+O2419=0,"DELETE"," ")</f>
        <v>DELETE</v>
      </c>
    </row>
    <row r="2420" spans="3:18" ht="36" customHeight="1" x14ac:dyDescent="0.45">
      <c r="C2420" s="397"/>
      <c r="D2420" s="434" t="s">
        <v>346</v>
      </c>
      <c r="E2420" s="434"/>
      <c r="F2420" s="434"/>
      <c r="G2420" s="434"/>
      <c r="H2420" s="434"/>
      <c r="I2420" s="434"/>
      <c r="J2420" s="449"/>
      <c r="K2420" s="292"/>
      <c r="L2420" s="292"/>
      <c r="M2420" s="400">
        <f>TrialBalance!L121</f>
        <v>0</v>
      </c>
      <c r="N2420" s="296"/>
      <c r="O2420" s="401">
        <f>TrialBalance!N121</f>
        <v>0</v>
      </c>
      <c r="P2420" s="295"/>
      <c r="R2420" s="348" t="str">
        <f t="shared" si="148"/>
        <v>DELETE</v>
      </c>
    </row>
    <row r="2421" spans="3:18" ht="36" customHeight="1" x14ac:dyDescent="0.45">
      <c r="C2421" s="397"/>
      <c r="D2421" s="434" t="str">
        <f>TrialBalance!C156</f>
        <v>Impairment losses</v>
      </c>
      <c r="E2421" s="434"/>
      <c r="F2421" s="434"/>
      <c r="G2421" s="434"/>
      <c r="H2421" s="434"/>
      <c r="I2421" s="434"/>
      <c r="J2421" s="449"/>
      <c r="K2421" s="292"/>
      <c r="L2421" s="292"/>
      <c r="M2421" s="400">
        <f>TrialBalance!L156</f>
        <v>0</v>
      </c>
      <c r="N2421" s="296"/>
      <c r="O2421" s="401">
        <f>TrialBalance!N156</f>
        <v>0</v>
      </c>
      <c r="P2421" s="295"/>
      <c r="R2421" s="348" t="str">
        <f t="shared" ref="R2421" si="153">IF(M2421+O2421=0,"DELETE"," ")</f>
        <v>DELETE</v>
      </c>
    </row>
    <row r="2422" spans="3:18" ht="36" customHeight="1" x14ac:dyDescent="0.45">
      <c r="C2422" s="397"/>
      <c r="D2422" s="434" t="s">
        <v>490</v>
      </c>
      <c r="E2422" s="434"/>
      <c r="F2422" s="434"/>
      <c r="G2422" s="434"/>
      <c r="H2422" s="434"/>
      <c r="I2422" s="434"/>
      <c r="J2422" s="449"/>
      <c r="K2422" s="292"/>
      <c r="L2422" s="292"/>
      <c r="M2422" s="400">
        <f>TrialBalance!L122+TrialBalance!L123</f>
        <v>0</v>
      </c>
      <c r="N2422" s="296"/>
      <c r="O2422" s="401">
        <f>TrialBalance!N122+TrialBalance!N123</f>
        <v>0</v>
      </c>
      <c r="P2422" s="295"/>
      <c r="R2422" s="348" t="str">
        <f t="shared" si="148"/>
        <v>DELETE</v>
      </c>
    </row>
    <row r="2423" spans="3:18" ht="36" customHeight="1" x14ac:dyDescent="0.45">
      <c r="C2423" s="397"/>
      <c r="D2423" s="434" t="s">
        <v>512</v>
      </c>
      <c r="E2423" s="434"/>
      <c r="F2423" s="434"/>
      <c r="G2423" s="434"/>
      <c r="H2423" s="434"/>
      <c r="I2423" s="434"/>
      <c r="J2423" s="449"/>
      <c r="K2423" s="292"/>
      <c r="L2423" s="292"/>
      <c r="M2423" s="400">
        <f>IF(TrialBalance!L94&gt;0,TrialBalance!L94,0)</f>
        <v>0</v>
      </c>
      <c r="N2423" s="296"/>
      <c r="O2423" s="401">
        <f>IF(TrialBalance!N94&gt;0,TrialBalance!N94,0)</f>
        <v>0</v>
      </c>
      <c r="P2423" s="295"/>
      <c r="R2423" s="348" t="str">
        <f t="shared" ref="R2423" si="154">IF(M2423+O2423=0,"DELETE"," ")</f>
        <v>DELETE</v>
      </c>
    </row>
    <row r="2424" spans="3:18" ht="36" customHeight="1" x14ac:dyDescent="0.45">
      <c r="C2424" s="397"/>
      <c r="D2424" s="434" t="s">
        <v>681</v>
      </c>
      <c r="E2424" s="434"/>
      <c r="F2424" s="434"/>
      <c r="G2424" s="434"/>
      <c r="H2424" s="434"/>
      <c r="I2424" s="434"/>
      <c r="J2424" s="449"/>
      <c r="K2424" s="292"/>
      <c r="L2424" s="292"/>
      <c r="M2424" s="400">
        <f>TrialBalance!L124</f>
        <v>0</v>
      </c>
      <c r="N2424" s="296"/>
      <c r="O2424" s="401">
        <f>TrialBalance!N124</f>
        <v>0</v>
      </c>
      <c r="P2424" s="295"/>
      <c r="R2424" s="348" t="str">
        <f t="shared" si="148"/>
        <v>DELETE</v>
      </c>
    </row>
    <row r="2425" spans="3:18" ht="36" customHeight="1" x14ac:dyDescent="0.45">
      <c r="C2425" s="397"/>
      <c r="D2425" s="434" t="s">
        <v>242</v>
      </c>
      <c r="E2425" s="434"/>
      <c r="F2425" s="434"/>
      <c r="G2425" s="434"/>
      <c r="H2425" s="434"/>
      <c r="I2425" s="434"/>
      <c r="J2425" s="449"/>
      <c r="K2425" s="292"/>
      <c r="L2425" s="292"/>
      <c r="M2425" s="400">
        <f>TrialBalance!L125</f>
        <v>0</v>
      </c>
      <c r="N2425" s="296"/>
      <c r="O2425" s="401">
        <f>TrialBalance!N125</f>
        <v>0</v>
      </c>
      <c r="P2425" s="295"/>
      <c r="R2425" s="348" t="str">
        <f t="shared" si="148"/>
        <v>DELETE</v>
      </c>
    </row>
    <row r="2426" spans="3:18" ht="36" customHeight="1" x14ac:dyDescent="0.45">
      <c r="C2426" s="397"/>
      <c r="D2426" s="434" t="s">
        <v>235</v>
      </c>
      <c r="E2426" s="434"/>
      <c r="F2426" s="434"/>
      <c r="G2426" s="434"/>
      <c r="H2426" s="434"/>
      <c r="I2426" s="434"/>
      <c r="J2426" s="449"/>
      <c r="K2426" s="292"/>
      <c r="L2426" s="292"/>
      <c r="M2426" s="400">
        <f>SUM(TrialBalance!L126:L127)</f>
        <v>0</v>
      </c>
      <c r="N2426" s="296"/>
      <c r="O2426" s="401">
        <f>SUM(TrialBalance!N126:N127)</f>
        <v>0</v>
      </c>
      <c r="P2426" s="295"/>
      <c r="R2426" s="348" t="str">
        <f t="shared" si="148"/>
        <v>DELETE</v>
      </c>
    </row>
    <row r="2427" spans="3:18" ht="36" customHeight="1" x14ac:dyDescent="0.45">
      <c r="C2427" s="397"/>
      <c r="D2427" s="434" t="s">
        <v>243</v>
      </c>
      <c r="E2427" s="434"/>
      <c r="F2427" s="434"/>
      <c r="G2427" s="434"/>
      <c r="H2427" s="434"/>
      <c r="I2427" s="434"/>
      <c r="J2427" s="449"/>
      <c r="K2427" s="292"/>
      <c r="L2427" s="292"/>
      <c r="M2427" s="400">
        <f>TrialBalance!L128</f>
        <v>0</v>
      </c>
      <c r="N2427" s="296"/>
      <c r="O2427" s="401">
        <f>TrialBalance!N128</f>
        <v>0</v>
      </c>
      <c r="P2427" s="295"/>
      <c r="R2427" s="348" t="str">
        <f t="shared" si="148"/>
        <v>DELETE</v>
      </c>
    </row>
    <row r="2428" spans="3:18" ht="36" customHeight="1" x14ac:dyDescent="0.45">
      <c r="C2428" s="397"/>
      <c r="D2428" s="434" t="s">
        <v>682</v>
      </c>
      <c r="E2428" s="434"/>
      <c r="F2428" s="434"/>
      <c r="G2428" s="434"/>
      <c r="H2428" s="434"/>
      <c r="I2428" s="434"/>
      <c r="J2428" s="449"/>
      <c r="K2428" s="292"/>
      <c r="L2428" s="292"/>
      <c r="M2428" s="400">
        <f>TrialBalance!L129</f>
        <v>0</v>
      </c>
      <c r="N2428" s="296"/>
      <c r="O2428" s="401">
        <f>TrialBalance!N129</f>
        <v>0</v>
      </c>
      <c r="P2428" s="295"/>
      <c r="R2428" s="348" t="str">
        <f t="shared" si="148"/>
        <v>DELETE</v>
      </c>
    </row>
    <row r="2429" spans="3:18" ht="36" customHeight="1" x14ac:dyDescent="0.45">
      <c r="C2429" s="397"/>
      <c r="D2429" s="434" t="s">
        <v>74</v>
      </c>
      <c r="E2429" s="434"/>
      <c r="F2429" s="434"/>
      <c r="G2429" s="434"/>
      <c r="H2429" s="434"/>
      <c r="I2429" s="434"/>
      <c r="J2429" s="449"/>
      <c r="K2429" s="292"/>
      <c r="L2429" s="292"/>
      <c r="M2429" s="400">
        <f>TrialBalance!L130</f>
        <v>0</v>
      </c>
      <c r="N2429" s="296"/>
      <c r="O2429" s="401">
        <f>TrialBalance!N130</f>
        <v>0</v>
      </c>
      <c r="P2429" s="295"/>
      <c r="R2429" s="348" t="str">
        <f t="shared" si="148"/>
        <v>DELETE</v>
      </c>
    </row>
    <row r="2430" spans="3:18" ht="36" customHeight="1" x14ac:dyDescent="0.45">
      <c r="C2430" s="397"/>
      <c r="D2430" s="434">
        <f>TrialBalance!C131</f>
        <v>0</v>
      </c>
      <c r="E2430" s="434"/>
      <c r="F2430" s="434"/>
      <c r="G2430" s="434"/>
      <c r="H2430" s="434"/>
      <c r="I2430" s="434"/>
      <c r="J2430" s="449"/>
      <c r="K2430" s="292"/>
      <c r="L2430" s="292"/>
      <c r="M2430" s="400">
        <f>TrialBalance!L131</f>
        <v>0</v>
      </c>
      <c r="N2430" s="296"/>
      <c r="O2430" s="401">
        <f>TrialBalance!N131</f>
        <v>0</v>
      </c>
      <c r="P2430" s="295"/>
      <c r="R2430" s="348" t="str">
        <f t="shared" si="148"/>
        <v>DELETE</v>
      </c>
    </row>
    <row r="2431" spans="3:18" ht="36" customHeight="1" x14ac:dyDescent="0.45">
      <c r="C2431" s="397"/>
      <c r="D2431" s="434">
        <f>TrialBalance!C132</f>
        <v>0</v>
      </c>
      <c r="E2431" s="434"/>
      <c r="F2431" s="434"/>
      <c r="G2431" s="434"/>
      <c r="H2431" s="434"/>
      <c r="I2431" s="434"/>
      <c r="J2431" s="449"/>
      <c r="K2431" s="292"/>
      <c r="L2431" s="292"/>
      <c r="M2431" s="400">
        <f>TrialBalance!L132</f>
        <v>0</v>
      </c>
      <c r="N2431" s="296"/>
      <c r="O2431" s="401">
        <f>TrialBalance!N132</f>
        <v>0</v>
      </c>
      <c r="P2431" s="295"/>
      <c r="R2431" s="348" t="str">
        <f t="shared" si="148"/>
        <v>DELETE</v>
      </c>
    </row>
    <row r="2432" spans="3:18" ht="36" customHeight="1" x14ac:dyDescent="0.45">
      <c r="C2432" s="397"/>
      <c r="D2432" s="434">
        <f>TrialBalance!C133</f>
        <v>0</v>
      </c>
      <c r="E2432" s="434"/>
      <c r="F2432" s="434"/>
      <c r="G2432" s="434"/>
      <c r="H2432" s="434"/>
      <c r="I2432" s="434"/>
      <c r="J2432" s="449"/>
      <c r="K2432" s="292"/>
      <c r="L2432" s="292"/>
      <c r="M2432" s="400">
        <f>TrialBalance!L133</f>
        <v>0</v>
      </c>
      <c r="N2432" s="296"/>
      <c r="O2432" s="401">
        <f>TrialBalance!N133</f>
        <v>0</v>
      </c>
      <c r="P2432" s="295"/>
      <c r="R2432" s="348" t="str">
        <f>IF(M2432+O2432=0,"DELETE"," ")</f>
        <v>DELETE</v>
      </c>
    </row>
    <row r="2433" spans="3:26" ht="36" customHeight="1" x14ac:dyDescent="0.45">
      <c r="C2433" s="397"/>
      <c r="D2433" s="434">
        <f>TrialBalance!C134</f>
        <v>0</v>
      </c>
      <c r="E2433" s="434"/>
      <c r="F2433" s="434"/>
      <c r="G2433" s="434"/>
      <c r="H2433" s="434"/>
      <c r="I2433" s="434"/>
      <c r="J2433" s="449"/>
      <c r="K2433" s="292"/>
      <c r="L2433" s="292"/>
      <c r="M2433" s="400">
        <f>TrialBalance!L134</f>
        <v>0</v>
      </c>
      <c r="N2433" s="296"/>
      <c r="O2433" s="401">
        <f>TrialBalance!N134</f>
        <v>0</v>
      </c>
      <c r="P2433" s="295"/>
      <c r="R2433" s="348" t="str">
        <f t="shared" si="148"/>
        <v>DELETE</v>
      </c>
    </row>
    <row r="2434" spans="3:26" ht="36" customHeight="1" x14ac:dyDescent="0.45">
      <c r="C2434" s="397"/>
      <c r="D2434" s="434">
        <f>TrialBalance!C135</f>
        <v>0</v>
      </c>
      <c r="E2434" s="434"/>
      <c r="F2434" s="434"/>
      <c r="G2434" s="434"/>
      <c r="H2434" s="434"/>
      <c r="I2434" s="434"/>
      <c r="J2434" s="449"/>
      <c r="K2434" s="292"/>
      <c r="L2434" s="292"/>
      <c r="M2434" s="400">
        <f>TrialBalance!L135</f>
        <v>0</v>
      </c>
      <c r="N2434" s="296"/>
      <c r="O2434" s="401">
        <f>TrialBalance!N135</f>
        <v>0</v>
      </c>
      <c r="P2434" s="295"/>
      <c r="R2434" s="348" t="str">
        <f t="shared" si="148"/>
        <v>DELETE</v>
      </c>
    </row>
    <row r="2435" spans="3:26" ht="36" customHeight="1" x14ac:dyDescent="0.45">
      <c r="C2435" s="397"/>
      <c r="D2435" s="434">
        <f>TrialBalance!C136</f>
        <v>0</v>
      </c>
      <c r="E2435" s="434"/>
      <c r="F2435" s="434"/>
      <c r="G2435" s="434"/>
      <c r="H2435" s="434"/>
      <c r="I2435" s="434"/>
      <c r="J2435" s="449"/>
      <c r="K2435" s="292"/>
      <c r="L2435" s="292"/>
      <c r="M2435" s="400">
        <f>TrialBalance!L136</f>
        <v>0</v>
      </c>
      <c r="N2435" s="296"/>
      <c r="O2435" s="401">
        <f>TrialBalance!N136</f>
        <v>0</v>
      </c>
      <c r="P2435" s="295"/>
      <c r="R2435" s="348" t="str">
        <f t="shared" ref="R2435:R2438" si="155">IF(M2435+O2435=0,"DELETE"," ")</f>
        <v>DELETE</v>
      </c>
    </row>
    <row r="2436" spans="3:26" ht="36" customHeight="1" x14ac:dyDescent="0.45">
      <c r="C2436" s="397"/>
      <c r="D2436" s="434">
        <f>TrialBalance!C137</f>
        <v>0</v>
      </c>
      <c r="E2436" s="434"/>
      <c r="F2436" s="434"/>
      <c r="G2436" s="434"/>
      <c r="H2436" s="434"/>
      <c r="I2436" s="434"/>
      <c r="J2436" s="449"/>
      <c r="K2436" s="292"/>
      <c r="L2436" s="292"/>
      <c r="M2436" s="400">
        <f>TrialBalance!L137</f>
        <v>0</v>
      </c>
      <c r="N2436" s="296"/>
      <c r="O2436" s="401">
        <f>TrialBalance!N137</f>
        <v>0</v>
      </c>
      <c r="P2436" s="295"/>
      <c r="R2436" s="348" t="str">
        <f t="shared" si="155"/>
        <v>DELETE</v>
      </c>
    </row>
    <row r="2437" spans="3:26" ht="36" customHeight="1" x14ac:dyDescent="0.45">
      <c r="C2437" s="397"/>
      <c r="D2437" s="434">
        <f>TrialBalance!C138</f>
        <v>0</v>
      </c>
      <c r="E2437" s="434"/>
      <c r="F2437" s="434"/>
      <c r="G2437" s="434"/>
      <c r="H2437" s="434"/>
      <c r="I2437" s="434"/>
      <c r="J2437" s="449"/>
      <c r="K2437" s="292"/>
      <c r="L2437" s="292"/>
      <c r="M2437" s="400">
        <f>TrialBalance!L138</f>
        <v>0</v>
      </c>
      <c r="N2437" s="296"/>
      <c r="O2437" s="401">
        <f>TrialBalance!N138</f>
        <v>0</v>
      </c>
      <c r="P2437" s="295"/>
      <c r="R2437" s="348" t="str">
        <f t="shared" si="155"/>
        <v>DELETE</v>
      </c>
    </row>
    <row r="2438" spans="3:26" ht="36" customHeight="1" x14ac:dyDescent="0.45">
      <c r="C2438" s="397"/>
      <c r="D2438" s="434">
        <f>TrialBalance!C139</f>
        <v>0</v>
      </c>
      <c r="E2438" s="434"/>
      <c r="F2438" s="434"/>
      <c r="G2438" s="434"/>
      <c r="H2438" s="434"/>
      <c r="I2438" s="434"/>
      <c r="J2438" s="449"/>
      <c r="K2438" s="292"/>
      <c r="L2438" s="292"/>
      <c r="M2438" s="400">
        <f>TrialBalance!L139</f>
        <v>0</v>
      </c>
      <c r="N2438" s="296"/>
      <c r="O2438" s="401">
        <f>TrialBalance!N139</f>
        <v>0</v>
      </c>
      <c r="P2438" s="295"/>
      <c r="R2438" s="348" t="str">
        <f t="shared" si="155"/>
        <v>DELETE</v>
      </c>
    </row>
    <row r="2439" spans="3:26" ht="36" customHeight="1" x14ac:dyDescent="0.45">
      <c r="C2439" s="397"/>
      <c r="D2439" s="434" t="str">
        <f>TrialBalance!C140</f>
        <v>Amortisation of prepaid lease agreement</v>
      </c>
      <c r="E2439" s="434"/>
      <c r="F2439" s="434"/>
      <c r="G2439" s="434"/>
      <c r="H2439" s="434"/>
      <c r="I2439" s="434"/>
      <c r="J2439" s="449"/>
      <c r="K2439" s="292"/>
      <c r="L2439" s="292"/>
      <c r="M2439" s="400">
        <f>TrialBalance!L140</f>
        <v>0</v>
      </c>
      <c r="N2439" s="296"/>
      <c r="O2439" s="401">
        <f>TrialBalance!N140</f>
        <v>0</v>
      </c>
      <c r="P2439" s="295"/>
      <c r="R2439" s="348" t="str">
        <f t="shared" ref="R2439" si="156">IF(M2439+O2439=0,"DELETE"," ")</f>
        <v>DELETE</v>
      </c>
    </row>
    <row r="2440" spans="3:26" ht="36" customHeight="1" x14ac:dyDescent="0.45">
      <c r="C2440" s="397"/>
      <c r="D2440" s="434" t="str">
        <f>TrialBalance!C141</f>
        <v>Amortisation of goodwill</v>
      </c>
      <c r="E2440" s="434"/>
      <c r="F2440" s="434"/>
      <c r="G2440" s="434"/>
      <c r="H2440" s="434"/>
      <c r="I2440" s="434"/>
      <c r="J2440" s="449"/>
      <c r="K2440" s="292"/>
      <c r="L2440" s="292"/>
      <c r="M2440" s="400">
        <f>TrialBalance!L141</f>
        <v>0</v>
      </c>
      <c r="N2440" s="296"/>
      <c r="O2440" s="401">
        <f>TrialBalance!N141</f>
        <v>0</v>
      </c>
      <c r="P2440" s="295"/>
      <c r="R2440" s="348" t="str">
        <f t="shared" ref="R2440" si="157">IF(M2440+O2440=0,"DELETE"," ")</f>
        <v>DELETE</v>
      </c>
    </row>
    <row r="2441" spans="3:26" ht="9" customHeight="1" x14ac:dyDescent="0.45">
      <c r="C2441" s="397"/>
      <c r="D2441" s="434"/>
      <c r="E2441" s="434"/>
      <c r="F2441" s="434"/>
      <c r="G2441" s="434"/>
      <c r="H2441" s="434"/>
      <c r="I2441" s="434"/>
      <c r="J2441" s="449"/>
      <c r="K2441" s="292"/>
      <c r="L2441" s="292"/>
      <c r="M2441" s="402"/>
      <c r="N2441" s="298"/>
      <c r="O2441" s="403"/>
      <c r="P2441" s="295"/>
      <c r="R2441" s="348" t="str">
        <f>R2404</f>
        <v>DELETE</v>
      </c>
    </row>
    <row r="2442" spans="3:26" ht="9" customHeight="1" x14ac:dyDescent="0.45">
      <c r="C2442" s="397"/>
      <c r="D2442" s="434"/>
      <c r="E2442" s="434"/>
      <c r="F2442" s="434"/>
      <c r="G2442" s="434"/>
      <c r="H2442" s="434"/>
      <c r="I2442" s="434"/>
      <c r="J2442" s="449"/>
      <c r="K2442" s="292"/>
      <c r="L2442" s="292"/>
      <c r="M2442" s="298"/>
      <c r="N2442" s="298"/>
      <c r="O2442" s="298"/>
      <c r="P2442" s="295"/>
    </row>
    <row r="2443" spans="3:26" ht="9" customHeight="1" x14ac:dyDescent="0.45">
      <c r="C2443" s="397"/>
      <c r="D2443" s="434"/>
      <c r="E2443" s="434"/>
      <c r="F2443" s="434"/>
      <c r="G2443" s="434"/>
      <c r="H2443" s="434"/>
      <c r="I2443" s="434"/>
      <c r="J2443" s="449"/>
      <c r="K2443" s="292"/>
      <c r="L2443" s="292"/>
      <c r="M2443" s="296"/>
      <c r="N2443" s="296"/>
      <c r="O2443" s="296"/>
      <c r="P2443" s="295"/>
    </row>
    <row r="2444" spans="3:26" ht="36" customHeight="1" x14ac:dyDescent="0.45">
      <c r="D2444" s="446" t="str">
        <f>IF((Y2444+Z2444)=3,"Operating profit/(loss) for the year",(IF((Y2444+Z2444=4),"Operating profit for the year","Operating loss for the year")))</f>
        <v>Operating profit for the year</v>
      </c>
      <c r="E2444" s="434"/>
      <c r="F2444" s="434"/>
      <c r="G2444" s="434"/>
      <c r="H2444" s="434"/>
      <c r="I2444" s="434"/>
      <c r="J2444" s="449"/>
      <c r="K2444" s="292">
        <f>B958</f>
        <v>5</v>
      </c>
      <c r="L2444" s="292"/>
      <c r="M2444" s="296">
        <f>SUM(S2317:S2441)</f>
        <v>0</v>
      </c>
      <c r="N2444" s="296"/>
      <c r="O2444" s="296">
        <f>SUM(U2317:U2441)</f>
        <v>0</v>
      </c>
      <c r="P2444" s="295"/>
      <c r="Y2444" s="331">
        <f>IF(M2444&lt;0,1,IF(M2444=0,IF(O2444&lt;0,1,2),2))</f>
        <v>2</v>
      </c>
      <c r="Z2444" s="331">
        <f>IF(O2444&lt;0,1,IF(O2444=0,IF(M2444&lt;0,1,2),2))</f>
        <v>2</v>
      </c>
    </row>
    <row r="2445" spans="3:26" ht="36" customHeight="1" x14ac:dyDescent="0.45">
      <c r="C2445" s="397"/>
      <c r="D2445" s="434"/>
      <c r="E2445" s="434"/>
      <c r="F2445" s="434"/>
      <c r="G2445" s="434"/>
      <c r="H2445" s="434"/>
      <c r="I2445" s="434"/>
      <c r="J2445" s="449"/>
      <c r="K2445" s="292"/>
      <c r="L2445" s="292"/>
      <c r="M2445" s="296"/>
      <c r="N2445" s="296"/>
      <c r="O2445" s="296"/>
      <c r="P2445" s="295"/>
    </row>
    <row r="2446" spans="3:26" ht="36" customHeight="1" x14ac:dyDescent="0.45">
      <c r="D2446" s="433" t="s">
        <v>191</v>
      </c>
      <c r="E2446" s="434"/>
      <c r="F2446" s="434"/>
      <c r="G2446" s="434"/>
      <c r="H2446" s="434"/>
      <c r="I2446" s="434"/>
      <c r="J2446" s="449"/>
      <c r="K2446" s="292">
        <f>B1072</f>
        <v>6</v>
      </c>
      <c r="L2446" s="292"/>
      <c r="M2446" s="296">
        <f>SUM(M2449:M2456)</f>
        <v>0</v>
      </c>
      <c r="N2446" s="296"/>
      <c r="O2446" s="296">
        <f>SUM(O2449:O2456)</f>
        <v>0</v>
      </c>
      <c r="P2446" s="295"/>
      <c r="R2446" s="348" t="str">
        <f>IF(M2446+O2446=0,"DELETE"," ")</f>
        <v>DELETE</v>
      </c>
      <c r="S2446" s="333">
        <f>M2446</f>
        <v>0</v>
      </c>
      <c r="T2446" s="333"/>
      <c r="U2446" s="333">
        <f>O2446</f>
        <v>0</v>
      </c>
      <c r="V2446" s="333"/>
      <c r="W2446" s="333"/>
      <c r="X2446" s="333"/>
    </row>
    <row r="2447" spans="3:26" ht="9" customHeight="1" x14ac:dyDescent="0.45">
      <c r="C2447" s="397"/>
      <c r="D2447" s="434"/>
      <c r="E2447" s="434"/>
      <c r="F2447" s="434"/>
      <c r="G2447" s="434"/>
      <c r="H2447" s="434"/>
      <c r="I2447" s="434"/>
      <c r="J2447" s="449"/>
      <c r="K2447" s="292"/>
      <c r="L2447" s="292"/>
      <c r="M2447" s="296"/>
      <c r="N2447" s="296"/>
      <c r="O2447" s="296"/>
      <c r="P2447" s="295"/>
      <c r="R2447" s="348" t="str">
        <f>R2446</f>
        <v>DELETE</v>
      </c>
    </row>
    <row r="2448" spans="3:26" ht="9" customHeight="1" x14ac:dyDescent="0.45">
      <c r="C2448" s="397"/>
      <c r="D2448" s="434"/>
      <c r="E2448" s="434"/>
      <c r="F2448" s="434"/>
      <c r="G2448" s="434"/>
      <c r="H2448" s="434"/>
      <c r="I2448" s="434"/>
      <c r="J2448" s="449"/>
      <c r="K2448" s="292"/>
      <c r="L2448" s="292"/>
      <c r="M2448" s="398"/>
      <c r="N2448" s="297"/>
      <c r="O2448" s="399"/>
      <c r="P2448" s="295"/>
      <c r="R2448" s="348" t="str">
        <f>R2447</f>
        <v>DELETE</v>
      </c>
    </row>
    <row r="2449" spans="3:26" ht="36" customHeight="1" x14ac:dyDescent="0.45">
      <c r="C2449" s="397"/>
      <c r="D2449" s="434" t="s">
        <v>189</v>
      </c>
      <c r="E2449" s="434"/>
      <c r="F2449" s="434"/>
      <c r="G2449" s="434"/>
      <c r="H2449" s="434"/>
      <c r="I2449" s="434"/>
      <c r="J2449" s="449"/>
      <c r="K2449" s="292"/>
      <c r="L2449" s="292"/>
      <c r="M2449" s="400">
        <f>-TrialBalance!L95</f>
        <v>0</v>
      </c>
      <c r="N2449" s="296"/>
      <c r="O2449" s="401">
        <f>-TrialBalance!N95</f>
        <v>0</v>
      </c>
      <c r="P2449" s="295"/>
      <c r="R2449" s="348" t="str">
        <f t="shared" ref="R2449:R2454" si="158">IF(M2449+O2449=0,"DELETE"," ")</f>
        <v>DELETE</v>
      </c>
    </row>
    <row r="2450" spans="3:26" ht="36" customHeight="1" x14ac:dyDescent="0.45">
      <c r="C2450" s="397"/>
      <c r="D2450" s="434" t="s">
        <v>496</v>
      </c>
      <c r="E2450" s="434"/>
      <c r="F2450" s="434"/>
      <c r="G2450" s="434"/>
      <c r="H2450" s="434"/>
      <c r="I2450" s="434"/>
      <c r="J2450" s="449"/>
      <c r="K2450" s="292"/>
      <c r="L2450" s="292"/>
      <c r="M2450" s="400">
        <f>-SUM(TrialBalance!L91:L93)</f>
        <v>0</v>
      </c>
      <c r="N2450" s="296"/>
      <c r="O2450" s="401">
        <f>-SUM(TrialBalance!N91:N93)</f>
        <v>0</v>
      </c>
      <c r="P2450" s="295"/>
      <c r="R2450" s="348" t="str">
        <f t="shared" si="158"/>
        <v>DELETE</v>
      </c>
    </row>
    <row r="2451" spans="3:26" ht="36" customHeight="1" x14ac:dyDescent="0.45">
      <c r="C2451" s="397"/>
      <c r="D2451" s="434" t="s">
        <v>497</v>
      </c>
      <c r="E2451" s="434"/>
      <c r="F2451" s="434"/>
      <c r="G2451" s="434"/>
      <c r="H2451" s="434"/>
      <c r="I2451" s="434"/>
      <c r="J2451" s="449"/>
      <c r="K2451" s="292"/>
      <c r="L2451" s="292"/>
      <c r="M2451" s="417">
        <f>-SUM(TrialBalance!L86:L89)</f>
        <v>0</v>
      </c>
      <c r="N2451" s="302"/>
      <c r="O2451" s="418">
        <f>-SUM(TrialBalance!N86:N89)</f>
        <v>0</v>
      </c>
      <c r="P2451" s="295"/>
      <c r="R2451" s="348" t="str">
        <f t="shared" si="158"/>
        <v>DELETE</v>
      </c>
    </row>
    <row r="2452" spans="3:26" ht="36" customHeight="1" x14ac:dyDescent="0.45">
      <c r="C2452" s="397"/>
      <c r="D2452" s="434" t="s">
        <v>191</v>
      </c>
      <c r="E2452" s="434"/>
      <c r="F2452" s="434"/>
      <c r="G2452" s="434"/>
      <c r="H2452" s="434"/>
      <c r="I2452" s="434"/>
      <c r="J2452" s="449"/>
      <c r="K2452" s="292"/>
      <c r="L2452" s="292"/>
      <c r="M2452" s="417">
        <f>-SUM(TrialBalance!L96)</f>
        <v>0</v>
      </c>
      <c r="N2452" s="302"/>
      <c r="O2452" s="418">
        <f>-TrialBalance!N96</f>
        <v>0</v>
      </c>
      <c r="P2452" s="295"/>
      <c r="R2452" s="348" t="str">
        <f t="shared" si="158"/>
        <v>DELETE</v>
      </c>
    </row>
    <row r="2453" spans="3:26" ht="36" customHeight="1" x14ac:dyDescent="0.45">
      <c r="C2453" s="397"/>
      <c r="D2453" s="434" t="s">
        <v>513</v>
      </c>
      <c r="E2453" s="434"/>
      <c r="F2453" s="434"/>
      <c r="G2453" s="434"/>
      <c r="H2453" s="434"/>
      <c r="I2453" s="434"/>
      <c r="J2453" s="449"/>
      <c r="K2453" s="292"/>
      <c r="L2453" s="292"/>
      <c r="M2453" s="400">
        <f>IF(TrialBalance!L94&lt;0,-TrialBalance!L94,0)</f>
        <v>0</v>
      </c>
      <c r="N2453" s="296"/>
      <c r="O2453" s="401">
        <f>IF(TrialBalance!N94&lt;0,-TrialBalance!N94,0)</f>
        <v>0</v>
      </c>
      <c r="P2453" s="295"/>
      <c r="R2453" s="348" t="str">
        <f t="shared" si="158"/>
        <v>DELETE</v>
      </c>
    </row>
    <row r="2454" spans="3:26" ht="36" customHeight="1" x14ac:dyDescent="0.45">
      <c r="C2454" s="397"/>
      <c r="D2454" s="434" t="s">
        <v>334</v>
      </c>
      <c r="E2454" s="434"/>
      <c r="F2454" s="434"/>
      <c r="G2454" s="434"/>
      <c r="H2454" s="434"/>
      <c r="I2454" s="434"/>
      <c r="J2454" s="449"/>
      <c r="K2454" s="292"/>
      <c r="L2454" s="292"/>
      <c r="M2454" s="400">
        <f>-TrialBalance!L84</f>
        <v>0</v>
      </c>
      <c r="N2454" s="296"/>
      <c r="O2454" s="401">
        <f>-TrialBalance!N84</f>
        <v>0</v>
      </c>
      <c r="P2454" s="295"/>
      <c r="R2454" s="348" t="str">
        <f t="shared" si="158"/>
        <v>DELETE</v>
      </c>
    </row>
    <row r="2455" spans="3:26" ht="36" customHeight="1" x14ac:dyDescent="0.45">
      <c r="C2455" s="397"/>
      <c r="D2455" s="434" t="str">
        <f>TrialBalance!C97</f>
        <v>Revaluation of investment property</v>
      </c>
      <c r="E2455" s="434"/>
      <c r="F2455" s="434"/>
      <c r="G2455" s="434"/>
      <c r="H2455" s="434"/>
      <c r="I2455" s="434"/>
      <c r="J2455" s="449"/>
      <c r="K2455" s="292"/>
      <c r="L2455" s="292"/>
      <c r="M2455" s="400">
        <f>-TrialBalance!L97</f>
        <v>0</v>
      </c>
      <c r="N2455" s="296"/>
      <c r="O2455" s="401">
        <f>-TrialBalance!N97</f>
        <v>0</v>
      </c>
      <c r="P2455" s="295"/>
      <c r="R2455" s="348" t="str">
        <f>IF(M2455+O2455=0,"DELETE"," ")</f>
        <v>DELETE</v>
      </c>
    </row>
    <row r="2456" spans="3:26" ht="9" customHeight="1" x14ac:dyDescent="0.45">
      <c r="C2456" s="397"/>
      <c r="D2456" s="434"/>
      <c r="E2456" s="434"/>
      <c r="F2456" s="434"/>
      <c r="G2456" s="434"/>
      <c r="H2456" s="434"/>
      <c r="I2456" s="434"/>
      <c r="J2456" s="449"/>
      <c r="K2456" s="292"/>
      <c r="L2456" s="292"/>
      <c r="M2456" s="402"/>
      <c r="N2456" s="298"/>
      <c r="O2456" s="403"/>
      <c r="P2456" s="295"/>
      <c r="R2456" s="348" t="str">
        <f>R2446</f>
        <v>DELETE</v>
      </c>
    </row>
    <row r="2457" spans="3:26" ht="9" customHeight="1" x14ac:dyDescent="0.45">
      <c r="C2457" s="397"/>
      <c r="D2457" s="434"/>
      <c r="E2457" s="434"/>
      <c r="F2457" s="434"/>
      <c r="G2457" s="434"/>
      <c r="H2457" s="434"/>
      <c r="I2457" s="434"/>
      <c r="J2457" s="449"/>
      <c r="K2457" s="292"/>
      <c r="L2457" s="292"/>
      <c r="M2457" s="298"/>
      <c r="N2457" s="298"/>
      <c r="O2457" s="298"/>
      <c r="P2457" s="295"/>
      <c r="R2457" s="348" t="str">
        <f>R2456</f>
        <v>DELETE</v>
      </c>
    </row>
    <row r="2458" spans="3:26" ht="9" customHeight="1" x14ac:dyDescent="0.45">
      <c r="C2458" s="397"/>
      <c r="D2458" s="434"/>
      <c r="E2458" s="434"/>
      <c r="F2458" s="434"/>
      <c r="G2458" s="434"/>
      <c r="H2458" s="434"/>
      <c r="I2458" s="434"/>
      <c r="J2458" s="449"/>
      <c r="K2458" s="292"/>
      <c r="L2458" s="292"/>
      <c r="M2458" s="296"/>
      <c r="N2458" s="296"/>
      <c r="O2458" s="296"/>
      <c r="P2458" s="295"/>
      <c r="R2458" s="348" t="str">
        <f>R2457</f>
        <v>DELETE</v>
      </c>
    </row>
    <row r="2459" spans="3:26" ht="36" customHeight="1" x14ac:dyDescent="0.45">
      <c r="C2459" s="397"/>
      <c r="D2459" s="434"/>
      <c r="E2459" s="434"/>
      <c r="F2459" s="434"/>
      <c r="G2459" s="434"/>
      <c r="H2459" s="434"/>
      <c r="I2459" s="434"/>
      <c r="J2459" s="449"/>
      <c r="K2459" s="292"/>
      <c r="L2459" s="292"/>
      <c r="M2459" s="296">
        <f>SUM(S2317:S2456)</f>
        <v>0</v>
      </c>
      <c r="N2459" s="296"/>
      <c r="O2459" s="296">
        <f>SUM(U2317:U2456)</f>
        <v>0</v>
      </c>
      <c r="P2459" s="295"/>
      <c r="R2459" s="348" t="str">
        <f>R2458</f>
        <v>DELETE</v>
      </c>
    </row>
    <row r="2460" spans="3:26" ht="36" customHeight="1" x14ac:dyDescent="0.45">
      <c r="C2460" s="397"/>
      <c r="D2460" s="434"/>
      <c r="E2460" s="434"/>
      <c r="F2460" s="434"/>
      <c r="G2460" s="434"/>
      <c r="H2460" s="434"/>
      <c r="I2460" s="434"/>
      <c r="J2460" s="449"/>
      <c r="K2460" s="292"/>
      <c r="L2460" s="292"/>
      <c r="M2460" s="296"/>
      <c r="N2460" s="296"/>
      <c r="O2460" s="296"/>
      <c r="P2460" s="295"/>
      <c r="R2460" s="348" t="str">
        <f>R2459</f>
        <v>DELETE</v>
      </c>
    </row>
    <row r="2461" spans="3:26" ht="36" customHeight="1" x14ac:dyDescent="0.45">
      <c r="D2461" s="434" t="s">
        <v>1077</v>
      </c>
      <c r="E2461" s="434"/>
      <c r="F2461" s="434"/>
      <c r="G2461" s="434"/>
      <c r="H2461" s="434"/>
      <c r="I2461" s="434"/>
      <c r="J2461" s="449"/>
      <c r="K2461" s="292">
        <f>B1132</f>
        <v>7</v>
      </c>
      <c r="L2461" s="292"/>
      <c r="M2461" s="296">
        <f>SUM(TrialBalance!L144:L154)</f>
        <v>0</v>
      </c>
      <c r="N2461" s="296"/>
      <c r="O2461" s="296">
        <f>SUM(TrialBalance!N144:N154)</f>
        <v>0</v>
      </c>
      <c r="P2461" s="295"/>
      <c r="R2461" s="348" t="str">
        <f>IF(M2461+O2461=0,"DELETE"," ")</f>
        <v>DELETE</v>
      </c>
      <c r="S2461" s="333">
        <f>-M2461</f>
        <v>0</v>
      </c>
      <c r="T2461" s="333"/>
      <c r="U2461" s="333">
        <f>-O2461</f>
        <v>0</v>
      </c>
      <c r="V2461" s="333"/>
      <c r="W2461" s="333"/>
      <c r="X2461" s="333"/>
    </row>
    <row r="2462" spans="3:26" ht="9" customHeight="1" x14ac:dyDescent="0.45">
      <c r="C2462" s="397"/>
      <c r="D2462" s="434"/>
      <c r="E2462" s="434"/>
      <c r="F2462" s="434"/>
      <c r="G2462" s="434"/>
      <c r="H2462" s="434"/>
      <c r="I2462" s="434"/>
      <c r="J2462" s="449"/>
      <c r="K2462" s="292"/>
      <c r="L2462" s="292"/>
      <c r="M2462" s="298"/>
      <c r="N2462" s="298"/>
      <c r="O2462" s="298"/>
      <c r="P2462" s="295"/>
    </row>
    <row r="2463" spans="3:26" ht="9" customHeight="1" x14ac:dyDescent="0.45">
      <c r="C2463" s="397"/>
      <c r="D2463" s="434"/>
      <c r="E2463" s="434"/>
      <c r="F2463" s="434"/>
      <c r="G2463" s="434"/>
      <c r="H2463" s="434"/>
      <c r="I2463" s="434"/>
      <c r="J2463" s="449"/>
      <c r="K2463" s="292"/>
      <c r="L2463" s="292"/>
      <c r="M2463" s="296"/>
      <c r="N2463" s="296"/>
      <c r="O2463" s="296"/>
      <c r="P2463" s="295"/>
    </row>
    <row r="2464" spans="3:26" ht="36" customHeight="1" x14ac:dyDescent="0.45">
      <c r="D2464" s="446" t="str">
        <f>IF((Y2464+Z2464)=3,"Profit/(Loss) before taxation",(IF((Y2464+Z2464=4),"Profit before taxation","Loss before taxation")))</f>
        <v>Profit before taxation</v>
      </c>
      <c r="E2464" s="434"/>
      <c r="F2464" s="434"/>
      <c r="G2464" s="434"/>
      <c r="H2464" s="434"/>
      <c r="I2464" s="434"/>
      <c r="J2464" s="449"/>
      <c r="K2464" s="292"/>
      <c r="L2464" s="292"/>
      <c r="M2464" s="296">
        <f>SUM(S2317:S2463)</f>
        <v>0</v>
      </c>
      <c r="N2464" s="296"/>
      <c r="O2464" s="296">
        <f>SUM(U2317:U2463)</f>
        <v>0</v>
      </c>
      <c r="P2464" s="295"/>
      <c r="Y2464" s="331">
        <f>IF(M2464&lt;0,1,IF(M2464=0,IF(O2464&lt;0,1,2),2))</f>
        <v>2</v>
      </c>
      <c r="Z2464" s="331">
        <f>IF(O2464&lt;0,1,IF(O2464=0,IF(M2464&lt;0,1,2),2))</f>
        <v>2</v>
      </c>
    </row>
    <row r="2465" spans="3:26" ht="36" customHeight="1" x14ac:dyDescent="0.45">
      <c r="C2465" s="448"/>
      <c r="D2465" s="434"/>
      <c r="E2465" s="434"/>
      <c r="F2465" s="434"/>
      <c r="G2465" s="434"/>
      <c r="H2465" s="434"/>
      <c r="I2465" s="434"/>
      <c r="J2465" s="449"/>
      <c r="K2465" s="292"/>
      <c r="L2465" s="292"/>
      <c r="M2465" s="296"/>
      <c r="N2465" s="296"/>
      <c r="O2465" s="296"/>
      <c r="P2465" s="295"/>
    </row>
    <row r="2466" spans="3:26" ht="36" customHeight="1" x14ac:dyDescent="0.45">
      <c r="D2466" s="446" t="s">
        <v>1078</v>
      </c>
      <c r="E2466" s="434"/>
      <c r="F2466" s="434"/>
      <c r="G2466" s="434"/>
      <c r="H2466" s="434"/>
      <c r="I2466" s="434"/>
      <c r="J2466" s="449"/>
      <c r="K2466" s="292"/>
      <c r="L2466" s="292"/>
      <c r="M2466" s="296"/>
      <c r="N2466" s="296"/>
      <c r="O2466" s="296"/>
      <c r="P2466" s="295"/>
      <c r="R2466" s="348" t="str">
        <f>IF(COUNTIF(M2467:M2469,"=0")=3,IF(COUNTIF(O2467:O2469,"=0")=3,"DELETE"," ")," ")</f>
        <v>DELETE</v>
      </c>
    </row>
    <row r="2467" spans="3:26" ht="36" customHeight="1" x14ac:dyDescent="0.45">
      <c r="C2467" s="448"/>
      <c r="D2467" s="443" t="str">
        <f>IF((Y2467+Z2467)=3,CONCATENATE("Net profit/(loss) - ",Criteria!H14),(IF((Y2467+Z2467=4),CONCATENATE("Net profit - ",Criteria!H14),CONCATENATE("Net loss - ",Criteria!H14))))</f>
        <v>Net profit - Subsidiary One 111 (Pty) Ltd</v>
      </c>
      <c r="E2467" s="434"/>
      <c r="F2467" s="434"/>
      <c r="G2467" s="434"/>
      <c r="H2467" s="434"/>
      <c r="I2467" s="434"/>
      <c r="J2467" s="434"/>
      <c r="K2467" s="345" t="s">
        <v>604</v>
      </c>
      <c r="M2467" s="296">
        <f>-SUM(TrialBalanceA!I5:I156)</f>
        <v>0</v>
      </c>
      <c r="N2467" s="296"/>
      <c r="O2467" s="296">
        <f>-SUM(TrialBalanceA!K5:K156)</f>
        <v>0</v>
      </c>
      <c r="R2467" s="348" t="str">
        <f>IF(M2467=0,IF(O2467=0,"DELETE"," ")," ")</f>
        <v>DELETE</v>
      </c>
      <c r="S2467" s="333">
        <f>M2467</f>
        <v>0</v>
      </c>
      <c r="U2467" s="333">
        <f>O2467</f>
        <v>0</v>
      </c>
      <c r="Y2467" s="331">
        <f>IF(M2467&lt;0,1,IF(M2467=0,IF(O2467&lt;0,1,2),2))</f>
        <v>2</v>
      </c>
      <c r="Z2467" s="331">
        <f>IF(O2467&lt;0,1,IF(O2467=0,IF(M2467&lt;0,1,2),2))</f>
        <v>2</v>
      </c>
    </row>
    <row r="2468" spans="3:26" ht="36" customHeight="1" x14ac:dyDescent="0.45">
      <c r="C2468" s="448"/>
      <c r="D2468" s="443" t="str">
        <f>IF((Y2468+Z2468)=3,CONCATENATE("Net profit/(loss) - ",Criteria!H15),(IF((Y2468+Z2468=4),CONCATENATE("Net profit - ",Criteria!H15),CONCATENATE("Net loss - ",Criteria!H15))))</f>
        <v>Net profit - Subsidiary Two 15 (Pty) Ltd</v>
      </c>
      <c r="E2468" s="434"/>
      <c r="F2468" s="434"/>
      <c r="G2468" s="434"/>
      <c r="H2468" s="434"/>
      <c r="I2468" s="434"/>
      <c r="J2468" s="434"/>
      <c r="K2468" s="345" t="s">
        <v>605</v>
      </c>
      <c r="M2468" s="296">
        <f>-SUM(TrialBalanceB!I5:I156)</f>
        <v>0</v>
      </c>
      <c r="N2468" s="296"/>
      <c r="O2468" s="296">
        <f>-SUM(TrialBalanceB!K5:K156)</f>
        <v>0</v>
      </c>
      <c r="R2468" s="348" t="str">
        <f t="shared" ref="R2468:R2469" si="159">IF(M2468=0,IF(O2468=0,"DELETE"," ")," ")</f>
        <v>DELETE</v>
      </c>
      <c r="S2468" s="333">
        <f t="shared" ref="S2468:S2469" si="160">M2468</f>
        <v>0</v>
      </c>
      <c r="U2468" s="333">
        <f t="shared" ref="U2468:U2469" si="161">O2468</f>
        <v>0</v>
      </c>
      <c r="Y2468" s="331">
        <f t="shared" ref="Y2468:Y2469" si="162">IF(M2468&lt;0,1,IF(M2468=0,IF(O2468&lt;0,1,2),2))</f>
        <v>2</v>
      </c>
      <c r="Z2468" s="331">
        <f t="shared" ref="Z2468:Z2469" si="163">IF(O2468&lt;0,1,IF(O2468=0,IF(M2468&lt;0,1,2),2))</f>
        <v>2</v>
      </c>
    </row>
    <row r="2469" spans="3:26" ht="36" customHeight="1" x14ac:dyDescent="0.45">
      <c r="C2469" s="448"/>
      <c r="D2469" s="443" t="str">
        <f>IF((Y2469+Z2469)=3,CONCATENATE("Net profit/(loss) - ",Criteria!H16),(IF((Y2469+Z2469=4),CONCATENATE("Net profit - ",Criteria!H16),CONCATENATE("Net loss - ",Criteria!H16))))</f>
        <v xml:space="preserve">Net profit - </v>
      </c>
      <c r="E2469" s="434"/>
      <c r="F2469" s="434"/>
      <c r="G2469" s="434"/>
      <c r="H2469" s="434"/>
      <c r="I2469" s="434"/>
      <c r="J2469" s="434"/>
      <c r="K2469" s="345" t="s">
        <v>606</v>
      </c>
      <c r="M2469" s="296">
        <f>-SUM(TrialBalanceC!I5:I156)</f>
        <v>0</v>
      </c>
      <c r="N2469" s="296"/>
      <c r="O2469" s="296">
        <f>-SUM(TrialBalanceC!K5:K156)</f>
        <v>0</v>
      </c>
      <c r="R2469" s="348" t="str">
        <f t="shared" si="159"/>
        <v>DELETE</v>
      </c>
      <c r="S2469" s="333">
        <f t="shared" si="160"/>
        <v>0</v>
      </c>
      <c r="U2469" s="333">
        <f t="shared" si="161"/>
        <v>0</v>
      </c>
      <c r="Y2469" s="331">
        <f t="shared" si="162"/>
        <v>2</v>
      </c>
      <c r="Z2469" s="331">
        <f t="shared" si="163"/>
        <v>2</v>
      </c>
    </row>
    <row r="2470" spans="3:26" ht="9" customHeight="1" x14ac:dyDescent="0.45">
      <c r="C2470" s="448"/>
      <c r="D2470" s="434"/>
      <c r="E2470" s="434"/>
      <c r="F2470" s="434"/>
      <c r="G2470" s="434"/>
      <c r="H2470" s="434"/>
      <c r="I2470" s="434"/>
      <c r="J2470" s="449"/>
      <c r="K2470" s="292"/>
      <c r="L2470" s="292"/>
      <c r="M2470" s="298"/>
      <c r="N2470" s="298"/>
      <c r="O2470" s="298"/>
      <c r="P2470" s="295"/>
      <c r="R2470" s="348" t="str">
        <f>R2472</f>
        <v>DELETE</v>
      </c>
    </row>
    <row r="2471" spans="3:26" ht="9" customHeight="1" x14ac:dyDescent="0.45">
      <c r="C2471" s="448"/>
      <c r="D2471" s="434"/>
      <c r="E2471" s="434"/>
      <c r="F2471" s="434"/>
      <c r="G2471" s="434"/>
      <c r="H2471" s="434"/>
      <c r="I2471" s="434"/>
      <c r="J2471" s="449"/>
      <c r="K2471" s="292"/>
      <c r="L2471" s="292"/>
      <c r="M2471" s="296"/>
      <c r="N2471" s="296"/>
      <c r="O2471" s="296"/>
      <c r="P2471" s="295"/>
      <c r="R2471" s="348" t="str">
        <f>R2472</f>
        <v>DELETE</v>
      </c>
    </row>
    <row r="2472" spans="3:26" ht="36" customHeight="1" x14ac:dyDescent="0.45">
      <c r="C2472" s="448"/>
      <c r="D2472" s="434"/>
      <c r="E2472" s="434"/>
      <c r="F2472" s="434"/>
      <c r="G2472" s="434"/>
      <c r="H2472" s="434"/>
      <c r="I2472" s="434"/>
      <c r="J2472" s="449"/>
      <c r="K2472" s="292"/>
      <c r="L2472" s="292"/>
      <c r="M2472" s="296">
        <f>SUM(S2317:S2470)</f>
        <v>0</v>
      </c>
      <c r="N2472" s="296"/>
      <c r="O2472" s="296">
        <f>SUM(U2317:U2470)</f>
        <v>0</v>
      </c>
      <c r="P2472" s="295"/>
      <c r="R2472" s="348" t="str">
        <f>R2466</f>
        <v>DELETE</v>
      </c>
    </row>
    <row r="2473" spans="3:26" ht="36" customHeight="1" x14ac:dyDescent="0.45">
      <c r="C2473" s="397"/>
      <c r="D2473" s="434"/>
      <c r="E2473" s="434"/>
      <c r="F2473" s="434"/>
      <c r="G2473" s="434"/>
      <c r="H2473" s="434"/>
      <c r="I2473" s="434"/>
      <c r="J2473" s="449"/>
      <c r="K2473" s="292"/>
      <c r="L2473" s="292"/>
      <c r="M2473" s="296"/>
      <c r="N2473" s="296"/>
      <c r="O2473" s="296"/>
      <c r="P2473" s="295"/>
      <c r="R2473" s="348" t="str">
        <f>R2472</f>
        <v>DELETE</v>
      </c>
      <c r="V2473" s="334"/>
      <c r="W2473" s="334"/>
      <c r="X2473" s="334"/>
    </row>
    <row r="2474" spans="3:26" ht="36" customHeight="1" x14ac:dyDescent="0.45">
      <c r="D2474" s="434" t="s">
        <v>1079</v>
      </c>
      <c r="E2474" s="434"/>
      <c r="F2474" s="434"/>
      <c r="G2474" s="434"/>
      <c r="H2474" s="434"/>
      <c r="I2474" s="434"/>
      <c r="J2474" s="449"/>
      <c r="K2474" s="292"/>
      <c r="L2474" s="292"/>
      <c r="M2474" s="296">
        <f>SUM(TrialBalance!L158:L163)</f>
        <v>0</v>
      </c>
      <c r="N2474" s="296"/>
      <c r="O2474" s="296">
        <f>SUM(TrialBalance!N158:N163)</f>
        <v>0</v>
      </c>
      <c r="P2474" s="295"/>
      <c r="S2474" s="333">
        <f>-M2474</f>
        <v>0</v>
      </c>
      <c r="T2474" s="333"/>
      <c r="U2474" s="333">
        <f>-O2474</f>
        <v>0</v>
      </c>
    </row>
    <row r="2475" spans="3:26" ht="9" customHeight="1" x14ac:dyDescent="0.45">
      <c r="C2475" s="397"/>
      <c r="D2475" s="434"/>
      <c r="E2475" s="434"/>
      <c r="F2475" s="434"/>
      <c r="G2475" s="434"/>
      <c r="H2475" s="434"/>
      <c r="I2475" s="434"/>
      <c r="J2475" s="449"/>
      <c r="K2475" s="292"/>
      <c r="L2475" s="292"/>
      <c r="M2475" s="298"/>
      <c r="N2475" s="298"/>
      <c r="O2475" s="298"/>
      <c r="P2475" s="295"/>
    </row>
    <row r="2476" spans="3:26" ht="9" customHeight="1" x14ac:dyDescent="0.45">
      <c r="C2476" s="397"/>
      <c r="D2476" s="434"/>
      <c r="E2476" s="434"/>
      <c r="F2476" s="434"/>
      <c r="G2476" s="434"/>
      <c r="H2476" s="434"/>
      <c r="I2476" s="434"/>
      <c r="J2476" s="449"/>
      <c r="K2476" s="292"/>
      <c r="L2476" s="292"/>
      <c r="M2476" s="296"/>
      <c r="N2476" s="296"/>
      <c r="O2476" s="296"/>
      <c r="P2476" s="295"/>
    </row>
    <row r="2477" spans="3:26" ht="36.75" customHeight="1" x14ac:dyDescent="0.45">
      <c r="D2477" s="446" t="str">
        <f>IF((Y2477+Z2477)=3,"Net profit/(loss) for the year after taxation",(IF((Y2477+Z2477=4),"Net profit for the year after taxation","Net loss for the year after taxation")))</f>
        <v>Net profit for the year after taxation</v>
      </c>
      <c r="E2477" s="434"/>
      <c r="F2477" s="434"/>
      <c r="G2477" s="434"/>
      <c r="H2477" s="434"/>
      <c r="I2477" s="434"/>
      <c r="J2477" s="449"/>
      <c r="K2477" s="292"/>
      <c r="L2477" s="292"/>
      <c r="M2477" s="296">
        <f>SUM(S2317:S2475)</f>
        <v>0</v>
      </c>
      <c r="N2477" s="296"/>
      <c r="O2477" s="296">
        <f>SUM(U2317:U2475)</f>
        <v>0</v>
      </c>
      <c r="P2477" s="295"/>
      <c r="V2477" s="336" t="b">
        <f>-SUM(TrialBalance!L5:L163)=FS!M2477</f>
        <v>1</v>
      </c>
      <c r="X2477" s="331" t="b">
        <f>-SUM(TrialBalance!N5:N163)=FS!O2477</f>
        <v>1</v>
      </c>
      <c r="Y2477" s="331">
        <f>IF(M2477&lt;0,1,IF(M2477=0,IF(O2477&lt;0,1,2),2))</f>
        <v>2</v>
      </c>
      <c r="Z2477" s="331">
        <f>IF(O2477&lt;0,1,IF(O2477=0,IF(M2477&lt;0,1,2),2))</f>
        <v>2</v>
      </c>
    </row>
    <row r="2478" spans="3:26" ht="9" customHeight="1" thickBot="1" x14ac:dyDescent="0.5">
      <c r="C2478" s="397"/>
      <c r="D2478" s="434"/>
      <c r="E2478" s="434"/>
      <c r="F2478" s="434"/>
      <c r="G2478" s="434"/>
      <c r="H2478" s="434"/>
      <c r="I2478" s="434"/>
      <c r="J2478" s="449"/>
      <c r="K2478" s="292"/>
      <c r="L2478" s="292"/>
      <c r="M2478" s="299"/>
      <c r="N2478" s="299"/>
      <c r="O2478" s="299"/>
      <c r="P2478" s="295"/>
    </row>
    <row r="2479" spans="3:26" ht="9" customHeight="1" thickTop="1" x14ac:dyDescent="0.45">
      <c r="C2479" s="397"/>
      <c r="D2479" s="434"/>
      <c r="E2479" s="434"/>
      <c r="F2479" s="434"/>
      <c r="G2479" s="434"/>
      <c r="H2479" s="434"/>
      <c r="I2479" s="434"/>
      <c r="J2479" s="449"/>
      <c r="K2479" s="292"/>
      <c r="L2479" s="292"/>
      <c r="M2479" s="296"/>
      <c r="N2479" s="296"/>
      <c r="O2479" s="296"/>
      <c r="P2479" s="295"/>
    </row>
    <row r="2480" spans="3:26" ht="36" customHeight="1" x14ac:dyDescent="0.45">
      <c r="C2480" s="397"/>
      <c r="D2480" s="434"/>
      <c r="E2480" s="434"/>
      <c r="F2480" s="434"/>
      <c r="G2480" s="434"/>
      <c r="H2480" s="434"/>
      <c r="I2480" s="434"/>
      <c r="J2480" s="449"/>
      <c r="K2480" s="292"/>
      <c r="L2480" s="292"/>
      <c r="M2480" s="296"/>
      <c r="N2480" s="296"/>
      <c r="O2480" s="296"/>
      <c r="P2480" s="295"/>
    </row>
    <row r="2481" spans="3:26" ht="36" customHeight="1" x14ac:dyDescent="0.5">
      <c r="C2481" s="353"/>
      <c r="D2481" s="434"/>
      <c r="E2481" s="434"/>
      <c r="F2481" s="434"/>
      <c r="G2481" s="434"/>
      <c r="H2481" s="434"/>
      <c r="I2481" s="434"/>
      <c r="J2481" s="434"/>
      <c r="M2481" s="371"/>
      <c r="N2481" s="371"/>
      <c r="O2481" s="371"/>
      <c r="P2481" s="356"/>
    </row>
    <row r="2482" spans="3:26" ht="36" customHeight="1" x14ac:dyDescent="0.5">
      <c r="C2482" s="353"/>
      <c r="D2482" s="434"/>
      <c r="E2482" s="434"/>
      <c r="F2482" s="434"/>
      <c r="G2482" s="434"/>
      <c r="H2482" s="434"/>
      <c r="I2482" s="434"/>
      <c r="J2482" s="434"/>
      <c r="M2482" s="351"/>
      <c r="N2482" s="351"/>
      <c r="O2482" s="351"/>
    </row>
    <row r="2483" spans="3:26" ht="36" customHeight="1" x14ac:dyDescent="0.5">
      <c r="C2483" s="353"/>
      <c r="D2483" s="434"/>
      <c r="E2483" s="434"/>
      <c r="F2483" s="434"/>
      <c r="G2483" s="434"/>
      <c r="H2483" s="434"/>
      <c r="I2483" s="434"/>
      <c r="J2483" s="434"/>
      <c r="M2483" s="351"/>
      <c r="N2483" s="351"/>
      <c r="O2483" s="296" t="s">
        <v>89</v>
      </c>
      <c r="Q2483" s="292">
        <v>1</v>
      </c>
      <c r="R2483" s="348" t="str">
        <f>IF(SUM(U2495:U2497)+SUM(U2515:U2522)+SUM(U2623:U2633)+O2641=0,"DELETE",IF(SUM(S2495:S2497)+SUM(U2495:U2497)+SUM(S2515:S2522)+SUM(U2515:U2522)+SUM(S2623:S2633)+SUM(U2623:U2633)+M2641+O2641=0,"DELETE"," "))</f>
        <v>DELETE</v>
      </c>
      <c r="T2483" s="334"/>
      <c r="V2483" s="335"/>
      <c r="W2483" s="335"/>
      <c r="X2483" s="335"/>
      <c r="Y2483" s="334"/>
    </row>
    <row r="2484" spans="3:26" ht="36" customHeight="1" x14ac:dyDescent="0.5">
      <c r="C2484" s="353"/>
      <c r="D2484" s="433" t="s">
        <v>491</v>
      </c>
      <c r="E2484" s="434"/>
      <c r="F2484" s="434"/>
      <c r="G2484" s="434"/>
      <c r="H2484" s="434"/>
      <c r="I2484" s="434"/>
      <c r="J2484" s="434"/>
      <c r="M2484" s="351"/>
      <c r="N2484" s="351"/>
      <c r="O2484" s="351"/>
      <c r="R2484" s="348" t="str">
        <f t="shared" ref="R2484:R2494" si="164">R$2483</f>
        <v>DELETE</v>
      </c>
      <c r="T2484" s="334"/>
      <c r="V2484" s="332"/>
      <c r="X2484" s="332"/>
      <c r="Z2484" s="332"/>
    </row>
    <row r="2485" spans="3:26" ht="36" customHeight="1" x14ac:dyDescent="0.5">
      <c r="C2485" s="353"/>
      <c r="D2485" s="434"/>
      <c r="E2485" s="434"/>
      <c r="F2485" s="434"/>
      <c r="G2485" s="434"/>
      <c r="H2485" s="434"/>
      <c r="I2485" s="434"/>
      <c r="J2485" s="434"/>
      <c r="M2485" s="351"/>
      <c r="N2485" s="351"/>
      <c r="O2485" s="351"/>
      <c r="R2485" s="348" t="str">
        <f t="shared" si="164"/>
        <v>DELETE</v>
      </c>
      <c r="T2485" s="334"/>
    </row>
    <row r="2486" spans="3:26" ht="36" customHeight="1" x14ac:dyDescent="0.5">
      <c r="C2486" s="353"/>
      <c r="D2486" s="433" t="str">
        <f>Criteria!E14</f>
        <v>SUBSIDIARY ONE 111 (PTY) LTD</v>
      </c>
      <c r="E2486" s="434"/>
      <c r="F2486" s="434"/>
      <c r="G2486" s="434"/>
      <c r="H2486" s="434"/>
      <c r="I2486" s="434"/>
      <c r="J2486" s="434"/>
      <c r="M2486" s="351"/>
      <c r="N2486" s="351"/>
      <c r="O2486" s="347"/>
      <c r="R2486" s="348" t="str">
        <f t="shared" si="164"/>
        <v>DELETE</v>
      </c>
      <c r="T2486" s="334"/>
    </row>
    <row r="2487" spans="3:26" ht="36" customHeight="1" x14ac:dyDescent="0.5">
      <c r="C2487" s="353"/>
      <c r="D2487" s="438"/>
      <c r="E2487" s="434"/>
      <c r="F2487" s="434"/>
      <c r="G2487" s="434"/>
      <c r="H2487" s="434"/>
      <c r="I2487" s="434"/>
      <c r="J2487" s="434"/>
      <c r="M2487" s="351"/>
      <c r="N2487" s="351"/>
      <c r="O2487" s="351"/>
      <c r="R2487" s="348" t="str">
        <f t="shared" si="164"/>
        <v>DELETE</v>
      </c>
      <c r="T2487" s="334"/>
    </row>
    <row r="2488" spans="3:26" ht="36" customHeight="1" x14ac:dyDescent="0.5">
      <c r="C2488" s="353"/>
      <c r="D2488" s="434"/>
      <c r="E2488" s="434"/>
      <c r="F2488" s="434"/>
      <c r="G2488" s="434"/>
      <c r="H2488" s="434"/>
      <c r="I2488" s="434"/>
      <c r="J2488" s="434"/>
      <c r="M2488" s="351"/>
      <c r="N2488" s="351"/>
      <c r="O2488" s="351"/>
      <c r="R2488" s="348" t="str">
        <f t="shared" si="164"/>
        <v>DELETE</v>
      </c>
      <c r="T2488" s="334"/>
    </row>
    <row r="2489" spans="3:26" ht="36" customHeight="1" x14ac:dyDescent="0.5">
      <c r="C2489" s="353"/>
      <c r="D2489" s="433" t="s">
        <v>86</v>
      </c>
      <c r="E2489" s="434"/>
      <c r="F2489" s="434"/>
      <c r="G2489" s="434"/>
      <c r="H2489" s="434"/>
      <c r="I2489" s="434"/>
      <c r="J2489" s="434"/>
      <c r="M2489" s="351"/>
      <c r="N2489" s="351"/>
      <c r="O2489" s="351"/>
      <c r="R2489" s="348" t="str">
        <f t="shared" si="164"/>
        <v>DELETE</v>
      </c>
      <c r="T2489" s="334"/>
    </row>
    <row r="2490" spans="3:26" ht="36" customHeight="1" x14ac:dyDescent="0.5">
      <c r="C2490" s="353"/>
      <c r="D2490" s="433" t="str">
        <f>Criteria!E20</f>
        <v>28 FEBRUARY 2025</v>
      </c>
      <c r="E2490" s="434"/>
      <c r="F2490" s="434"/>
      <c r="G2490" s="434"/>
      <c r="H2490" s="434"/>
      <c r="I2490" s="434"/>
      <c r="J2490" s="434"/>
      <c r="M2490" s="351"/>
      <c r="N2490" s="351"/>
      <c r="O2490" s="351"/>
      <c r="R2490" s="348" t="str">
        <f t="shared" si="164"/>
        <v>DELETE</v>
      </c>
      <c r="T2490" s="334"/>
    </row>
    <row r="2491" spans="3:26" ht="36" customHeight="1" x14ac:dyDescent="0.5">
      <c r="C2491" s="353"/>
      <c r="D2491" s="434"/>
      <c r="E2491" s="434"/>
      <c r="F2491" s="434"/>
      <c r="G2491" s="434"/>
      <c r="H2491" s="434"/>
      <c r="I2491" s="434"/>
      <c r="J2491" s="434"/>
      <c r="M2491" s="351"/>
      <c r="N2491" s="351"/>
      <c r="O2491" s="351"/>
      <c r="R2491" s="348" t="str">
        <f t="shared" si="164"/>
        <v>DELETE</v>
      </c>
      <c r="T2491" s="334"/>
    </row>
    <row r="2492" spans="3:26" ht="36" customHeight="1" x14ac:dyDescent="0.5">
      <c r="C2492" s="353"/>
      <c r="D2492" s="444"/>
      <c r="E2492" s="444"/>
      <c r="F2492" s="444"/>
      <c r="G2492" s="444"/>
      <c r="H2492" s="444"/>
      <c r="I2492" s="444"/>
      <c r="J2492" s="444"/>
      <c r="K2492" s="364"/>
      <c r="L2492" s="364"/>
      <c r="M2492" s="378"/>
      <c r="N2492" s="378"/>
      <c r="O2492" s="378"/>
      <c r="P2492" s="367"/>
      <c r="Q2492" s="364"/>
      <c r="R2492" s="348" t="str">
        <f t="shared" si="164"/>
        <v>DELETE</v>
      </c>
      <c r="T2492" s="334"/>
    </row>
    <row r="2493" spans="3:26" ht="36" customHeight="1" x14ac:dyDescent="0.5">
      <c r="C2493" s="353"/>
      <c r="D2493" s="434"/>
      <c r="E2493" s="434"/>
      <c r="F2493" s="434"/>
      <c r="G2493" s="434"/>
      <c r="H2493" s="434"/>
      <c r="I2493" s="434"/>
      <c r="J2493" s="449"/>
      <c r="K2493" s="292" t="s">
        <v>1041</v>
      </c>
      <c r="L2493" s="292"/>
      <c r="M2493" s="294">
        <f>Criteria!E22</f>
        <v>2025</v>
      </c>
      <c r="N2493" s="294"/>
      <c r="O2493" s="294">
        <f>Criteria!E27</f>
        <v>2024</v>
      </c>
      <c r="P2493" s="295"/>
      <c r="R2493" s="348" t="str">
        <f t="shared" si="164"/>
        <v>DELETE</v>
      </c>
      <c r="T2493" s="334"/>
    </row>
    <row r="2494" spans="3:26" ht="36" customHeight="1" x14ac:dyDescent="0.5">
      <c r="C2494" s="353"/>
      <c r="D2494" s="434"/>
      <c r="E2494" s="434"/>
      <c r="F2494" s="434"/>
      <c r="G2494" s="434"/>
      <c r="H2494" s="434"/>
      <c r="I2494" s="434"/>
      <c r="J2494" s="449"/>
      <c r="K2494" s="292"/>
      <c r="L2494" s="292"/>
      <c r="M2494" s="296"/>
      <c r="N2494" s="296"/>
      <c r="O2494" s="296"/>
      <c r="P2494" s="295"/>
      <c r="R2494" s="348" t="str">
        <f t="shared" si="164"/>
        <v>DELETE</v>
      </c>
      <c r="T2494" s="334"/>
    </row>
    <row r="2495" spans="3:26" ht="36" customHeight="1" x14ac:dyDescent="0.45">
      <c r="D2495" s="433" t="s">
        <v>836</v>
      </c>
      <c r="E2495" s="434"/>
      <c r="F2495" s="434"/>
      <c r="G2495" s="434"/>
      <c r="H2495" s="434"/>
      <c r="I2495" s="434"/>
      <c r="J2495" s="449"/>
      <c r="K2495" s="292"/>
      <c r="L2495" s="292"/>
      <c r="M2495" s="296">
        <f>-SUM(TrialBalanceA!I5:I10)</f>
        <v>0</v>
      </c>
      <c r="N2495" s="296"/>
      <c r="O2495" s="296">
        <f>-SUM(TrialBalanceA!K5:K10)</f>
        <v>0</v>
      </c>
      <c r="P2495" s="295"/>
      <c r="R2495" s="348" t="str">
        <f>IF(R2483="DELETE","DELETE",IF(M2495+O2495=0,IF(M2497+O2497=0," ","DELETE")," "))</f>
        <v>DELETE</v>
      </c>
      <c r="S2495" s="333">
        <f>M2495</f>
        <v>0</v>
      </c>
      <c r="T2495" s="334"/>
      <c r="U2495" s="333">
        <f>O2495</f>
        <v>0</v>
      </c>
      <c r="V2495" s="333"/>
      <c r="W2495" s="333"/>
      <c r="X2495" s="333"/>
    </row>
    <row r="2496" spans="3:26" ht="36" customHeight="1" x14ac:dyDescent="0.45">
      <c r="D2496" s="433"/>
      <c r="E2496" s="434"/>
      <c r="F2496" s="434"/>
      <c r="G2496" s="434"/>
      <c r="H2496" s="434"/>
      <c r="I2496" s="434"/>
      <c r="J2496" s="449"/>
      <c r="K2496" s="292"/>
      <c r="L2496" s="292"/>
      <c r="M2496" s="296"/>
      <c r="N2496" s="296"/>
      <c r="O2496" s="296"/>
      <c r="P2496" s="295"/>
      <c r="R2496" s="348" t="str">
        <f>R2495</f>
        <v>DELETE</v>
      </c>
      <c r="S2496" s="333"/>
      <c r="T2496" s="334"/>
      <c r="U2496" s="333"/>
      <c r="V2496" s="333"/>
      <c r="W2496" s="333"/>
      <c r="X2496" s="333"/>
    </row>
    <row r="2497" spans="3:24" ht="36" customHeight="1" x14ac:dyDescent="0.45">
      <c r="D2497" s="433" t="s">
        <v>334</v>
      </c>
      <c r="E2497" s="434"/>
      <c r="F2497" s="434"/>
      <c r="G2497" s="434"/>
      <c r="H2497" s="434"/>
      <c r="I2497" s="434"/>
      <c r="J2497" s="449"/>
      <c r="K2497" s="292"/>
      <c r="L2497" s="292"/>
      <c r="M2497" s="296">
        <f>-TrialBalanceA!I11</f>
        <v>0</v>
      </c>
      <c r="N2497" s="296"/>
      <c r="O2497" s="296">
        <f>-TrialBalanceA!K11</f>
        <v>0</v>
      </c>
      <c r="P2497" s="295"/>
      <c r="R2497" s="348" t="str">
        <f>IF(R$2483="DELETE","DELETE",IF(M2497+O2497=0,"DELETE"," "))</f>
        <v>DELETE</v>
      </c>
      <c r="S2497" s="333">
        <f>M2497</f>
        <v>0</v>
      </c>
      <c r="T2497" s="334"/>
      <c r="U2497" s="333">
        <f>O2497</f>
        <v>0</v>
      </c>
      <c r="V2497" s="333"/>
      <c r="W2497" s="333"/>
      <c r="X2497" s="333"/>
    </row>
    <row r="2498" spans="3:24" ht="36" customHeight="1" x14ac:dyDescent="0.45">
      <c r="D2498" s="433"/>
      <c r="E2498" s="434"/>
      <c r="F2498" s="434"/>
      <c r="G2498" s="434"/>
      <c r="H2498" s="434"/>
      <c r="I2498" s="434"/>
      <c r="J2498" s="449"/>
      <c r="K2498" s="292"/>
      <c r="L2498" s="292"/>
      <c r="M2498" s="296"/>
      <c r="N2498" s="296"/>
      <c r="O2498" s="296"/>
      <c r="P2498" s="295"/>
      <c r="R2498" s="348" t="str">
        <f>R2497</f>
        <v>DELETE</v>
      </c>
      <c r="T2498" s="334"/>
    </row>
    <row r="2499" spans="3:24" ht="36" customHeight="1" x14ac:dyDescent="0.45">
      <c r="D2499" s="433" t="s">
        <v>1074</v>
      </c>
      <c r="E2499" s="434"/>
      <c r="F2499" s="434"/>
      <c r="G2499" s="434"/>
      <c r="H2499" s="434"/>
      <c r="I2499" s="434"/>
      <c r="J2499" s="449"/>
      <c r="K2499" s="292"/>
      <c r="L2499" s="292"/>
      <c r="M2499" s="296">
        <f>SUM(M2502:M2509)</f>
        <v>0</v>
      </c>
      <c r="N2499" s="296"/>
      <c r="O2499" s="296">
        <f>SUM(O2502:O2509)</f>
        <v>0</v>
      </c>
      <c r="P2499" s="295"/>
      <c r="R2499" s="348" t="str">
        <f>IF(R$2483="DELETE","DELETE",IF(M2499=0,IF(O2499=0,"DELETE"," ")," "))</f>
        <v>DELETE</v>
      </c>
      <c r="S2499" s="333">
        <f>-M2499</f>
        <v>0</v>
      </c>
      <c r="T2499" s="334"/>
      <c r="U2499" s="333">
        <f>-O2499</f>
        <v>0</v>
      </c>
      <c r="V2499" s="333"/>
      <c r="W2499" s="333"/>
      <c r="X2499" s="333"/>
    </row>
    <row r="2500" spans="3:24" ht="9" customHeight="1" x14ac:dyDescent="0.45">
      <c r="C2500" s="397"/>
      <c r="D2500" s="434"/>
      <c r="E2500" s="434"/>
      <c r="F2500" s="434"/>
      <c r="G2500" s="434"/>
      <c r="H2500" s="434"/>
      <c r="I2500" s="434"/>
      <c r="J2500" s="449"/>
      <c r="K2500" s="292"/>
      <c r="L2500" s="292"/>
      <c r="M2500" s="296"/>
      <c r="N2500" s="296"/>
      <c r="O2500" s="296"/>
      <c r="P2500" s="295"/>
      <c r="R2500" s="348" t="str">
        <f>R2499</f>
        <v>DELETE</v>
      </c>
      <c r="T2500" s="334"/>
    </row>
    <row r="2501" spans="3:24" ht="9" customHeight="1" x14ac:dyDescent="0.45">
      <c r="C2501" s="397"/>
      <c r="D2501" s="434"/>
      <c r="E2501" s="434"/>
      <c r="F2501" s="434"/>
      <c r="G2501" s="434"/>
      <c r="H2501" s="434"/>
      <c r="I2501" s="434"/>
      <c r="J2501" s="449"/>
      <c r="K2501" s="292"/>
      <c r="L2501" s="292"/>
      <c r="M2501" s="398"/>
      <c r="N2501" s="297"/>
      <c r="O2501" s="399"/>
      <c r="P2501" s="295"/>
      <c r="R2501" s="348" t="str">
        <f>R2500</f>
        <v>DELETE</v>
      </c>
      <c r="T2501" s="334"/>
    </row>
    <row r="2502" spans="3:24" ht="36" customHeight="1" x14ac:dyDescent="0.45">
      <c r="C2502" s="397"/>
      <c r="D2502" s="434" t="s">
        <v>492</v>
      </c>
      <c r="E2502" s="434"/>
      <c r="F2502" s="434"/>
      <c r="G2502" s="434"/>
      <c r="H2502" s="434"/>
      <c r="I2502" s="434"/>
      <c r="J2502" s="449"/>
      <c r="K2502" s="292"/>
      <c r="L2502" s="292"/>
      <c r="M2502" s="400">
        <f>SUM(TrialBalanceA!I13:I16)</f>
        <v>0</v>
      </c>
      <c r="N2502" s="296"/>
      <c r="O2502" s="401">
        <f>SUM(TrialBalanceA!K13:K16)</f>
        <v>0</v>
      </c>
      <c r="P2502" s="295"/>
      <c r="R2502" s="348" t="str">
        <f t="shared" ref="R2502:R2509" si="165">IF(R$2483="DELETE","DELETE",IF(M2502+O2502=0,"DELETE"," "))</f>
        <v>DELETE</v>
      </c>
      <c r="T2502" s="334"/>
    </row>
    <row r="2503" spans="3:24" ht="36" customHeight="1" x14ac:dyDescent="0.45">
      <c r="C2503" s="397"/>
      <c r="D2503" s="434" t="s">
        <v>249</v>
      </c>
      <c r="E2503" s="434"/>
      <c r="F2503" s="434"/>
      <c r="G2503" s="434"/>
      <c r="H2503" s="434"/>
      <c r="I2503" s="434"/>
      <c r="J2503" s="449"/>
      <c r="K2503" s="292"/>
      <c r="L2503" s="292"/>
      <c r="M2503" s="400">
        <f>TrialBalanceA!I17</f>
        <v>0</v>
      </c>
      <c r="N2503" s="296"/>
      <c r="O2503" s="401">
        <f>TrialBalanceA!K17</f>
        <v>0</v>
      </c>
      <c r="P2503" s="295"/>
      <c r="R2503" s="348" t="str">
        <f t="shared" si="165"/>
        <v>DELETE</v>
      </c>
      <c r="T2503" s="334"/>
    </row>
    <row r="2504" spans="3:24" ht="36" customHeight="1" x14ac:dyDescent="0.45">
      <c r="C2504" s="397"/>
      <c r="D2504" s="434">
        <f>TrialBalanceA!C18</f>
        <v>0</v>
      </c>
      <c r="E2504" s="434"/>
      <c r="F2504" s="434"/>
      <c r="G2504" s="434"/>
      <c r="H2504" s="434"/>
      <c r="I2504" s="434"/>
      <c r="J2504" s="449"/>
      <c r="K2504" s="292"/>
      <c r="L2504" s="292"/>
      <c r="M2504" s="400">
        <f>TrialBalanceA!I18</f>
        <v>0</v>
      </c>
      <c r="N2504" s="296"/>
      <c r="O2504" s="401">
        <f>TrialBalanceA!K18</f>
        <v>0</v>
      </c>
      <c r="P2504" s="295"/>
      <c r="R2504" s="348" t="str">
        <f t="shared" si="165"/>
        <v>DELETE</v>
      </c>
      <c r="T2504" s="334"/>
    </row>
    <row r="2505" spans="3:24" ht="36" customHeight="1" x14ac:dyDescent="0.45">
      <c r="C2505" s="397"/>
      <c r="D2505" s="434">
        <f>TrialBalanceA!C19</f>
        <v>0</v>
      </c>
      <c r="E2505" s="434"/>
      <c r="F2505" s="434"/>
      <c r="G2505" s="434"/>
      <c r="H2505" s="434"/>
      <c r="I2505" s="434"/>
      <c r="J2505" s="449"/>
      <c r="K2505" s="292"/>
      <c r="L2505" s="292"/>
      <c r="M2505" s="400">
        <f>TrialBalanceA!I19</f>
        <v>0</v>
      </c>
      <c r="N2505" s="296"/>
      <c r="O2505" s="401">
        <f>TrialBalanceA!K19</f>
        <v>0</v>
      </c>
      <c r="P2505" s="295"/>
      <c r="R2505" s="348" t="str">
        <f t="shared" si="165"/>
        <v>DELETE</v>
      </c>
      <c r="T2505" s="334"/>
    </row>
    <row r="2506" spans="3:24" ht="36" customHeight="1" x14ac:dyDescent="0.45">
      <c r="C2506" s="397"/>
      <c r="D2506" s="434">
        <f>TrialBalanceA!C20</f>
        <v>0</v>
      </c>
      <c r="E2506" s="434"/>
      <c r="F2506" s="434"/>
      <c r="G2506" s="434"/>
      <c r="H2506" s="434"/>
      <c r="I2506" s="434"/>
      <c r="J2506" s="449"/>
      <c r="K2506" s="292"/>
      <c r="L2506" s="292"/>
      <c r="M2506" s="400">
        <f>TrialBalanceA!I20</f>
        <v>0</v>
      </c>
      <c r="N2506" s="296"/>
      <c r="O2506" s="401">
        <f>TrialBalanceA!K20</f>
        <v>0</v>
      </c>
      <c r="P2506" s="295"/>
      <c r="R2506" s="348" t="str">
        <f t="shared" si="165"/>
        <v>DELETE</v>
      </c>
      <c r="T2506" s="334"/>
    </row>
    <row r="2507" spans="3:24" ht="36" customHeight="1" x14ac:dyDescent="0.45">
      <c r="C2507" s="397"/>
      <c r="D2507" s="434">
        <f>TrialBalanceA!C21</f>
        <v>0</v>
      </c>
      <c r="E2507" s="434"/>
      <c r="F2507" s="434"/>
      <c r="G2507" s="434"/>
      <c r="H2507" s="434"/>
      <c r="I2507" s="434"/>
      <c r="J2507" s="449"/>
      <c r="K2507" s="292"/>
      <c r="L2507" s="292"/>
      <c r="M2507" s="400">
        <f>TrialBalanceA!I21</f>
        <v>0</v>
      </c>
      <c r="N2507" s="296"/>
      <c r="O2507" s="401">
        <f>TrialBalanceA!K21</f>
        <v>0</v>
      </c>
      <c r="P2507" s="295"/>
      <c r="R2507" s="348" t="str">
        <f t="shared" si="165"/>
        <v>DELETE</v>
      </c>
      <c r="T2507" s="334"/>
    </row>
    <row r="2508" spans="3:24" ht="36" customHeight="1" x14ac:dyDescent="0.45">
      <c r="C2508" s="397"/>
      <c r="D2508" s="434">
        <f>TrialBalanceA!C22</f>
        <v>0</v>
      </c>
      <c r="E2508" s="434"/>
      <c r="F2508" s="434"/>
      <c r="G2508" s="434"/>
      <c r="H2508" s="434"/>
      <c r="I2508" s="434"/>
      <c r="J2508" s="449"/>
      <c r="K2508" s="292"/>
      <c r="L2508" s="292"/>
      <c r="M2508" s="400">
        <f>TrialBalanceA!I22</f>
        <v>0</v>
      </c>
      <c r="N2508" s="296"/>
      <c r="O2508" s="401">
        <f>TrialBalanceA!K22</f>
        <v>0</v>
      </c>
      <c r="P2508" s="295"/>
      <c r="R2508" s="348" t="str">
        <f t="shared" si="165"/>
        <v>DELETE</v>
      </c>
      <c r="T2508" s="334"/>
    </row>
    <row r="2509" spans="3:24" ht="36" customHeight="1" x14ac:dyDescent="0.45">
      <c r="C2509" s="397"/>
      <c r="D2509" s="434" t="s">
        <v>493</v>
      </c>
      <c r="E2509" s="434"/>
      <c r="F2509" s="434"/>
      <c r="G2509" s="434"/>
      <c r="H2509" s="434"/>
      <c r="I2509" s="434"/>
      <c r="J2509" s="449"/>
      <c r="K2509" s="292"/>
      <c r="L2509" s="292"/>
      <c r="M2509" s="400">
        <f>SUM(TrialBalanceA!I23:I26)</f>
        <v>0</v>
      </c>
      <c r="N2509" s="296"/>
      <c r="O2509" s="401">
        <f>SUM(TrialBalanceA!K23:K26)</f>
        <v>0</v>
      </c>
      <c r="P2509" s="295"/>
      <c r="R2509" s="348" t="str">
        <f t="shared" si="165"/>
        <v>DELETE</v>
      </c>
      <c r="T2509" s="334"/>
    </row>
    <row r="2510" spans="3:24" ht="9" customHeight="1" x14ac:dyDescent="0.45">
      <c r="C2510" s="397"/>
      <c r="D2510" s="434"/>
      <c r="E2510" s="434"/>
      <c r="F2510" s="434"/>
      <c r="G2510" s="434"/>
      <c r="H2510" s="434"/>
      <c r="I2510" s="434"/>
      <c r="J2510" s="449"/>
      <c r="K2510" s="292"/>
      <c r="L2510" s="292"/>
      <c r="M2510" s="402"/>
      <c r="N2510" s="298"/>
      <c r="O2510" s="403"/>
      <c r="P2510" s="295"/>
      <c r="R2510" s="348" t="str">
        <f>R2499</f>
        <v>DELETE</v>
      </c>
      <c r="T2510" s="334"/>
    </row>
    <row r="2511" spans="3:24" ht="9" customHeight="1" x14ac:dyDescent="0.45">
      <c r="C2511" s="397"/>
      <c r="D2511" s="434"/>
      <c r="E2511" s="434"/>
      <c r="F2511" s="434"/>
      <c r="G2511" s="434"/>
      <c r="H2511" s="434"/>
      <c r="I2511" s="434"/>
      <c r="J2511" s="449"/>
      <c r="K2511" s="292"/>
      <c r="L2511" s="292"/>
      <c r="M2511" s="298"/>
      <c r="N2511" s="298"/>
      <c r="O2511" s="298"/>
      <c r="P2511" s="295"/>
      <c r="R2511" s="348" t="str">
        <f>R2499</f>
        <v>DELETE</v>
      </c>
      <c r="T2511" s="334"/>
    </row>
    <row r="2512" spans="3:24" ht="9" customHeight="1" x14ac:dyDescent="0.45">
      <c r="C2512" s="397"/>
      <c r="D2512" s="434"/>
      <c r="E2512" s="434"/>
      <c r="F2512" s="434"/>
      <c r="G2512" s="434"/>
      <c r="H2512" s="434"/>
      <c r="I2512" s="434"/>
      <c r="J2512" s="449"/>
      <c r="K2512" s="292"/>
      <c r="L2512" s="292"/>
      <c r="M2512" s="296"/>
      <c r="N2512" s="296"/>
      <c r="O2512" s="296"/>
      <c r="P2512" s="295"/>
      <c r="R2512" s="348" t="str">
        <f>R2511</f>
        <v>DELETE</v>
      </c>
      <c r="T2512" s="334"/>
    </row>
    <row r="2513" spans="3:26" ht="36" customHeight="1" x14ac:dyDescent="0.45">
      <c r="D2513" s="446" t="str">
        <f>IF((Y2513+Z2513)=3,"Gross profit/(loss)",(IF((Y2513+Z2513=4),"Gross profit","Gross loss")))</f>
        <v>Gross profit</v>
      </c>
      <c r="E2513" s="434"/>
      <c r="F2513" s="434"/>
      <c r="G2513" s="434"/>
      <c r="H2513" s="434"/>
      <c r="I2513" s="434"/>
      <c r="J2513" s="449"/>
      <c r="K2513" s="292"/>
      <c r="L2513" s="292"/>
      <c r="M2513" s="296">
        <f>SUM(S2495:S2510)</f>
        <v>0</v>
      </c>
      <c r="N2513" s="296"/>
      <c r="O2513" s="296">
        <f>SUM(U2495:U2510)</f>
        <v>0</v>
      </c>
      <c r="P2513" s="295"/>
      <c r="R2513" s="348" t="str">
        <f>R2512</f>
        <v>DELETE</v>
      </c>
      <c r="T2513" s="334"/>
      <c r="Y2513" s="331">
        <f>IF(M2513&lt;0,1,IF(M2513=0,IF(O2513&lt;0,1,2),2))</f>
        <v>2</v>
      </c>
      <c r="Z2513" s="331">
        <f>IF(O2513&lt;0,1,IF(O2513=0,IF(M2513&lt;0,1,2),2))</f>
        <v>2</v>
      </c>
    </row>
    <row r="2514" spans="3:26" ht="36" customHeight="1" x14ac:dyDescent="0.45">
      <c r="C2514" s="397"/>
      <c r="D2514" s="434"/>
      <c r="E2514" s="434"/>
      <c r="F2514" s="434"/>
      <c r="G2514" s="434"/>
      <c r="H2514" s="434"/>
      <c r="I2514" s="434"/>
      <c r="J2514" s="449"/>
      <c r="K2514" s="292"/>
      <c r="L2514" s="292"/>
      <c r="M2514" s="296"/>
      <c r="N2514" s="296"/>
      <c r="O2514" s="296"/>
      <c r="P2514" s="295"/>
      <c r="R2514" s="348" t="str">
        <f>R2513</f>
        <v>DELETE</v>
      </c>
      <c r="T2514" s="334"/>
    </row>
    <row r="2515" spans="3:26" ht="36" customHeight="1" x14ac:dyDescent="0.45">
      <c r="D2515" s="433" t="s">
        <v>1037</v>
      </c>
      <c r="E2515" s="434"/>
      <c r="F2515" s="434"/>
      <c r="G2515" s="434"/>
      <c r="H2515" s="434"/>
      <c r="I2515" s="434"/>
      <c r="J2515" s="449"/>
      <c r="K2515" s="292"/>
      <c r="L2515" s="292"/>
      <c r="M2515" s="296">
        <f>SUM(M2517:M2524)</f>
        <v>0</v>
      </c>
      <c r="N2515" s="296"/>
      <c r="O2515" s="296">
        <f>SUM(O2517:O2524)</f>
        <v>0</v>
      </c>
      <c r="P2515" s="295"/>
      <c r="R2515" s="348" t="str">
        <f t="shared" ref="R2515" si="166">IF(R$2483="DELETE","DELETE",IF(M2515+O2515=0,"DELETE"," "))</f>
        <v>DELETE</v>
      </c>
      <c r="S2515" s="333">
        <f>M2515</f>
        <v>0</v>
      </c>
      <c r="T2515" s="334"/>
      <c r="U2515" s="333">
        <f>O2515</f>
        <v>0</v>
      </c>
      <c r="V2515" s="333"/>
      <c r="W2515" s="333"/>
      <c r="X2515" s="333"/>
    </row>
    <row r="2516" spans="3:26" ht="9" customHeight="1" x14ac:dyDescent="0.45">
      <c r="C2516" s="397"/>
      <c r="D2516" s="434"/>
      <c r="E2516" s="434"/>
      <c r="F2516" s="434"/>
      <c r="G2516" s="434"/>
      <c r="H2516" s="434"/>
      <c r="I2516" s="434"/>
      <c r="J2516" s="449"/>
      <c r="K2516" s="292"/>
      <c r="L2516" s="292"/>
      <c r="M2516" s="296"/>
      <c r="N2516" s="296"/>
      <c r="O2516" s="296"/>
      <c r="P2516" s="295"/>
      <c r="R2516" s="348" t="str">
        <f>R2515</f>
        <v>DELETE</v>
      </c>
      <c r="T2516" s="334"/>
    </row>
    <row r="2517" spans="3:26" ht="9" customHeight="1" x14ac:dyDescent="0.45">
      <c r="C2517" s="397"/>
      <c r="D2517" s="434"/>
      <c r="E2517" s="434"/>
      <c r="F2517" s="434"/>
      <c r="G2517" s="434"/>
      <c r="H2517" s="434"/>
      <c r="I2517" s="434"/>
      <c r="J2517" s="449"/>
      <c r="K2517" s="292"/>
      <c r="L2517" s="292"/>
      <c r="M2517" s="398"/>
      <c r="N2517" s="297"/>
      <c r="O2517" s="399"/>
      <c r="P2517" s="295"/>
      <c r="R2517" s="348" t="str">
        <f>R2515</f>
        <v>DELETE</v>
      </c>
      <c r="T2517" s="334"/>
    </row>
    <row r="2518" spans="3:26" ht="36" customHeight="1" x14ac:dyDescent="0.45">
      <c r="C2518" s="397"/>
      <c r="D2518" s="434" t="str">
        <f>TrialBalanceA!C28</f>
        <v>Insurance claims - Subsidiary One 111 (Pty) Ltd</v>
      </c>
      <c r="E2518" s="434"/>
      <c r="F2518" s="434"/>
      <c r="G2518" s="434"/>
      <c r="H2518" s="434"/>
      <c r="I2518" s="434"/>
      <c r="J2518" s="449"/>
      <c r="K2518" s="292"/>
      <c r="L2518" s="292"/>
      <c r="M2518" s="400">
        <f>-TrialBalanceA!I28</f>
        <v>0</v>
      </c>
      <c r="N2518" s="296"/>
      <c r="O2518" s="401">
        <f>-TrialBalanceA!K28</f>
        <v>0</v>
      </c>
      <c r="P2518" s="295"/>
      <c r="R2518" s="348" t="str">
        <f t="shared" ref="R2518:R2522" si="167">IF(R$2483="DELETE","DELETE",IF(M2518+O2518=0,"DELETE"," "))</f>
        <v>DELETE</v>
      </c>
      <c r="T2518" s="334"/>
    </row>
    <row r="2519" spans="3:26" ht="36" customHeight="1" x14ac:dyDescent="0.45">
      <c r="C2519" s="397"/>
      <c r="D2519" s="434" t="str">
        <f>TrialBalanceA!C29</f>
        <v>Government grants received</v>
      </c>
      <c r="E2519" s="434"/>
      <c r="F2519" s="434"/>
      <c r="G2519" s="434"/>
      <c r="H2519" s="434"/>
      <c r="I2519" s="434"/>
      <c r="J2519" s="449"/>
      <c r="K2519" s="292"/>
      <c r="L2519" s="292"/>
      <c r="M2519" s="400">
        <f>-TrialBalanceA!I29</f>
        <v>0</v>
      </c>
      <c r="N2519" s="296"/>
      <c r="O2519" s="401">
        <f>-TrialBalanceA!K29</f>
        <v>0</v>
      </c>
      <c r="P2519" s="295"/>
      <c r="R2519" s="348" t="str">
        <f t="shared" si="167"/>
        <v>DELETE</v>
      </c>
      <c r="T2519" s="334"/>
    </row>
    <row r="2520" spans="3:26" ht="36" customHeight="1" x14ac:dyDescent="0.45">
      <c r="C2520" s="397"/>
      <c r="D2520" s="434">
        <f>TrialBalanceA!C30</f>
        <v>0</v>
      </c>
      <c r="E2520" s="434"/>
      <c r="F2520" s="434"/>
      <c r="G2520" s="434"/>
      <c r="H2520" s="434"/>
      <c r="I2520" s="434"/>
      <c r="J2520" s="449"/>
      <c r="K2520" s="292"/>
      <c r="L2520" s="292"/>
      <c r="M2520" s="400">
        <f>-TrialBalanceA!I30</f>
        <v>0</v>
      </c>
      <c r="N2520" s="296"/>
      <c r="O2520" s="401">
        <f>-TrialBalanceA!K30</f>
        <v>0</v>
      </c>
      <c r="P2520" s="295"/>
      <c r="R2520" s="348" t="str">
        <f t="shared" si="167"/>
        <v>DELETE</v>
      </c>
      <c r="T2520" s="334"/>
    </row>
    <row r="2521" spans="3:26" ht="36" customHeight="1" x14ac:dyDescent="0.45">
      <c r="C2521" s="397"/>
      <c r="D2521" s="434">
        <f>TrialBalanceA!C31</f>
        <v>0</v>
      </c>
      <c r="E2521" s="434"/>
      <c r="F2521" s="434"/>
      <c r="G2521" s="434"/>
      <c r="H2521" s="434"/>
      <c r="I2521" s="434"/>
      <c r="J2521" s="449"/>
      <c r="K2521" s="292"/>
      <c r="L2521" s="292"/>
      <c r="M2521" s="400">
        <f>-TrialBalanceA!I31</f>
        <v>0</v>
      </c>
      <c r="N2521" s="296"/>
      <c r="O2521" s="401">
        <f>-TrialBalanceA!K31</f>
        <v>0</v>
      </c>
      <c r="P2521" s="295"/>
      <c r="R2521" s="348" t="str">
        <f t="shared" si="167"/>
        <v>DELETE</v>
      </c>
      <c r="T2521" s="334"/>
    </row>
    <row r="2522" spans="3:26" ht="36" customHeight="1" x14ac:dyDescent="0.45">
      <c r="C2522" s="397"/>
      <c r="D2522" s="434">
        <f>TrialBalanceA!C32</f>
        <v>0</v>
      </c>
      <c r="E2522" s="434"/>
      <c r="F2522" s="434"/>
      <c r="G2522" s="434"/>
      <c r="H2522" s="434"/>
      <c r="I2522" s="434"/>
      <c r="J2522" s="449"/>
      <c r="K2522" s="292"/>
      <c r="L2522" s="292"/>
      <c r="M2522" s="400">
        <f>-TrialBalanceA!I32</f>
        <v>0</v>
      </c>
      <c r="N2522" s="296"/>
      <c r="O2522" s="401">
        <f>-TrialBalanceA!K32</f>
        <v>0</v>
      </c>
      <c r="P2522" s="295"/>
      <c r="R2522" s="348" t="str">
        <f t="shared" si="167"/>
        <v>DELETE</v>
      </c>
      <c r="T2522" s="334"/>
    </row>
    <row r="2523" spans="3:26" ht="36" customHeight="1" x14ac:dyDescent="0.45">
      <c r="C2523" s="397"/>
      <c r="D2523" s="434" t="str">
        <f>TrialBalanceA!C33</f>
        <v>Recoupment of depreciation</v>
      </c>
      <c r="E2523" s="434"/>
      <c r="F2523" s="434"/>
      <c r="G2523" s="434"/>
      <c r="H2523" s="434"/>
      <c r="I2523" s="434"/>
      <c r="J2523" s="449"/>
      <c r="K2523" s="292"/>
      <c r="L2523" s="292"/>
      <c r="M2523" s="400">
        <f>-TrialBalanceA!I33</f>
        <v>0</v>
      </c>
      <c r="N2523" s="296"/>
      <c r="O2523" s="401">
        <f>-TrialBalanceA!K33</f>
        <v>0</v>
      </c>
      <c r="P2523" s="295"/>
      <c r="R2523" s="348" t="str">
        <f t="shared" ref="R2523" si="168">IF(R$2483="DELETE","DELETE",IF(M2523+O2523=0,"DELETE"," "))</f>
        <v>DELETE</v>
      </c>
      <c r="T2523" s="334"/>
    </row>
    <row r="2524" spans="3:26" ht="9" customHeight="1" x14ac:dyDescent="0.45">
      <c r="C2524" s="397"/>
      <c r="D2524" s="434"/>
      <c r="E2524" s="434"/>
      <c r="F2524" s="434"/>
      <c r="G2524" s="434"/>
      <c r="H2524" s="434"/>
      <c r="I2524" s="434"/>
      <c r="J2524" s="449"/>
      <c r="K2524" s="292"/>
      <c r="L2524" s="292"/>
      <c r="M2524" s="402"/>
      <c r="N2524" s="298"/>
      <c r="O2524" s="403"/>
      <c r="P2524" s="295"/>
      <c r="R2524" s="348" t="str">
        <f>R2515</f>
        <v>DELETE</v>
      </c>
      <c r="T2524" s="334"/>
    </row>
    <row r="2525" spans="3:26" ht="9" customHeight="1" x14ac:dyDescent="0.45">
      <c r="C2525" s="397"/>
      <c r="D2525" s="434"/>
      <c r="E2525" s="434"/>
      <c r="F2525" s="434"/>
      <c r="G2525" s="434"/>
      <c r="H2525" s="434"/>
      <c r="I2525" s="434"/>
      <c r="J2525" s="449"/>
      <c r="K2525" s="292"/>
      <c r="L2525" s="292"/>
      <c r="M2525" s="314"/>
      <c r="N2525" s="314"/>
      <c r="O2525" s="314"/>
      <c r="P2525" s="295"/>
      <c r="R2525" s="348" t="str">
        <f>R2524</f>
        <v>DELETE</v>
      </c>
      <c r="T2525" s="334"/>
    </row>
    <row r="2526" spans="3:26" ht="9" customHeight="1" x14ac:dyDescent="0.45">
      <c r="C2526" s="397"/>
      <c r="D2526" s="434"/>
      <c r="E2526" s="434"/>
      <c r="F2526" s="434"/>
      <c r="G2526" s="434"/>
      <c r="H2526" s="434"/>
      <c r="I2526" s="434"/>
      <c r="J2526" s="449"/>
      <c r="K2526" s="292"/>
      <c r="L2526" s="292"/>
      <c r="M2526" s="296"/>
      <c r="N2526" s="296"/>
      <c r="O2526" s="296"/>
      <c r="P2526" s="295"/>
      <c r="R2526" s="348" t="str">
        <f>R2525</f>
        <v>DELETE</v>
      </c>
      <c r="T2526" s="334"/>
    </row>
    <row r="2527" spans="3:26" ht="36" customHeight="1" x14ac:dyDescent="0.45">
      <c r="C2527" s="397"/>
      <c r="D2527" s="434"/>
      <c r="E2527" s="434"/>
      <c r="F2527" s="434"/>
      <c r="G2527" s="434"/>
      <c r="H2527" s="434"/>
      <c r="I2527" s="434"/>
      <c r="J2527" s="449"/>
      <c r="K2527" s="292"/>
      <c r="L2527" s="292"/>
      <c r="M2527" s="296">
        <f>SUM(S2495:S2515)</f>
        <v>0</v>
      </c>
      <c r="N2527" s="296"/>
      <c r="O2527" s="296">
        <f>SUM(U2495:U2515)</f>
        <v>0</v>
      </c>
      <c r="P2527" s="295"/>
      <c r="R2527" s="348" t="str">
        <f>R2515</f>
        <v>DELETE</v>
      </c>
      <c r="T2527" s="334"/>
    </row>
    <row r="2528" spans="3:26" ht="36" customHeight="1" x14ac:dyDescent="0.45">
      <c r="C2528" s="397"/>
      <c r="D2528" s="434"/>
      <c r="E2528" s="434"/>
      <c r="F2528" s="434"/>
      <c r="G2528" s="434"/>
      <c r="H2528" s="434"/>
      <c r="I2528" s="434"/>
      <c r="J2528" s="449"/>
      <c r="K2528" s="292"/>
      <c r="L2528" s="292"/>
      <c r="M2528" s="296"/>
      <c r="N2528" s="296"/>
      <c r="O2528" s="296"/>
      <c r="P2528" s="295"/>
      <c r="R2528" s="348" t="str">
        <f>R2527</f>
        <v>DELETE</v>
      </c>
      <c r="T2528" s="334"/>
    </row>
    <row r="2529" spans="3:24" ht="36" customHeight="1" x14ac:dyDescent="0.45">
      <c r="D2529" s="433" t="s">
        <v>1075</v>
      </c>
      <c r="E2529" s="434"/>
      <c r="F2529" s="434"/>
      <c r="G2529" s="434"/>
      <c r="H2529" s="434"/>
      <c r="I2529" s="434"/>
      <c r="J2529" s="449"/>
      <c r="K2529" s="292"/>
      <c r="L2529" s="292"/>
      <c r="M2529" s="296">
        <f>SUM(M2531:M2560)</f>
        <v>0</v>
      </c>
      <c r="N2529" s="296"/>
      <c r="O2529" s="296">
        <f>SUM(O2531:O2560)</f>
        <v>0</v>
      </c>
      <c r="P2529" s="295"/>
      <c r="R2529" s="348" t="str">
        <f t="shared" ref="R2529" si="169">IF(R$2483="DELETE","DELETE",IF(M2529+O2529=0,"DELETE"," "))</f>
        <v>DELETE</v>
      </c>
      <c r="S2529" s="333">
        <f>-M2529</f>
        <v>0</v>
      </c>
      <c r="T2529" s="334"/>
      <c r="U2529" s="333">
        <f>-O2529</f>
        <v>0</v>
      </c>
      <c r="V2529" s="333"/>
      <c r="W2529" s="333"/>
      <c r="X2529" s="333"/>
    </row>
    <row r="2530" spans="3:24" ht="9" customHeight="1" x14ac:dyDescent="0.45">
      <c r="C2530" s="397"/>
      <c r="D2530" s="434"/>
      <c r="E2530" s="434"/>
      <c r="F2530" s="434"/>
      <c r="G2530" s="434"/>
      <c r="H2530" s="434"/>
      <c r="I2530" s="434"/>
      <c r="J2530" s="449"/>
      <c r="K2530" s="292"/>
      <c r="L2530" s="292"/>
      <c r="M2530" s="296"/>
      <c r="N2530" s="296"/>
      <c r="O2530" s="296"/>
      <c r="P2530" s="295"/>
      <c r="R2530" s="348" t="str">
        <f>R2529</f>
        <v>DELETE</v>
      </c>
      <c r="T2530" s="334"/>
    </row>
    <row r="2531" spans="3:24" ht="9" customHeight="1" x14ac:dyDescent="0.45">
      <c r="C2531" s="397"/>
      <c r="D2531" s="434"/>
      <c r="E2531" s="434"/>
      <c r="F2531" s="434"/>
      <c r="G2531" s="434"/>
      <c r="H2531" s="434"/>
      <c r="I2531" s="434"/>
      <c r="J2531" s="449"/>
      <c r="K2531" s="292"/>
      <c r="L2531" s="292"/>
      <c r="M2531" s="398"/>
      <c r="N2531" s="297"/>
      <c r="O2531" s="399"/>
      <c r="P2531" s="295"/>
      <c r="R2531" s="348" t="str">
        <f>R2530</f>
        <v>DELETE</v>
      </c>
      <c r="T2531" s="334"/>
    </row>
    <row r="2532" spans="3:24" ht="36" customHeight="1" x14ac:dyDescent="0.45">
      <c r="C2532" s="397"/>
      <c r="D2532" s="434" t="s">
        <v>250</v>
      </c>
      <c r="E2532" s="434"/>
      <c r="F2532" s="434"/>
      <c r="G2532" s="434"/>
      <c r="H2532" s="434"/>
      <c r="I2532" s="434"/>
      <c r="J2532" s="449"/>
      <c r="K2532" s="292"/>
      <c r="L2532" s="292"/>
      <c r="M2532" s="400">
        <f>TrialBalanceA!I40</f>
        <v>0</v>
      </c>
      <c r="N2532" s="296"/>
      <c r="O2532" s="401">
        <f>TrialBalanceA!K40</f>
        <v>0</v>
      </c>
      <c r="P2532" s="295"/>
      <c r="R2532" s="348" t="str">
        <f t="shared" ref="R2532:R2559" si="170">IF(R$2483="DELETE","DELETE",IF(M2532+O2532=0,"DELETE"," "))</f>
        <v>DELETE</v>
      </c>
      <c r="T2532" s="334"/>
    </row>
    <row r="2533" spans="3:24" ht="36" customHeight="1" x14ac:dyDescent="0.45">
      <c r="C2533" s="397"/>
      <c r="D2533" s="434" t="s">
        <v>658</v>
      </c>
      <c r="E2533" s="434"/>
      <c r="F2533" s="434"/>
      <c r="G2533" s="434"/>
      <c r="H2533" s="434"/>
      <c r="I2533" s="434"/>
      <c r="J2533" s="449"/>
      <c r="K2533" s="292"/>
      <c r="L2533" s="292"/>
      <c r="M2533" s="400">
        <f>TrialBalanceA!I41</f>
        <v>0</v>
      </c>
      <c r="N2533" s="296"/>
      <c r="O2533" s="401">
        <f>TrialBalanceA!K41</f>
        <v>0</v>
      </c>
      <c r="P2533" s="295"/>
      <c r="R2533" s="348" t="str">
        <f t="shared" si="170"/>
        <v>DELETE</v>
      </c>
      <c r="T2533" s="334"/>
    </row>
    <row r="2534" spans="3:24" ht="36" customHeight="1" x14ac:dyDescent="0.45">
      <c r="C2534" s="397"/>
      <c r="D2534" s="434" t="s">
        <v>251</v>
      </c>
      <c r="E2534" s="434"/>
      <c r="F2534" s="434"/>
      <c r="G2534" s="434"/>
      <c r="H2534" s="434"/>
      <c r="I2534" s="434"/>
      <c r="J2534" s="449"/>
      <c r="K2534" s="292"/>
      <c r="L2534" s="292"/>
      <c r="M2534" s="400">
        <f>TrialBalanceA!I42</f>
        <v>0</v>
      </c>
      <c r="N2534" s="296"/>
      <c r="O2534" s="401">
        <f>TrialBalanceA!K42</f>
        <v>0</v>
      </c>
      <c r="P2534" s="295"/>
      <c r="R2534" s="348" t="str">
        <f t="shared" si="170"/>
        <v>DELETE</v>
      </c>
      <c r="T2534" s="334"/>
    </row>
    <row r="2535" spans="3:24" ht="36" customHeight="1" x14ac:dyDescent="0.45">
      <c r="C2535" s="397"/>
      <c r="D2535" s="434" t="s">
        <v>252</v>
      </c>
      <c r="E2535" s="434"/>
      <c r="F2535" s="434"/>
      <c r="G2535" s="434"/>
      <c r="H2535" s="434"/>
      <c r="I2535" s="434"/>
      <c r="J2535" s="449"/>
      <c r="K2535" s="292">
        <f>B$958</f>
        <v>5</v>
      </c>
      <c r="L2535" s="292"/>
      <c r="M2535" s="400">
        <f>SUM(TrialBalanceA!I44:I46)</f>
        <v>0</v>
      </c>
      <c r="N2535" s="296"/>
      <c r="O2535" s="401">
        <f>SUM(TrialBalanceA!K44:K46)</f>
        <v>0</v>
      </c>
      <c r="P2535" s="295"/>
      <c r="R2535" s="348" t="str">
        <f t="shared" si="170"/>
        <v>DELETE</v>
      </c>
      <c r="T2535" s="334"/>
    </row>
    <row r="2536" spans="3:24" ht="36" customHeight="1" x14ac:dyDescent="0.45">
      <c r="C2536" s="397"/>
      <c r="D2536" s="434" t="s">
        <v>494</v>
      </c>
      <c r="E2536" s="434"/>
      <c r="F2536" s="434"/>
      <c r="G2536" s="434"/>
      <c r="H2536" s="434"/>
      <c r="I2536" s="434"/>
      <c r="J2536" s="449"/>
      <c r="K2536" s="292"/>
      <c r="L2536" s="292"/>
      <c r="M2536" s="400">
        <f>TrialBalanceA!I47</f>
        <v>0</v>
      </c>
      <c r="N2536" s="296"/>
      <c r="O2536" s="401">
        <f>TrialBalanceA!K47</f>
        <v>0</v>
      </c>
      <c r="P2536" s="295"/>
      <c r="R2536" s="348" t="str">
        <f t="shared" si="170"/>
        <v>DELETE</v>
      </c>
      <c r="S2536" s="336"/>
      <c r="T2536" s="334"/>
      <c r="U2536" s="336"/>
      <c r="V2536" s="336"/>
      <c r="W2536" s="336"/>
      <c r="X2536" s="336"/>
    </row>
    <row r="2537" spans="3:24" ht="36" customHeight="1" x14ac:dyDescent="0.45">
      <c r="C2537" s="397"/>
      <c r="D2537" s="434" t="s">
        <v>678</v>
      </c>
      <c r="E2537" s="434"/>
      <c r="F2537" s="434"/>
      <c r="G2537" s="434"/>
      <c r="H2537" s="434"/>
      <c r="I2537" s="434"/>
      <c r="J2537" s="449"/>
      <c r="K2537" s="292"/>
      <c r="L2537" s="292"/>
      <c r="M2537" s="400">
        <f>TrialBalanceA!I48</f>
        <v>0</v>
      </c>
      <c r="N2537" s="296"/>
      <c r="O2537" s="401">
        <f>TrialBalanceA!K48</f>
        <v>0</v>
      </c>
      <c r="P2537" s="295"/>
      <c r="R2537" s="348" t="str">
        <f t="shared" si="170"/>
        <v>DELETE</v>
      </c>
      <c r="T2537" s="334"/>
    </row>
    <row r="2538" spans="3:24" ht="36" customHeight="1" x14ac:dyDescent="0.45">
      <c r="C2538" s="397"/>
      <c r="D2538" s="434" t="s">
        <v>54</v>
      </c>
      <c r="E2538" s="434"/>
      <c r="F2538" s="434"/>
      <c r="G2538" s="434"/>
      <c r="H2538" s="434"/>
      <c r="I2538" s="434"/>
      <c r="J2538" s="449"/>
      <c r="K2538" s="292"/>
      <c r="L2538" s="292"/>
      <c r="M2538" s="400">
        <f>TrialBalanceA!I49</f>
        <v>0</v>
      </c>
      <c r="N2538" s="296"/>
      <c r="O2538" s="401">
        <f>TrialBalanceA!K49</f>
        <v>0</v>
      </c>
      <c r="P2538" s="295"/>
      <c r="R2538" s="348" t="str">
        <f t="shared" si="170"/>
        <v>DELETE</v>
      </c>
      <c r="T2538" s="334"/>
    </row>
    <row r="2539" spans="3:24" ht="36" customHeight="1" x14ac:dyDescent="0.45">
      <c r="C2539" s="397"/>
      <c r="D2539" s="434" t="s">
        <v>253</v>
      </c>
      <c r="E2539" s="434"/>
      <c r="F2539" s="434"/>
      <c r="G2539" s="434"/>
      <c r="H2539" s="434"/>
      <c r="I2539" s="434"/>
      <c r="J2539" s="449"/>
      <c r="K2539" s="292"/>
      <c r="L2539" s="292"/>
      <c r="M2539" s="400">
        <f>TrialBalanceA!I50</f>
        <v>0</v>
      </c>
      <c r="N2539" s="296"/>
      <c r="O2539" s="401">
        <f>TrialBalanceA!K50</f>
        <v>0</v>
      </c>
      <c r="P2539" s="295"/>
      <c r="R2539" s="348" t="str">
        <f t="shared" si="170"/>
        <v>DELETE</v>
      </c>
      <c r="T2539" s="334"/>
    </row>
    <row r="2540" spans="3:24" ht="36" customHeight="1" x14ac:dyDescent="0.45">
      <c r="C2540" s="397"/>
      <c r="D2540" s="434" t="s">
        <v>511</v>
      </c>
      <c r="E2540" s="434"/>
      <c r="F2540" s="434"/>
      <c r="G2540" s="434"/>
      <c r="H2540" s="434"/>
      <c r="I2540" s="434"/>
      <c r="J2540" s="449"/>
      <c r="K2540" s="292"/>
      <c r="L2540" s="292"/>
      <c r="M2540" s="400">
        <f>SUM(TrialBalanceA!I51:I52)</f>
        <v>0</v>
      </c>
      <c r="N2540" s="296"/>
      <c r="O2540" s="401">
        <f>SUM(TrialBalanceA!K51:K52)</f>
        <v>0</v>
      </c>
      <c r="P2540" s="295"/>
      <c r="R2540" s="348" t="str">
        <f t="shared" si="170"/>
        <v>DELETE</v>
      </c>
      <c r="T2540" s="334"/>
    </row>
    <row r="2541" spans="3:24" ht="36" customHeight="1" x14ac:dyDescent="0.45">
      <c r="C2541" s="397"/>
      <c r="D2541" s="434" t="s">
        <v>510</v>
      </c>
      <c r="E2541" s="434"/>
      <c r="F2541" s="434"/>
      <c r="G2541" s="434"/>
      <c r="H2541" s="434"/>
      <c r="I2541" s="434"/>
      <c r="J2541" s="449"/>
      <c r="K2541" s="292"/>
      <c r="L2541" s="292"/>
      <c r="M2541" s="400">
        <f>TrialBalanceA!I53</f>
        <v>0</v>
      </c>
      <c r="N2541" s="296"/>
      <c r="O2541" s="401">
        <f>TrialBalanceA!K53</f>
        <v>0</v>
      </c>
      <c r="P2541" s="295"/>
      <c r="R2541" s="348" t="str">
        <f t="shared" si="170"/>
        <v>DELETE</v>
      </c>
      <c r="T2541" s="334"/>
    </row>
    <row r="2542" spans="3:24" ht="36" customHeight="1" x14ac:dyDescent="0.45">
      <c r="C2542" s="397"/>
      <c r="D2542" s="434" t="s">
        <v>495</v>
      </c>
      <c r="E2542" s="434"/>
      <c r="F2542" s="434"/>
      <c r="G2542" s="434"/>
      <c r="H2542" s="434"/>
      <c r="I2542" s="434"/>
      <c r="J2542" s="449"/>
      <c r="K2542" s="292"/>
      <c r="L2542" s="292"/>
      <c r="M2542" s="400">
        <f>SUM(TrialBalanceA!I55:I59)</f>
        <v>0</v>
      </c>
      <c r="N2542" s="296"/>
      <c r="O2542" s="401">
        <f>SUM(TrialBalanceA!K55:K59)</f>
        <v>0</v>
      </c>
      <c r="P2542" s="295"/>
      <c r="R2542" s="348" t="str">
        <f t="shared" si="170"/>
        <v>DELETE</v>
      </c>
      <c r="T2542" s="334"/>
    </row>
    <row r="2543" spans="3:24" ht="36" customHeight="1" x14ac:dyDescent="0.45">
      <c r="C2543" s="397"/>
      <c r="D2543" s="434" t="s">
        <v>479</v>
      </c>
      <c r="E2543" s="434"/>
      <c r="F2543" s="434"/>
      <c r="G2543" s="434"/>
      <c r="H2543" s="434"/>
      <c r="I2543" s="434"/>
      <c r="J2543" s="449"/>
      <c r="K2543" s="292">
        <f>B$958</f>
        <v>5</v>
      </c>
      <c r="L2543" s="292"/>
      <c r="M2543" s="400">
        <f>SUM(TrialBalanceA!I61:I63)</f>
        <v>0</v>
      </c>
      <c r="N2543" s="296"/>
      <c r="O2543" s="401">
        <f>SUM(TrialBalanceA!K61:K63)</f>
        <v>0</v>
      </c>
      <c r="P2543" s="295"/>
      <c r="R2543" s="348" t="str">
        <f t="shared" si="170"/>
        <v>DELETE</v>
      </c>
      <c r="T2543" s="334"/>
    </row>
    <row r="2544" spans="3:24" ht="36" customHeight="1" x14ac:dyDescent="0.45">
      <c r="C2544" s="397"/>
      <c r="D2544" s="434" t="s">
        <v>57</v>
      </c>
      <c r="E2544" s="434"/>
      <c r="F2544" s="434"/>
      <c r="G2544" s="434"/>
      <c r="H2544" s="434"/>
      <c r="I2544" s="434"/>
      <c r="J2544" s="449"/>
      <c r="K2544" s="292"/>
      <c r="L2544" s="292"/>
      <c r="M2544" s="400">
        <f>TrialBalanceA!I64</f>
        <v>0</v>
      </c>
      <c r="N2544" s="296"/>
      <c r="O2544" s="401">
        <f>TrialBalanceA!K64</f>
        <v>0</v>
      </c>
      <c r="P2544" s="295"/>
      <c r="R2544" s="348" t="str">
        <f t="shared" si="170"/>
        <v>DELETE</v>
      </c>
      <c r="T2544" s="334"/>
    </row>
    <row r="2545" spans="3:20" ht="36" customHeight="1" x14ac:dyDescent="0.45">
      <c r="C2545" s="397"/>
      <c r="D2545" s="434" t="s">
        <v>1210</v>
      </c>
      <c r="E2545" s="434"/>
      <c r="F2545" s="434"/>
      <c r="G2545" s="434"/>
      <c r="H2545" s="434"/>
      <c r="I2545" s="434"/>
      <c r="J2545" s="449"/>
      <c r="K2545" s="292"/>
      <c r="L2545" s="292"/>
      <c r="M2545" s="400">
        <f>TrialBalanceA!I65</f>
        <v>0</v>
      </c>
      <c r="N2545" s="296"/>
      <c r="O2545" s="401">
        <f>TrialBalanceA!K65</f>
        <v>0</v>
      </c>
      <c r="P2545" s="295"/>
      <c r="R2545" s="348" t="str">
        <f t="shared" ref="R2545" si="171">IF(R$2483="DELETE","DELETE",IF(M2545+O2545=0,"DELETE"," "))</f>
        <v>DELETE</v>
      </c>
      <c r="T2545" s="334"/>
    </row>
    <row r="2546" spans="3:20" ht="36" customHeight="1" x14ac:dyDescent="0.45">
      <c r="C2546" s="397"/>
      <c r="D2546" s="434" t="s">
        <v>235</v>
      </c>
      <c r="E2546" s="434"/>
      <c r="F2546" s="434"/>
      <c r="G2546" s="434"/>
      <c r="H2546" s="434"/>
      <c r="I2546" s="434"/>
      <c r="J2546" s="449"/>
      <c r="K2546" s="292"/>
      <c r="L2546" s="292"/>
      <c r="M2546" s="400">
        <f>SUM(TrialBalanceA!I66:I68)</f>
        <v>0</v>
      </c>
      <c r="N2546" s="296"/>
      <c r="O2546" s="401">
        <f>SUM(TrialBalanceA!K66:K68)</f>
        <v>0</v>
      </c>
      <c r="P2546" s="295"/>
      <c r="R2546" s="348" t="str">
        <f t="shared" si="170"/>
        <v>DELETE</v>
      </c>
      <c r="T2546" s="334"/>
    </row>
    <row r="2547" spans="3:20" ht="36" customHeight="1" x14ac:dyDescent="0.45">
      <c r="C2547" s="397"/>
      <c r="D2547" s="434" t="s">
        <v>679</v>
      </c>
      <c r="E2547" s="434"/>
      <c r="F2547" s="434"/>
      <c r="G2547" s="434"/>
      <c r="H2547" s="434"/>
      <c r="I2547" s="434"/>
      <c r="J2547" s="449"/>
      <c r="K2547" s="292"/>
      <c r="L2547" s="292"/>
      <c r="M2547" s="400">
        <f>SUM(TrialBalanceA!I69:I70)</f>
        <v>0</v>
      </c>
      <c r="N2547" s="296"/>
      <c r="O2547" s="401">
        <f>SUM(TrialBalanceA!K69:K70)</f>
        <v>0</v>
      </c>
      <c r="P2547" s="295"/>
      <c r="R2547" s="348" t="str">
        <f t="shared" si="170"/>
        <v>DELETE</v>
      </c>
      <c r="T2547" s="334"/>
    </row>
    <row r="2548" spans="3:20" ht="36" customHeight="1" x14ac:dyDescent="0.45">
      <c r="C2548" s="397"/>
      <c r="D2548" s="434" t="s">
        <v>236</v>
      </c>
      <c r="E2548" s="434"/>
      <c r="F2548" s="434"/>
      <c r="G2548" s="434"/>
      <c r="H2548" s="434"/>
      <c r="I2548" s="434"/>
      <c r="J2548" s="449"/>
      <c r="K2548" s="292"/>
      <c r="L2548" s="292"/>
      <c r="M2548" s="400">
        <f>TrialBalanceA!I71</f>
        <v>0</v>
      </c>
      <c r="N2548" s="296"/>
      <c r="O2548" s="401">
        <f>TrialBalanceA!K71</f>
        <v>0</v>
      </c>
      <c r="P2548" s="295"/>
      <c r="R2548" s="348" t="str">
        <f t="shared" si="170"/>
        <v>DELETE</v>
      </c>
      <c r="T2548" s="334"/>
    </row>
    <row r="2549" spans="3:20" ht="36" customHeight="1" x14ac:dyDescent="0.45">
      <c r="C2549" s="397"/>
      <c r="D2549" s="434" t="s">
        <v>361</v>
      </c>
      <c r="E2549" s="434"/>
      <c r="F2549" s="434"/>
      <c r="G2549" s="434"/>
      <c r="H2549" s="434"/>
      <c r="I2549" s="434"/>
      <c r="J2549" s="449"/>
      <c r="K2549" s="292"/>
      <c r="L2549" s="292"/>
      <c r="M2549" s="400">
        <f>TrialBalanceA!I72</f>
        <v>0</v>
      </c>
      <c r="N2549" s="296"/>
      <c r="O2549" s="401">
        <f>TrialBalanceA!K72</f>
        <v>0</v>
      </c>
      <c r="P2549" s="295"/>
      <c r="R2549" s="348" t="str">
        <f t="shared" si="170"/>
        <v>DELETE</v>
      </c>
      <c r="T2549" s="334"/>
    </row>
    <row r="2550" spans="3:20" ht="36" customHeight="1" x14ac:dyDescent="0.45">
      <c r="C2550" s="397"/>
      <c r="D2550" s="434">
        <f>TrialBalanceA!C73</f>
        <v>0</v>
      </c>
      <c r="E2550" s="434"/>
      <c r="F2550" s="434"/>
      <c r="G2550" s="434"/>
      <c r="H2550" s="434"/>
      <c r="I2550" s="434"/>
      <c r="J2550" s="449"/>
      <c r="K2550" s="292"/>
      <c r="L2550" s="292"/>
      <c r="M2550" s="400">
        <f>TrialBalanceA!I73</f>
        <v>0</v>
      </c>
      <c r="N2550" s="296"/>
      <c r="O2550" s="401">
        <f>TrialBalanceA!K73</f>
        <v>0</v>
      </c>
      <c r="P2550" s="295"/>
      <c r="R2550" s="348" t="str">
        <f t="shared" si="170"/>
        <v>DELETE</v>
      </c>
      <c r="T2550" s="334"/>
    </row>
    <row r="2551" spans="3:20" ht="36" customHeight="1" x14ac:dyDescent="0.45">
      <c r="C2551" s="397"/>
      <c r="D2551" s="434">
        <f>TrialBalanceA!C74</f>
        <v>0</v>
      </c>
      <c r="E2551" s="434"/>
      <c r="F2551" s="434"/>
      <c r="G2551" s="434"/>
      <c r="H2551" s="434"/>
      <c r="I2551" s="434"/>
      <c r="J2551" s="449"/>
      <c r="K2551" s="292"/>
      <c r="L2551" s="292"/>
      <c r="M2551" s="400">
        <f>TrialBalanceA!I74</f>
        <v>0</v>
      </c>
      <c r="N2551" s="296"/>
      <c r="O2551" s="401">
        <f>TrialBalanceA!K74</f>
        <v>0</v>
      </c>
      <c r="P2551" s="295"/>
      <c r="R2551" s="348" t="str">
        <f t="shared" si="170"/>
        <v>DELETE</v>
      </c>
      <c r="T2551" s="334"/>
    </row>
    <row r="2552" spans="3:20" ht="36" customHeight="1" x14ac:dyDescent="0.45">
      <c r="C2552" s="397"/>
      <c r="D2552" s="434">
        <f>TrialBalanceA!C75</f>
        <v>0</v>
      </c>
      <c r="E2552" s="434"/>
      <c r="F2552" s="434"/>
      <c r="G2552" s="434"/>
      <c r="H2552" s="434"/>
      <c r="I2552" s="434"/>
      <c r="J2552" s="449"/>
      <c r="K2552" s="292"/>
      <c r="L2552" s="292"/>
      <c r="M2552" s="400">
        <f>TrialBalanceA!I75</f>
        <v>0</v>
      </c>
      <c r="N2552" s="296"/>
      <c r="O2552" s="401">
        <f>TrialBalanceA!K75</f>
        <v>0</v>
      </c>
      <c r="P2552" s="295"/>
      <c r="R2552" s="348" t="str">
        <f t="shared" si="170"/>
        <v>DELETE</v>
      </c>
      <c r="T2552" s="334"/>
    </row>
    <row r="2553" spans="3:20" ht="36" customHeight="1" x14ac:dyDescent="0.45">
      <c r="C2553" s="397"/>
      <c r="D2553" s="434">
        <f>TrialBalanceA!C76</f>
        <v>0</v>
      </c>
      <c r="E2553" s="434"/>
      <c r="F2553" s="434"/>
      <c r="G2553" s="434"/>
      <c r="H2553" s="434"/>
      <c r="I2553" s="434"/>
      <c r="J2553" s="449"/>
      <c r="K2553" s="292"/>
      <c r="L2553" s="292"/>
      <c r="M2553" s="400">
        <f>TrialBalanceA!I76</f>
        <v>0</v>
      </c>
      <c r="N2553" s="296"/>
      <c r="O2553" s="401">
        <f>TrialBalanceA!K76</f>
        <v>0</v>
      </c>
      <c r="P2553" s="295"/>
      <c r="R2553" s="348" t="str">
        <f t="shared" si="170"/>
        <v>DELETE</v>
      </c>
      <c r="T2553" s="334"/>
    </row>
    <row r="2554" spans="3:20" ht="36" customHeight="1" x14ac:dyDescent="0.45">
      <c r="C2554" s="397"/>
      <c r="D2554" s="434">
        <f>TrialBalanceA!C77</f>
        <v>0</v>
      </c>
      <c r="E2554" s="434"/>
      <c r="F2554" s="434"/>
      <c r="G2554" s="434"/>
      <c r="H2554" s="434"/>
      <c r="I2554" s="434"/>
      <c r="J2554" s="449"/>
      <c r="K2554" s="292"/>
      <c r="L2554" s="292"/>
      <c r="M2554" s="400">
        <f>TrialBalanceA!I77</f>
        <v>0</v>
      </c>
      <c r="N2554" s="296"/>
      <c r="O2554" s="401">
        <f>TrialBalanceA!K77</f>
        <v>0</v>
      </c>
      <c r="P2554" s="295"/>
      <c r="R2554" s="348" t="str">
        <f t="shared" si="170"/>
        <v>DELETE</v>
      </c>
      <c r="T2554" s="334"/>
    </row>
    <row r="2555" spans="3:20" ht="36" customHeight="1" x14ac:dyDescent="0.45">
      <c r="C2555" s="397"/>
      <c r="D2555" s="434">
        <f>TrialBalanceA!C78</f>
        <v>0</v>
      </c>
      <c r="E2555" s="434"/>
      <c r="F2555" s="434"/>
      <c r="G2555" s="434"/>
      <c r="H2555" s="434"/>
      <c r="I2555" s="434"/>
      <c r="J2555" s="449"/>
      <c r="K2555" s="292"/>
      <c r="L2555" s="292"/>
      <c r="M2555" s="400">
        <f>TrialBalanceA!I78</f>
        <v>0</v>
      </c>
      <c r="N2555" s="296"/>
      <c r="O2555" s="401">
        <f>TrialBalanceA!K78</f>
        <v>0</v>
      </c>
      <c r="P2555" s="295"/>
      <c r="R2555" s="348" t="str">
        <f t="shared" si="170"/>
        <v>DELETE</v>
      </c>
      <c r="T2555" s="334"/>
    </row>
    <row r="2556" spans="3:20" ht="36" customHeight="1" x14ac:dyDescent="0.45">
      <c r="C2556" s="397"/>
      <c r="D2556" s="434">
        <f>TrialBalanceA!C79</f>
        <v>0</v>
      </c>
      <c r="E2556" s="434"/>
      <c r="F2556" s="434"/>
      <c r="G2556" s="434"/>
      <c r="H2556" s="434"/>
      <c r="I2556" s="434"/>
      <c r="J2556" s="449"/>
      <c r="K2556" s="292"/>
      <c r="L2556" s="292"/>
      <c r="M2556" s="400">
        <f>TrialBalanceA!I79</f>
        <v>0</v>
      </c>
      <c r="N2556" s="296"/>
      <c r="O2556" s="401">
        <f>TrialBalanceA!K79</f>
        <v>0</v>
      </c>
      <c r="P2556" s="295"/>
      <c r="R2556" s="348" t="str">
        <f t="shared" si="170"/>
        <v>DELETE</v>
      </c>
      <c r="T2556" s="334"/>
    </row>
    <row r="2557" spans="3:20" ht="36" customHeight="1" x14ac:dyDescent="0.45">
      <c r="C2557" s="397"/>
      <c r="D2557" s="434">
        <f>TrialBalanceA!C80</f>
        <v>0</v>
      </c>
      <c r="E2557" s="434"/>
      <c r="F2557" s="434"/>
      <c r="G2557" s="434"/>
      <c r="H2557" s="434"/>
      <c r="I2557" s="434"/>
      <c r="J2557" s="449"/>
      <c r="K2557" s="292"/>
      <c r="L2557" s="292"/>
      <c r="M2557" s="400">
        <f>TrialBalanceA!I80</f>
        <v>0</v>
      </c>
      <c r="N2557" s="296"/>
      <c r="O2557" s="401">
        <f>TrialBalanceA!K80</f>
        <v>0</v>
      </c>
      <c r="P2557" s="295"/>
      <c r="R2557" s="348" t="str">
        <f t="shared" si="170"/>
        <v>DELETE</v>
      </c>
      <c r="T2557" s="334"/>
    </row>
    <row r="2558" spans="3:20" ht="36" customHeight="1" x14ac:dyDescent="0.45">
      <c r="C2558" s="397"/>
      <c r="D2558" s="434">
        <f>TrialBalanceA!C81</f>
        <v>0</v>
      </c>
      <c r="E2558" s="434"/>
      <c r="F2558" s="434"/>
      <c r="G2558" s="434"/>
      <c r="H2558" s="434"/>
      <c r="I2558" s="434"/>
      <c r="J2558" s="449"/>
      <c r="K2558" s="292"/>
      <c r="L2558" s="292"/>
      <c r="M2558" s="400">
        <f>TrialBalanceA!I81</f>
        <v>0</v>
      </c>
      <c r="N2558" s="296"/>
      <c r="O2558" s="401">
        <f>TrialBalanceA!K81</f>
        <v>0</v>
      </c>
      <c r="P2558" s="295"/>
      <c r="R2558" s="348" t="str">
        <f t="shared" si="170"/>
        <v>DELETE</v>
      </c>
      <c r="T2558" s="334"/>
    </row>
    <row r="2559" spans="3:20" ht="36" customHeight="1" x14ac:dyDescent="0.45">
      <c r="C2559" s="397"/>
      <c r="D2559" s="434">
        <f>TrialBalanceA!C82</f>
        <v>0</v>
      </c>
      <c r="E2559" s="434"/>
      <c r="F2559" s="434"/>
      <c r="G2559" s="434"/>
      <c r="H2559" s="434"/>
      <c r="I2559" s="434"/>
      <c r="J2559" s="449"/>
      <c r="K2559" s="292"/>
      <c r="L2559" s="292"/>
      <c r="M2559" s="400">
        <f>TrialBalanceA!I82</f>
        <v>0</v>
      </c>
      <c r="N2559" s="296"/>
      <c r="O2559" s="401">
        <f>TrialBalanceA!K82</f>
        <v>0</v>
      </c>
      <c r="P2559" s="295"/>
      <c r="R2559" s="348" t="str">
        <f t="shared" si="170"/>
        <v>DELETE</v>
      </c>
      <c r="T2559" s="334"/>
    </row>
    <row r="2560" spans="3:20" ht="9" customHeight="1" x14ac:dyDescent="0.45">
      <c r="C2560" s="397"/>
      <c r="D2560" s="434"/>
      <c r="E2560" s="434"/>
      <c r="F2560" s="434"/>
      <c r="G2560" s="434"/>
      <c r="H2560" s="434"/>
      <c r="I2560" s="434"/>
      <c r="J2560" s="449"/>
      <c r="K2560" s="292"/>
      <c r="L2560" s="292"/>
      <c r="M2560" s="402"/>
      <c r="N2560" s="298"/>
      <c r="O2560" s="403"/>
      <c r="P2560" s="295"/>
      <c r="R2560" s="348" t="str">
        <f>R2529</f>
        <v>DELETE</v>
      </c>
      <c r="T2560" s="334"/>
    </row>
    <row r="2561" spans="3:26" ht="9" customHeight="1" x14ac:dyDescent="0.45">
      <c r="C2561" s="397"/>
      <c r="D2561" s="434"/>
      <c r="E2561" s="434"/>
      <c r="F2561" s="434"/>
      <c r="G2561" s="434"/>
      <c r="H2561" s="434"/>
      <c r="I2561" s="434"/>
      <c r="J2561" s="449"/>
      <c r="K2561" s="292"/>
      <c r="L2561" s="292"/>
      <c r="M2561" s="298"/>
      <c r="N2561" s="298"/>
      <c r="O2561" s="298"/>
      <c r="P2561" s="295"/>
      <c r="R2561" s="348" t="str">
        <f t="shared" ref="R2561:R2581" si="172">R$2483</f>
        <v>DELETE</v>
      </c>
      <c r="T2561" s="334"/>
    </row>
    <row r="2562" spans="3:26" ht="9" customHeight="1" x14ac:dyDescent="0.45">
      <c r="C2562" s="397"/>
      <c r="D2562" s="434"/>
      <c r="E2562" s="434"/>
      <c r="F2562" s="434"/>
      <c r="G2562" s="434"/>
      <c r="H2562" s="434"/>
      <c r="I2562" s="434"/>
      <c r="J2562" s="449"/>
      <c r="K2562" s="292"/>
      <c r="L2562" s="292"/>
      <c r="M2562" s="296"/>
      <c r="N2562" s="296"/>
      <c r="O2562" s="296"/>
      <c r="P2562" s="295"/>
      <c r="R2562" s="348" t="str">
        <f t="shared" si="172"/>
        <v>DELETE</v>
      </c>
      <c r="T2562" s="334"/>
    </row>
    <row r="2563" spans="3:26" ht="36" customHeight="1" x14ac:dyDescent="0.45">
      <c r="D2563" s="446" t="str">
        <f>IF((Y2563+Z2563)=3,"Operating profit/(loss)",(IF((Y2563+Z2563=4),"Operating profit","Operating loss")))</f>
        <v>Operating profit</v>
      </c>
      <c r="E2563" s="434"/>
      <c r="F2563" s="434"/>
      <c r="G2563" s="434"/>
      <c r="H2563" s="434"/>
      <c r="I2563" s="434"/>
      <c r="J2563" s="449"/>
      <c r="K2563" s="292"/>
      <c r="L2563" s="292"/>
      <c r="M2563" s="296">
        <f>SUM(S2495:S2561)</f>
        <v>0</v>
      </c>
      <c r="N2563" s="296"/>
      <c r="O2563" s="296">
        <f>SUM(U2495:U2561)</f>
        <v>0</v>
      </c>
      <c r="P2563" s="295"/>
      <c r="R2563" s="348" t="str">
        <f t="shared" si="172"/>
        <v>DELETE</v>
      </c>
      <c r="T2563" s="334"/>
      <c r="Y2563" s="331">
        <f>IF(M2563&lt;0,1,IF(M2563=0,IF(O2563&lt;0,1,2),2))</f>
        <v>2</v>
      </c>
      <c r="Z2563" s="331">
        <f>IF(O2563&lt;0,1,IF(O2563=0,IF(M2563&lt;0,1,2),2))</f>
        <v>2</v>
      </c>
    </row>
    <row r="2564" spans="3:26" ht="36" customHeight="1" x14ac:dyDescent="0.45">
      <c r="C2564" s="397"/>
      <c r="D2564" s="434"/>
      <c r="E2564" s="434" t="s">
        <v>238</v>
      </c>
      <c r="F2564" s="434"/>
      <c r="G2564" s="434"/>
      <c r="H2564" s="434"/>
      <c r="I2564" s="434"/>
      <c r="J2564" s="449"/>
      <c r="K2564" s="292"/>
      <c r="L2564" s="292"/>
      <c r="M2564" s="296"/>
      <c r="N2564" s="296"/>
      <c r="O2564" s="296"/>
      <c r="P2564" s="295"/>
      <c r="R2564" s="348" t="str">
        <f t="shared" si="172"/>
        <v>DELETE</v>
      </c>
      <c r="T2564" s="334"/>
    </row>
    <row r="2565" spans="3:26" ht="36" customHeight="1" x14ac:dyDescent="0.45">
      <c r="C2565" s="397"/>
      <c r="D2565" s="434"/>
      <c r="E2565" s="434"/>
      <c r="F2565" s="434"/>
      <c r="G2565" s="434"/>
      <c r="H2565" s="434"/>
      <c r="I2565" s="434"/>
      <c r="J2565" s="449"/>
      <c r="K2565" s="292"/>
      <c r="L2565" s="292"/>
      <c r="M2565" s="296"/>
      <c r="N2565" s="296"/>
      <c r="O2565" s="296"/>
      <c r="P2565" s="295"/>
      <c r="R2565" s="348" t="str">
        <f t="shared" si="172"/>
        <v>DELETE</v>
      </c>
      <c r="T2565" s="334"/>
    </row>
    <row r="2566" spans="3:26" ht="36" customHeight="1" x14ac:dyDescent="0.45">
      <c r="C2566" s="397"/>
      <c r="D2566" s="434"/>
      <c r="E2566" s="434"/>
      <c r="F2566" s="434"/>
      <c r="G2566" s="434"/>
      <c r="H2566" s="434"/>
      <c r="I2566" s="434"/>
      <c r="J2566" s="449"/>
      <c r="K2566" s="292"/>
      <c r="L2566" s="292"/>
      <c r="M2566" s="296"/>
      <c r="N2566" s="296"/>
      <c r="O2566" s="296"/>
      <c r="P2566" s="295"/>
      <c r="R2566" s="348" t="str">
        <f t="shared" si="172"/>
        <v>DELETE</v>
      </c>
      <c r="T2566" s="334"/>
    </row>
    <row r="2567" spans="3:26" ht="36" customHeight="1" x14ac:dyDescent="0.45">
      <c r="C2567" s="397"/>
      <c r="D2567" s="434"/>
      <c r="E2567" s="434"/>
      <c r="F2567" s="434"/>
      <c r="G2567" s="434"/>
      <c r="H2567" s="434"/>
      <c r="I2567" s="434"/>
      <c r="J2567" s="449"/>
      <c r="K2567" s="292"/>
      <c r="L2567" s="292"/>
      <c r="M2567" s="310"/>
      <c r="N2567" s="310"/>
      <c r="O2567" s="310"/>
      <c r="P2567" s="330"/>
      <c r="R2567" s="348" t="str">
        <f t="shared" si="172"/>
        <v>DELETE</v>
      </c>
      <c r="T2567" s="334"/>
    </row>
    <row r="2568" spans="3:26" ht="36" customHeight="1" x14ac:dyDescent="0.45">
      <c r="C2568" s="397"/>
      <c r="D2568" s="434"/>
      <c r="E2568" s="434"/>
      <c r="F2568" s="434"/>
      <c r="G2568" s="434"/>
      <c r="H2568" s="434"/>
      <c r="I2568" s="434"/>
      <c r="J2568" s="449"/>
      <c r="K2568" s="292"/>
      <c r="L2568" s="292"/>
      <c r="M2568" s="296"/>
      <c r="N2568" s="296"/>
      <c r="O2568" s="296"/>
      <c r="P2568" s="295"/>
      <c r="R2568" s="348" t="str">
        <f t="shared" si="172"/>
        <v>DELETE</v>
      </c>
      <c r="T2568" s="334"/>
    </row>
    <row r="2569" spans="3:26" ht="36" customHeight="1" x14ac:dyDescent="0.45">
      <c r="C2569" s="397"/>
      <c r="D2569" s="434"/>
      <c r="E2569" s="434"/>
      <c r="F2569" s="434"/>
      <c r="G2569" s="434"/>
      <c r="H2569" s="434"/>
      <c r="I2569" s="434"/>
      <c r="J2569" s="449"/>
      <c r="K2569" s="292"/>
      <c r="L2569" s="292"/>
      <c r="M2569" s="296"/>
      <c r="N2569" s="296"/>
      <c r="O2569" s="296" t="s">
        <v>89</v>
      </c>
      <c r="P2569" s="295"/>
      <c r="Q2569" s="292">
        <f>MAX($Q$2483:Q2568)+1</f>
        <v>2</v>
      </c>
      <c r="R2569" s="348" t="str">
        <f t="shared" si="172"/>
        <v>DELETE</v>
      </c>
      <c r="T2569" s="334"/>
    </row>
    <row r="2570" spans="3:26" ht="36" customHeight="1" x14ac:dyDescent="0.45">
      <c r="C2570" s="397"/>
      <c r="D2570" s="433" t="str">
        <f>Criteria!E14</f>
        <v>SUBSIDIARY ONE 111 (PTY) LTD</v>
      </c>
      <c r="E2570" s="434"/>
      <c r="F2570" s="434"/>
      <c r="G2570" s="434"/>
      <c r="H2570" s="434"/>
      <c r="I2570" s="434"/>
      <c r="J2570" s="449"/>
      <c r="K2570" s="292"/>
      <c r="L2570" s="292"/>
      <c r="M2570" s="296"/>
      <c r="N2570" s="296"/>
      <c r="O2570" s="347"/>
      <c r="R2570" s="348" t="str">
        <f t="shared" si="172"/>
        <v>DELETE</v>
      </c>
      <c r="T2570" s="334"/>
    </row>
    <row r="2571" spans="3:26" ht="36" customHeight="1" x14ac:dyDescent="0.45">
      <c r="C2571" s="397"/>
      <c r="D2571" s="438"/>
      <c r="E2571" s="434"/>
      <c r="F2571" s="434"/>
      <c r="G2571" s="434"/>
      <c r="H2571" s="434"/>
      <c r="I2571" s="434"/>
      <c r="J2571" s="449"/>
      <c r="K2571" s="292"/>
      <c r="L2571" s="292"/>
      <c r="M2571" s="296"/>
      <c r="N2571" s="296"/>
      <c r="O2571" s="296"/>
      <c r="P2571" s="295"/>
      <c r="R2571" s="348" t="str">
        <f t="shared" si="172"/>
        <v>DELETE</v>
      </c>
      <c r="T2571" s="334"/>
    </row>
    <row r="2572" spans="3:26" ht="36" customHeight="1" x14ac:dyDescent="0.45">
      <c r="C2572" s="397"/>
      <c r="D2572" s="434"/>
      <c r="E2572" s="434"/>
      <c r="F2572" s="434"/>
      <c r="G2572" s="434"/>
      <c r="H2572" s="434"/>
      <c r="I2572" s="434"/>
      <c r="J2572" s="449"/>
      <c r="K2572" s="292"/>
      <c r="L2572" s="292"/>
      <c r="M2572" s="296"/>
      <c r="N2572" s="296"/>
      <c r="O2572" s="296"/>
      <c r="P2572" s="295"/>
      <c r="R2572" s="348" t="str">
        <f t="shared" si="172"/>
        <v>DELETE</v>
      </c>
      <c r="T2572" s="334"/>
    </row>
    <row r="2573" spans="3:26" ht="36" customHeight="1" x14ac:dyDescent="0.45">
      <c r="C2573" s="397"/>
      <c r="D2573" s="433" t="s">
        <v>86</v>
      </c>
      <c r="E2573" s="434"/>
      <c r="F2573" s="434"/>
      <c r="G2573" s="434"/>
      <c r="H2573" s="434"/>
      <c r="I2573" s="434"/>
      <c r="J2573" s="449"/>
      <c r="K2573" s="292"/>
      <c r="L2573" s="292"/>
      <c r="M2573" s="296"/>
      <c r="N2573" s="296"/>
      <c r="O2573" s="296"/>
      <c r="P2573" s="295"/>
      <c r="R2573" s="348" t="str">
        <f t="shared" si="172"/>
        <v>DELETE</v>
      </c>
      <c r="T2573" s="334"/>
    </row>
    <row r="2574" spans="3:26" ht="36" customHeight="1" x14ac:dyDescent="0.45">
      <c r="C2574" s="397"/>
      <c r="D2574" s="433" t="str">
        <f>D2490</f>
        <v>28 FEBRUARY 2025</v>
      </c>
      <c r="E2574" s="434"/>
      <c r="F2574" s="434"/>
      <c r="G2574" s="434"/>
      <c r="H2574" s="434"/>
      <c r="I2574" s="434"/>
      <c r="J2574" s="434" t="s">
        <v>95</v>
      </c>
      <c r="K2574" s="292"/>
      <c r="L2574" s="292"/>
      <c r="M2574" s="296"/>
      <c r="N2574" s="296"/>
      <c r="O2574" s="296"/>
      <c r="P2574" s="295"/>
      <c r="R2574" s="348" t="str">
        <f t="shared" si="172"/>
        <v>DELETE</v>
      </c>
      <c r="T2574" s="334"/>
    </row>
    <row r="2575" spans="3:26" ht="36" customHeight="1" x14ac:dyDescent="0.45">
      <c r="C2575" s="397"/>
      <c r="D2575" s="434"/>
      <c r="E2575" s="434"/>
      <c r="F2575" s="434"/>
      <c r="G2575" s="434"/>
      <c r="H2575" s="434"/>
      <c r="I2575" s="434"/>
      <c r="J2575" s="449"/>
      <c r="K2575" s="304"/>
      <c r="L2575" s="304"/>
      <c r="M2575" s="298"/>
      <c r="N2575" s="298"/>
      <c r="O2575" s="298"/>
      <c r="P2575" s="295"/>
      <c r="R2575" s="348" t="str">
        <f t="shared" si="172"/>
        <v>DELETE</v>
      </c>
      <c r="T2575" s="334"/>
    </row>
    <row r="2576" spans="3:26" ht="36" customHeight="1" x14ac:dyDescent="0.45">
      <c r="C2576" s="397"/>
      <c r="D2576" s="444"/>
      <c r="E2576" s="444"/>
      <c r="F2576" s="444"/>
      <c r="G2576" s="444"/>
      <c r="H2576" s="444"/>
      <c r="I2576" s="444"/>
      <c r="J2576" s="453"/>
      <c r="M2576" s="351"/>
      <c r="N2576" s="351"/>
      <c r="O2576" s="351"/>
      <c r="P2576" s="313"/>
      <c r="Q2576" s="364"/>
      <c r="R2576" s="348" t="str">
        <f t="shared" si="172"/>
        <v>DELETE</v>
      </c>
      <c r="T2576" s="334"/>
    </row>
    <row r="2577" spans="3:26" ht="36" customHeight="1" x14ac:dyDescent="0.45">
      <c r="C2577" s="397"/>
      <c r="D2577" s="434"/>
      <c r="E2577" s="434"/>
      <c r="F2577" s="434"/>
      <c r="G2577" s="434"/>
      <c r="H2577" s="434"/>
      <c r="I2577" s="434"/>
      <c r="J2577" s="449"/>
      <c r="K2577" s="292" t="s">
        <v>1041</v>
      </c>
      <c r="L2577" s="292"/>
      <c r="M2577" s="294">
        <f>Criteria!E22</f>
        <v>2025</v>
      </c>
      <c r="N2577" s="294"/>
      <c r="O2577" s="294">
        <f>Criteria!E27</f>
        <v>2024</v>
      </c>
      <c r="P2577" s="295"/>
      <c r="R2577" s="348" t="str">
        <f t="shared" si="172"/>
        <v>DELETE</v>
      </c>
      <c r="T2577" s="334"/>
    </row>
    <row r="2578" spans="3:26" ht="36" customHeight="1" x14ac:dyDescent="0.45">
      <c r="C2578" s="397"/>
      <c r="D2578" s="434"/>
      <c r="E2578" s="434"/>
      <c r="F2578" s="434"/>
      <c r="G2578" s="434"/>
      <c r="H2578" s="434"/>
      <c r="I2578" s="434"/>
      <c r="J2578" s="449"/>
      <c r="K2578" s="292"/>
      <c r="L2578" s="292"/>
      <c r="M2578" s="296"/>
      <c r="N2578" s="296"/>
      <c r="O2578" s="296"/>
      <c r="P2578" s="295"/>
      <c r="R2578" s="348" t="str">
        <f t="shared" si="172"/>
        <v>DELETE</v>
      </c>
      <c r="T2578" s="334"/>
    </row>
    <row r="2579" spans="3:26" ht="36" customHeight="1" x14ac:dyDescent="0.45">
      <c r="D2579" s="446" t="str">
        <f>IF((Y2579+Z2579)=3,"Operating profit/(loss)",(IF((Y2579+Z2579=4),"Operating profit","Operating loss")))</f>
        <v>Operating profit</v>
      </c>
      <c r="E2579" s="434"/>
      <c r="F2579" s="434"/>
      <c r="G2579" s="434"/>
      <c r="H2579" s="434"/>
      <c r="I2579" s="434"/>
      <c r="J2579" s="449"/>
      <c r="K2579" s="292"/>
      <c r="L2579" s="292"/>
      <c r="M2579" s="296">
        <f>SUM(S2495:S2560)</f>
        <v>0</v>
      </c>
      <c r="N2579" s="296"/>
      <c r="O2579" s="296">
        <f>SUM(U2495:U2560)</f>
        <v>0</v>
      </c>
      <c r="P2579" s="295"/>
      <c r="R2579" s="348" t="str">
        <f t="shared" si="172"/>
        <v>DELETE</v>
      </c>
      <c r="T2579" s="334"/>
      <c r="V2579" s="331" t="b">
        <f>M2579=M2563</f>
        <v>1</v>
      </c>
      <c r="X2579" s="331" t="b">
        <f>O2579=O2563</f>
        <v>1</v>
      </c>
      <c r="Y2579" s="331">
        <f>IF(M2579&lt;0,1,IF(M2579=0,IF(O2579&lt;0,1,2),2))</f>
        <v>2</v>
      </c>
      <c r="Z2579" s="331">
        <f>IF(O2579&lt;0,1,IF(O2579=0,IF(M2579&lt;0,1,2),2))</f>
        <v>2</v>
      </c>
    </row>
    <row r="2580" spans="3:26" ht="36" customHeight="1" x14ac:dyDescent="0.45">
      <c r="C2580" s="397"/>
      <c r="D2580" s="434"/>
      <c r="E2580" s="434" t="s">
        <v>239</v>
      </c>
      <c r="F2580" s="434"/>
      <c r="G2580" s="434"/>
      <c r="H2580" s="434"/>
      <c r="I2580" s="434"/>
      <c r="J2580" s="449"/>
      <c r="K2580" s="292"/>
      <c r="L2580" s="292"/>
      <c r="M2580" s="296"/>
      <c r="N2580" s="296"/>
      <c r="O2580" s="296"/>
      <c r="P2580" s="295"/>
      <c r="R2580" s="348" t="str">
        <f t="shared" si="172"/>
        <v>DELETE</v>
      </c>
      <c r="T2580" s="334"/>
    </row>
    <row r="2581" spans="3:26" ht="36" customHeight="1" x14ac:dyDescent="0.45">
      <c r="C2581" s="397"/>
      <c r="D2581" s="434"/>
      <c r="E2581" s="434"/>
      <c r="F2581" s="434"/>
      <c r="G2581" s="434"/>
      <c r="H2581" s="434"/>
      <c r="I2581" s="434"/>
      <c r="J2581" s="449"/>
      <c r="K2581" s="292"/>
      <c r="L2581" s="292"/>
      <c r="M2581" s="296"/>
      <c r="N2581" s="296"/>
      <c r="O2581" s="296"/>
      <c r="P2581" s="295"/>
      <c r="R2581" s="348" t="str">
        <f t="shared" si="172"/>
        <v>DELETE</v>
      </c>
      <c r="T2581" s="334"/>
    </row>
    <row r="2582" spans="3:26" ht="36" customHeight="1" x14ac:dyDescent="0.45">
      <c r="D2582" s="433" t="s">
        <v>1076</v>
      </c>
      <c r="E2582" s="434"/>
      <c r="F2582" s="434"/>
      <c r="G2582" s="434"/>
      <c r="H2582" s="434"/>
      <c r="I2582" s="434"/>
      <c r="J2582" s="449"/>
      <c r="K2582" s="292"/>
      <c r="L2582" s="292"/>
      <c r="M2582" s="296">
        <f>SUM(M2585:M2618)</f>
        <v>0</v>
      </c>
      <c r="N2582" s="296"/>
      <c r="O2582" s="296">
        <f>SUM(O2585:O2618)</f>
        <v>0</v>
      </c>
      <c r="P2582" s="295"/>
      <c r="R2582" s="348" t="str">
        <f t="shared" ref="R2582" si="173">IF(R$2483="DELETE","DELETE",IF(M2582+O2582=0,"DELETE"," "))</f>
        <v>DELETE</v>
      </c>
      <c r="S2582" s="333">
        <f>-M2582</f>
        <v>0</v>
      </c>
      <c r="T2582" s="334"/>
      <c r="U2582" s="333">
        <f>-O2582</f>
        <v>0</v>
      </c>
      <c r="V2582" s="333"/>
      <c r="W2582" s="333"/>
      <c r="X2582" s="333"/>
    </row>
    <row r="2583" spans="3:26" ht="9" customHeight="1" x14ac:dyDescent="0.45">
      <c r="C2583" s="397"/>
      <c r="D2583" s="434"/>
      <c r="E2583" s="434"/>
      <c r="F2583" s="434"/>
      <c r="G2583" s="434"/>
      <c r="H2583" s="434"/>
      <c r="I2583" s="434"/>
      <c r="J2583" s="449"/>
      <c r="K2583" s="292"/>
      <c r="L2583" s="292"/>
      <c r="M2583" s="296"/>
      <c r="N2583" s="296"/>
      <c r="O2583" s="296"/>
      <c r="P2583" s="295"/>
      <c r="R2583" s="348" t="str">
        <f>R2582</f>
        <v>DELETE</v>
      </c>
      <c r="T2583" s="334"/>
    </row>
    <row r="2584" spans="3:26" ht="9" customHeight="1" x14ac:dyDescent="0.45">
      <c r="C2584" s="397"/>
      <c r="D2584" s="434"/>
      <c r="E2584" s="434"/>
      <c r="F2584" s="434"/>
      <c r="G2584" s="434"/>
      <c r="H2584" s="434"/>
      <c r="I2584" s="434"/>
      <c r="J2584" s="449"/>
      <c r="K2584" s="292"/>
      <c r="L2584" s="292"/>
      <c r="M2584" s="398"/>
      <c r="N2584" s="297"/>
      <c r="O2584" s="399"/>
      <c r="P2584" s="295"/>
      <c r="R2584" s="348" t="str">
        <f>R2583</f>
        <v>DELETE</v>
      </c>
      <c r="T2584" s="334"/>
    </row>
    <row r="2585" spans="3:26" ht="36" customHeight="1" x14ac:dyDescent="0.45">
      <c r="C2585" s="397"/>
      <c r="D2585" s="434" t="s">
        <v>199</v>
      </c>
      <c r="E2585" s="434"/>
      <c r="F2585" s="434"/>
      <c r="G2585" s="434"/>
      <c r="H2585" s="434"/>
      <c r="I2585" s="434"/>
      <c r="J2585" s="449"/>
      <c r="K2585" s="292"/>
      <c r="L2585" s="292"/>
      <c r="M2585" s="400">
        <f>SUM(TrialBalanceA!I99:I102)</f>
        <v>0</v>
      </c>
      <c r="N2585" s="296"/>
      <c r="O2585" s="401">
        <f>SUM(TrialBalanceA!K99:K102)</f>
        <v>0</v>
      </c>
      <c r="P2585" s="295"/>
      <c r="R2585" s="348" t="str">
        <f t="shared" ref="R2585:R2616" si="174">IF(R$2483="DELETE","DELETE",IF(M2585+O2585=0,"DELETE"," "))</f>
        <v>DELETE</v>
      </c>
      <c r="T2585" s="334"/>
    </row>
    <row r="2586" spans="3:26" ht="36" customHeight="1" x14ac:dyDescent="0.45">
      <c r="C2586" s="397"/>
      <c r="D2586" s="434" t="s">
        <v>203</v>
      </c>
      <c r="E2586" s="434"/>
      <c r="F2586" s="434"/>
      <c r="G2586" s="434"/>
      <c r="H2586" s="434"/>
      <c r="I2586" s="434"/>
      <c r="J2586" s="449"/>
      <c r="K2586" s="292"/>
      <c r="L2586" s="292"/>
      <c r="M2586" s="400">
        <f>TrialBalanceA!I104</f>
        <v>0</v>
      </c>
      <c r="N2586" s="296"/>
      <c r="O2586" s="401">
        <f>TrialBalanceA!K104</f>
        <v>0</v>
      </c>
      <c r="P2586" s="295"/>
      <c r="R2586" s="348" t="str">
        <f t="shared" ref="R2586" si="175">IF(R$2483="DELETE","DELETE",IF(M2586+O2586=0,"DELETE"," "))</f>
        <v>DELETE</v>
      </c>
      <c r="T2586" s="334"/>
    </row>
    <row r="2587" spans="3:26" ht="36" customHeight="1" x14ac:dyDescent="0.45">
      <c r="C2587" s="397"/>
      <c r="D2587" s="434" t="s">
        <v>201</v>
      </c>
      <c r="E2587" s="434"/>
      <c r="F2587" s="434"/>
      <c r="G2587" s="434"/>
      <c r="H2587" s="434"/>
      <c r="I2587" s="434"/>
      <c r="J2587" s="449"/>
      <c r="K2587" s="292"/>
      <c r="L2587" s="292"/>
      <c r="M2587" s="400">
        <f>TrialBalanceA!I103</f>
        <v>0</v>
      </c>
      <c r="N2587" s="296"/>
      <c r="O2587" s="401">
        <f>TrialBalanceA!K103</f>
        <v>0</v>
      </c>
      <c r="P2587" s="295"/>
      <c r="R2587" s="348" t="str">
        <f t="shared" si="174"/>
        <v>DELETE</v>
      </c>
      <c r="T2587" s="334"/>
    </row>
    <row r="2588" spans="3:26" ht="36" customHeight="1" x14ac:dyDescent="0.45">
      <c r="C2588" s="397"/>
      <c r="D2588" s="434" t="s">
        <v>240</v>
      </c>
      <c r="E2588" s="434"/>
      <c r="F2588" s="434"/>
      <c r="G2588" s="434"/>
      <c r="H2588" s="434"/>
      <c r="I2588" s="434"/>
      <c r="J2588" s="449"/>
      <c r="K2588" s="292"/>
      <c r="L2588" s="292"/>
      <c r="M2588" s="400">
        <f>TrialBalanceA!I105</f>
        <v>0</v>
      </c>
      <c r="N2588" s="296"/>
      <c r="O2588" s="401">
        <f>TrialBalanceA!K105</f>
        <v>0</v>
      </c>
      <c r="P2588" s="295"/>
      <c r="R2588" s="348" t="str">
        <f t="shared" si="174"/>
        <v>DELETE</v>
      </c>
      <c r="T2588" s="334"/>
    </row>
    <row r="2589" spans="3:26" ht="36" customHeight="1" x14ac:dyDescent="0.45">
      <c r="C2589" s="397"/>
      <c r="D2589" s="434" t="s">
        <v>206</v>
      </c>
      <c r="E2589" s="434"/>
      <c r="F2589" s="434"/>
      <c r="G2589" s="434"/>
      <c r="H2589" s="434"/>
      <c r="I2589" s="434"/>
      <c r="J2589" s="449"/>
      <c r="K2589" s="292"/>
      <c r="L2589" s="292"/>
      <c r="M2589" s="400">
        <f>TrialBalanceA!I106</f>
        <v>0</v>
      </c>
      <c r="N2589" s="296"/>
      <c r="O2589" s="401">
        <f>TrialBalanceA!K106</f>
        <v>0</v>
      </c>
      <c r="P2589" s="295"/>
      <c r="R2589" s="348" t="str">
        <f t="shared" si="174"/>
        <v>DELETE</v>
      </c>
      <c r="T2589" s="334"/>
    </row>
    <row r="2590" spans="3:26" ht="36" customHeight="1" x14ac:dyDescent="0.45">
      <c r="C2590" s="397"/>
      <c r="D2590" s="434" t="s">
        <v>680</v>
      </c>
      <c r="E2590" s="434"/>
      <c r="F2590" s="434"/>
      <c r="G2590" s="434"/>
      <c r="H2590" s="434"/>
      <c r="I2590" s="434"/>
      <c r="J2590" s="449"/>
      <c r="K2590" s="292"/>
      <c r="L2590" s="292"/>
      <c r="M2590" s="400">
        <f>TrialBalanceA!I107</f>
        <v>0</v>
      </c>
      <c r="N2590" s="296"/>
      <c r="O2590" s="401">
        <f>TrialBalanceA!K107</f>
        <v>0</v>
      </c>
      <c r="P2590" s="295"/>
      <c r="R2590" s="348" t="str">
        <f t="shared" si="174"/>
        <v>DELETE</v>
      </c>
      <c r="T2590" s="334"/>
    </row>
    <row r="2591" spans="3:26" ht="36" customHeight="1" x14ac:dyDescent="0.45">
      <c r="C2591" s="397"/>
      <c r="D2591" s="434" t="s">
        <v>1212</v>
      </c>
      <c r="E2591" s="434"/>
      <c r="F2591" s="434"/>
      <c r="G2591" s="434"/>
      <c r="H2591" s="434"/>
      <c r="I2591" s="434"/>
      <c r="J2591" s="449"/>
      <c r="K2591" s="292"/>
      <c r="L2591" s="292"/>
      <c r="M2591" s="400">
        <f>TrialBalanceA!I108</f>
        <v>0</v>
      </c>
      <c r="N2591" s="296"/>
      <c r="O2591" s="401">
        <f>TrialBalanceA!K108</f>
        <v>0</v>
      </c>
      <c r="P2591" s="295"/>
      <c r="R2591" s="348" t="str">
        <f t="shared" ref="R2591" si="176">IF(R$2483="DELETE","DELETE",IF(M2591+O2591=0,"DELETE"," "))</f>
        <v>DELETE</v>
      </c>
      <c r="T2591" s="334"/>
    </row>
    <row r="2592" spans="3:26" ht="36" customHeight="1" x14ac:dyDescent="0.45">
      <c r="C2592" s="397"/>
      <c r="D2592" s="434" t="s">
        <v>252</v>
      </c>
      <c r="E2592" s="434"/>
      <c r="F2592" s="434"/>
      <c r="G2592" s="434"/>
      <c r="H2592" s="434"/>
      <c r="I2592" s="434"/>
      <c r="J2592" s="449"/>
      <c r="K2592" s="292">
        <f>B$958</f>
        <v>5</v>
      </c>
      <c r="L2592" s="292"/>
      <c r="M2592" s="400">
        <f>SUM(TrialBalanceA!I110:I111)</f>
        <v>0</v>
      </c>
      <c r="N2592" s="296"/>
      <c r="O2592" s="401">
        <f>SUM(TrialBalanceA!K110:K111)</f>
        <v>0</v>
      </c>
      <c r="P2592" s="295"/>
      <c r="R2592" s="348" t="str">
        <f t="shared" si="174"/>
        <v>DELETE</v>
      </c>
      <c r="T2592" s="334"/>
    </row>
    <row r="2593" spans="3:20" ht="36" customHeight="1" x14ac:dyDescent="0.45">
      <c r="C2593" s="397"/>
      <c r="D2593" s="434" t="str">
        <f>IF(MAX(Criteria!I38:I42)&gt;1,"Directors' remuneration","Director's remuneration")</f>
        <v>Directors' remuneration</v>
      </c>
      <c r="E2593" s="434"/>
      <c r="F2593" s="434"/>
      <c r="G2593" s="434"/>
      <c r="H2593" s="434"/>
      <c r="I2593" s="434"/>
      <c r="J2593" s="449"/>
      <c r="K2593" s="292">
        <f>B$958</f>
        <v>5</v>
      </c>
      <c r="L2593" s="292"/>
      <c r="M2593" s="400">
        <f>SUM(TrialBalanceA!I113:I117)</f>
        <v>0</v>
      </c>
      <c r="N2593" s="296"/>
      <c r="O2593" s="401">
        <f>SUM(TrialBalanceA!K113:K117)</f>
        <v>0</v>
      </c>
      <c r="P2593" s="295"/>
      <c r="R2593" s="348" t="str">
        <f t="shared" si="174"/>
        <v>DELETE</v>
      </c>
      <c r="T2593" s="334"/>
    </row>
    <row r="2594" spans="3:20" ht="36" customHeight="1" x14ac:dyDescent="0.45">
      <c r="C2594" s="397"/>
      <c r="D2594" s="434" t="s">
        <v>241</v>
      </c>
      <c r="E2594" s="434"/>
      <c r="F2594" s="434"/>
      <c r="G2594" s="434"/>
      <c r="H2594" s="434"/>
      <c r="I2594" s="434"/>
      <c r="J2594" s="449"/>
      <c r="K2594" s="292"/>
      <c r="L2594" s="292"/>
      <c r="M2594" s="400">
        <f>TrialBalanceA!I118</f>
        <v>0</v>
      </c>
      <c r="N2594" s="296"/>
      <c r="O2594" s="401">
        <f>TrialBalanceA!K118</f>
        <v>0</v>
      </c>
      <c r="P2594" s="295"/>
      <c r="R2594" s="348" t="str">
        <f t="shared" si="174"/>
        <v>DELETE</v>
      </c>
      <c r="T2594" s="334"/>
    </row>
    <row r="2595" spans="3:20" ht="36" customHeight="1" x14ac:dyDescent="0.45">
      <c r="C2595" s="397"/>
      <c r="D2595" s="434" t="s">
        <v>344</v>
      </c>
      <c r="E2595" s="434"/>
      <c r="F2595" s="434"/>
      <c r="G2595" s="434"/>
      <c r="H2595" s="434"/>
      <c r="I2595" s="434"/>
      <c r="J2595" s="449"/>
      <c r="K2595" s="292"/>
      <c r="L2595" s="292"/>
      <c r="M2595" s="400">
        <f>TrialBalanceA!I119</f>
        <v>0</v>
      </c>
      <c r="N2595" s="296"/>
      <c r="O2595" s="401">
        <f>TrialBalanceA!K119</f>
        <v>0</v>
      </c>
      <c r="P2595" s="295"/>
      <c r="R2595" s="348" t="str">
        <f t="shared" si="174"/>
        <v>DELETE</v>
      </c>
      <c r="T2595" s="334"/>
    </row>
    <row r="2596" spans="3:20" ht="36" customHeight="1" x14ac:dyDescent="0.45">
      <c r="C2596" s="397"/>
      <c r="D2596" s="434" t="s">
        <v>305</v>
      </c>
      <c r="E2596" s="434"/>
      <c r="F2596" s="434"/>
      <c r="G2596" s="434"/>
      <c r="H2596" s="434"/>
      <c r="I2596" s="434"/>
      <c r="J2596" s="449"/>
      <c r="K2596" s="292"/>
      <c r="L2596" s="292"/>
      <c r="M2596" s="400">
        <f>TrialBalanceA!I120</f>
        <v>0</v>
      </c>
      <c r="N2596" s="296"/>
      <c r="O2596" s="401">
        <f>TrialBalanceA!K120</f>
        <v>0</v>
      </c>
      <c r="P2596" s="295"/>
      <c r="R2596" s="348" t="str">
        <f t="shared" si="174"/>
        <v>DELETE</v>
      </c>
      <c r="T2596" s="334"/>
    </row>
    <row r="2597" spans="3:20" ht="36" customHeight="1" x14ac:dyDescent="0.45">
      <c r="C2597" s="397"/>
      <c r="D2597" s="434" t="s">
        <v>346</v>
      </c>
      <c r="E2597" s="434"/>
      <c r="F2597" s="434"/>
      <c r="G2597" s="434"/>
      <c r="H2597" s="434"/>
      <c r="I2597" s="434"/>
      <c r="J2597" s="449"/>
      <c r="K2597" s="292"/>
      <c r="L2597" s="292"/>
      <c r="M2597" s="400">
        <f>TrialBalanceA!I121</f>
        <v>0</v>
      </c>
      <c r="N2597" s="296"/>
      <c r="O2597" s="401">
        <f>TrialBalanceA!K121</f>
        <v>0</v>
      </c>
      <c r="P2597" s="295"/>
      <c r="R2597" s="348" t="str">
        <f t="shared" si="174"/>
        <v>DELETE</v>
      </c>
      <c r="T2597" s="334"/>
    </row>
    <row r="2598" spans="3:20" ht="36" customHeight="1" x14ac:dyDescent="0.45">
      <c r="C2598" s="397"/>
      <c r="D2598" s="434" t="s">
        <v>921</v>
      </c>
      <c r="E2598" s="434"/>
      <c r="F2598" s="434"/>
      <c r="G2598" s="434"/>
      <c r="H2598" s="434"/>
      <c r="I2598" s="434"/>
      <c r="J2598" s="449"/>
      <c r="K2598" s="292"/>
      <c r="L2598" s="292"/>
      <c r="M2598" s="400">
        <f>TrialBalanceA!I156</f>
        <v>0</v>
      </c>
      <c r="N2598" s="296"/>
      <c r="O2598" s="401">
        <f>TrialBalanceA!K156</f>
        <v>0</v>
      </c>
      <c r="P2598" s="295"/>
      <c r="R2598" s="348" t="str">
        <f>IF(R$2483="DELETE","DELETE",IF(M2598+O2598=0,"DELETE"," "))</f>
        <v>DELETE</v>
      </c>
      <c r="T2598" s="334"/>
    </row>
    <row r="2599" spans="3:20" ht="36" customHeight="1" x14ac:dyDescent="0.45">
      <c r="C2599" s="397"/>
      <c r="D2599" s="434" t="s">
        <v>490</v>
      </c>
      <c r="E2599" s="434"/>
      <c r="F2599" s="434"/>
      <c r="G2599" s="434"/>
      <c r="H2599" s="434"/>
      <c r="I2599" s="434"/>
      <c r="J2599" s="449"/>
      <c r="K2599" s="292"/>
      <c r="L2599" s="292"/>
      <c r="M2599" s="400">
        <f>TrialBalanceA!I122+TrialBalanceA!I123</f>
        <v>0</v>
      </c>
      <c r="N2599" s="296"/>
      <c r="O2599" s="401">
        <f>TrialBalanceA!K122+TrialBalanceA!K123</f>
        <v>0</v>
      </c>
      <c r="P2599" s="295"/>
      <c r="R2599" s="348" t="str">
        <f t="shared" si="174"/>
        <v>DELETE</v>
      </c>
      <c r="T2599" s="334"/>
    </row>
    <row r="2600" spans="3:20" ht="36" customHeight="1" x14ac:dyDescent="0.45">
      <c r="C2600" s="397"/>
      <c r="D2600" s="434" t="s">
        <v>512</v>
      </c>
      <c r="E2600" s="434"/>
      <c r="F2600" s="434"/>
      <c r="G2600" s="434"/>
      <c r="H2600" s="434"/>
      <c r="I2600" s="434"/>
      <c r="J2600" s="449"/>
      <c r="K2600" s="292"/>
      <c r="L2600" s="292"/>
      <c r="M2600" s="400">
        <f>IF(TrialBalanceA!I94&gt;0,TrialBalanceA!I94,0)</f>
        <v>0</v>
      </c>
      <c r="N2600" s="296"/>
      <c r="O2600" s="401">
        <f>IF(TrialBalanceA!K94&gt;0,TrialBalanceA!K94,0)</f>
        <v>0</v>
      </c>
      <c r="P2600" s="295"/>
      <c r="R2600" s="348" t="str">
        <f>IF(R$2483="DELETE","DELETE",IF(M2600+O2600=0,"DELETE"," "))</f>
        <v>DELETE</v>
      </c>
      <c r="T2600" s="334"/>
    </row>
    <row r="2601" spans="3:20" ht="36" customHeight="1" x14ac:dyDescent="0.45">
      <c r="C2601" s="397"/>
      <c r="D2601" s="434" t="s">
        <v>681</v>
      </c>
      <c r="E2601" s="434"/>
      <c r="F2601" s="434"/>
      <c r="G2601" s="434"/>
      <c r="H2601" s="434"/>
      <c r="I2601" s="434"/>
      <c r="J2601" s="449"/>
      <c r="K2601" s="292"/>
      <c r="L2601" s="292"/>
      <c r="M2601" s="400">
        <f>TrialBalanceA!I124</f>
        <v>0</v>
      </c>
      <c r="N2601" s="296"/>
      <c r="O2601" s="401">
        <f>TrialBalanceA!K124</f>
        <v>0</v>
      </c>
      <c r="P2601" s="295"/>
      <c r="R2601" s="348" t="str">
        <f>IF(R$2483="DELETE","DELETE",IF(M2601+O2601=0,"DELETE"," "))</f>
        <v>DELETE</v>
      </c>
      <c r="T2601" s="334"/>
    </row>
    <row r="2602" spans="3:20" ht="36" customHeight="1" x14ac:dyDescent="0.45">
      <c r="C2602" s="397"/>
      <c r="D2602" s="434" t="s">
        <v>242</v>
      </c>
      <c r="E2602" s="434"/>
      <c r="F2602" s="434"/>
      <c r="G2602" s="434"/>
      <c r="H2602" s="434"/>
      <c r="I2602" s="434"/>
      <c r="J2602" s="449"/>
      <c r="K2602" s="292"/>
      <c r="L2602" s="292"/>
      <c r="M2602" s="400">
        <f>TrialBalanceA!I125</f>
        <v>0</v>
      </c>
      <c r="N2602" s="296"/>
      <c r="O2602" s="401">
        <f>TrialBalanceA!K125</f>
        <v>0</v>
      </c>
      <c r="P2602" s="295"/>
      <c r="R2602" s="348" t="str">
        <f t="shared" si="174"/>
        <v>DELETE</v>
      </c>
      <c r="T2602" s="334"/>
    </row>
    <row r="2603" spans="3:20" ht="36" customHeight="1" x14ac:dyDescent="0.45">
      <c r="C2603" s="397"/>
      <c r="D2603" s="434" t="s">
        <v>235</v>
      </c>
      <c r="E2603" s="434"/>
      <c r="F2603" s="434"/>
      <c r="G2603" s="434"/>
      <c r="H2603" s="434"/>
      <c r="I2603" s="434"/>
      <c r="J2603" s="449"/>
      <c r="K2603" s="292"/>
      <c r="L2603" s="292"/>
      <c r="M2603" s="400">
        <f>SUM(TrialBalanceA!I126:I127)</f>
        <v>0</v>
      </c>
      <c r="N2603" s="296"/>
      <c r="O2603" s="401">
        <f>SUM(TrialBalanceA!K126:K127)</f>
        <v>0</v>
      </c>
      <c r="P2603" s="295"/>
      <c r="R2603" s="348" t="str">
        <f t="shared" si="174"/>
        <v>DELETE</v>
      </c>
      <c r="T2603" s="334"/>
    </row>
    <row r="2604" spans="3:20" ht="36" customHeight="1" x14ac:dyDescent="0.45">
      <c r="C2604" s="397"/>
      <c r="D2604" s="434" t="s">
        <v>243</v>
      </c>
      <c r="E2604" s="434"/>
      <c r="F2604" s="434"/>
      <c r="G2604" s="434"/>
      <c r="H2604" s="434"/>
      <c r="I2604" s="434"/>
      <c r="J2604" s="449"/>
      <c r="K2604" s="292"/>
      <c r="L2604" s="292"/>
      <c r="M2604" s="400">
        <f>TrialBalanceA!I128</f>
        <v>0</v>
      </c>
      <c r="N2604" s="296"/>
      <c r="O2604" s="401">
        <f>TrialBalanceA!K128</f>
        <v>0</v>
      </c>
      <c r="P2604" s="295"/>
      <c r="R2604" s="348" t="str">
        <f t="shared" si="174"/>
        <v>DELETE</v>
      </c>
      <c r="T2604" s="334"/>
    </row>
    <row r="2605" spans="3:20" ht="36" customHeight="1" x14ac:dyDescent="0.45">
      <c r="C2605" s="397"/>
      <c r="D2605" s="434" t="s">
        <v>682</v>
      </c>
      <c r="E2605" s="434"/>
      <c r="F2605" s="434"/>
      <c r="G2605" s="434"/>
      <c r="H2605" s="434"/>
      <c r="I2605" s="434"/>
      <c r="J2605" s="449"/>
      <c r="K2605" s="292"/>
      <c r="L2605" s="292"/>
      <c r="M2605" s="400">
        <f>TrialBalanceA!I129</f>
        <v>0</v>
      </c>
      <c r="N2605" s="296"/>
      <c r="O2605" s="401">
        <f>TrialBalanceA!K129</f>
        <v>0</v>
      </c>
      <c r="P2605" s="295"/>
      <c r="R2605" s="348" t="str">
        <f t="shared" si="174"/>
        <v>DELETE</v>
      </c>
      <c r="T2605" s="334"/>
    </row>
    <row r="2606" spans="3:20" ht="36" customHeight="1" x14ac:dyDescent="0.45">
      <c r="C2606" s="397"/>
      <c r="D2606" s="434" t="s">
        <v>74</v>
      </c>
      <c r="E2606" s="434"/>
      <c r="F2606" s="434"/>
      <c r="G2606" s="434"/>
      <c r="H2606" s="434"/>
      <c r="I2606" s="434"/>
      <c r="J2606" s="449"/>
      <c r="K2606" s="292"/>
      <c r="L2606" s="292"/>
      <c r="M2606" s="400">
        <f>TrialBalanceA!I130</f>
        <v>0</v>
      </c>
      <c r="N2606" s="296"/>
      <c r="O2606" s="401">
        <f>TrialBalanceA!K130</f>
        <v>0</v>
      </c>
      <c r="P2606" s="295"/>
      <c r="R2606" s="348" t="str">
        <f t="shared" si="174"/>
        <v>DELETE</v>
      </c>
      <c r="T2606" s="334"/>
    </row>
    <row r="2607" spans="3:20" ht="36" customHeight="1" x14ac:dyDescent="0.45">
      <c r="C2607" s="397"/>
      <c r="D2607" s="434">
        <f>TrialBalanceA!C131</f>
        <v>0</v>
      </c>
      <c r="E2607" s="434"/>
      <c r="F2607" s="434"/>
      <c r="G2607" s="434"/>
      <c r="H2607" s="434"/>
      <c r="I2607" s="434"/>
      <c r="J2607" s="449"/>
      <c r="K2607" s="292"/>
      <c r="L2607" s="292"/>
      <c r="M2607" s="400">
        <f>TrialBalanceA!I131</f>
        <v>0</v>
      </c>
      <c r="N2607" s="296"/>
      <c r="O2607" s="401">
        <f>TrialBalanceA!K131</f>
        <v>0</v>
      </c>
      <c r="P2607" s="295"/>
      <c r="R2607" s="348" t="str">
        <f t="shared" si="174"/>
        <v>DELETE</v>
      </c>
      <c r="T2607" s="334"/>
    </row>
    <row r="2608" spans="3:20" ht="36" customHeight="1" x14ac:dyDescent="0.45">
      <c r="C2608" s="397"/>
      <c r="D2608" s="434">
        <f>TrialBalanceA!C132</f>
        <v>0</v>
      </c>
      <c r="E2608" s="434"/>
      <c r="F2608" s="434"/>
      <c r="G2608" s="434"/>
      <c r="H2608" s="434"/>
      <c r="I2608" s="434"/>
      <c r="J2608" s="449"/>
      <c r="K2608" s="292"/>
      <c r="L2608" s="292"/>
      <c r="M2608" s="400">
        <f>TrialBalanceA!I132</f>
        <v>0</v>
      </c>
      <c r="N2608" s="296"/>
      <c r="O2608" s="401">
        <f>TrialBalanceA!K132</f>
        <v>0</v>
      </c>
      <c r="P2608" s="295"/>
      <c r="R2608" s="348" t="str">
        <f t="shared" si="174"/>
        <v>DELETE</v>
      </c>
      <c r="T2608" s="334"/>
    </row>
    <row r="2609" spans="3:26" ht="36" customHeight="1" x14ac:dyDescent="0.45">
      <c r="C2609" s="397"/>
      <c r="D2609" s="434">
        <f>TrialBalanceA!C133</f>
        <v>0</v>
      </c>
      <c r="E2609" s="434"/>
      <c r="F2609" s="434"/>
      <c r="G2609" s="434"/>
      <c r="H2609" s="434"/>
      <c r="I2609" s="434"/>
      <c r="J2609" s="449"/>
      <c r="K2609" s="292"/>
      <c r="L2609" s="292"/>
      <c r="M2609" s="400">
        <f>TrialBalanceA!I133</f>
        <v>0</v>
      </c>
      <c r="N2609" s="296"/>
      <c r="O2609" s="401">
        <f>TrialBalanceA!K133</f>
        <v>0</v>
      </c>
      <c r="P2609" s="295"/>
      <c r="R2609" s="348" t="str">
        <f t="shared" si="174"/>
        <v>DELETE</v>
      </c>
      <c r="T2609" s="334"/>
    </row>
    <row r="2610" spans="3:26" ht="36" customHeight="1" x14ac:dyDescent="0.45">
      <c r="C2610" s="397"/>
      <c r="D2610" s="434">
        <f>TrialBalanceA!C134</f>
        <v>0</v>
      </c>
      <c r="E2610" s="434"/>
      <c r="F2610" s="434"/>
      <c r="G2610" s="434"/>
      <c r="H2610" s="434"/>
      <c r="I2610" s="434"/>
      <c r="J2610" s="449"/>
      <c r="K2610" s="292"/>
      <c r="L2610" s="292"/>
      <c r="M2610" s="400">
        <f>TrialBalanceA!I134</f>
        <v>0</v>
      </c>
      <c r="N2610" s="296"/>
      <c r="O2610" s="401">
        <f>TrialBalanceA!K134</f>
        <v>0</v>
      </c>
      <c r="P2610" s="295"/>
      <c r="R2610" s="348" t="str">
        <f t="shared" si="174"/>
        <v>DELETE</v>
      </c>
      <c r="T2610" s="334"/>
    </row>
    <row r="2611" spans="3:26" ht="36" customHeight="1" x14ac:dyDescent="0.45">
      <c r="C2611" s="397"/>
      <c r="D2611" s="434">
        <f>TrialBalanceA!C135</f>
        <v>0</v>
      </c>
      <c r="E2611" s="434"/>
      <c r="F2611" s="434"/>
      <c r="G2611" s="434"/>
      <c r="H2611" s="434"/>
      <c r="I2611" s="434"/>
      <c r="J2611" s="449"/>
      <c r="K2611" s="292"/>
      <c r="L2611" s="292"/>
      <c r="M2611" s="400">
        <f>TrialBalanceA!I135</f>
        <v>0</v>
      </c>
      <c r="N2611" s="296"/>
      <c r="O2611" s="401">
        <f>TrialBalanceA!K135</f>
        <v>0</v>
      </c>
      <c r="P2611" s="295"/>
      <c r="R2611" s="348" t="str">
        <f t="shared" si="174"/>
        <v>DELETE</v>
      </c>
      <c r="T2611" s="334"/>
    </row>
    <row r="2612" spans="3:26" ht="36" customHeight="1" x14ac:dyDescent="0.45">
      <c r="C2612" s="397"/>
      <c r="D2612" s="434">
        <f>TrialBalanceA!C136</f>
        <v>0</v>
      </c>
      <c r="E2612" s="434"/>
      <c r="F2612" s="434"/>
      <c r="G2612" s="434"/>
      <c r="H2612" s="434"/>
      <c r="I2612" s="434"/>
      <c r="J2612" s="449"/>
      <c r="K2612" s="292"/>
      <c r="L2612" s="292"/>
      <c r="M2612" s="400">
        <f>TrialBalanceA!I136</f>
        <v>0</v>
      </c>
      <c r="N2612" s="296"/>
      <c r="O2612" s="401">
        <f>TrialBalanceA!K136</f>
        <v>0</v>
      </c>
      <c r="P2612" s="295"/>
      <c r="R2612" s="348" t="str">
        <f t="shared" si="174"/>
        <v>DELETE</v>
      </c>
      <c r="T2612" s="334"/>
    </row>
    <row r="2613" spans="3:26" ht="36" customHeight="1" x14ac:dyDescent="0.45">
      <c r="C2613" s="397"/>
      <c r="D2613" s="434">
        <f>TrialBalanceA!C137</f>
        <v>0</v>
      </c>
      <c r="E2613" s="434"/>
      <c r="F2613" s="434"/>
      <c r="G2613" s="434"/>
      <c r="H2613" s="434"/>
      <c r="I2613" s="434"/>
      <c r="J2613" s="449"/>
      <c r="K2613" s="292"/>
      <c r="L2613" s="292"/>
      <c r="M2613" s="400">
        <f>TrialBalanceA!I137</f>
        <v>0</v>
      </c>
      <c r="N2613" s="296"/>
      <c r="O2613" s="401">
        <f>TrialBalanceA!K137</f>
        <v>0</v>
      </c>
      <c r="P2613" s="295"/>
      <c r="R2613" s="348" t="str">
        <f t="shared" si="174"/>
        <v>DELETE</v>
      </c>
      <c r="T2613" s="334"/>
    </row>
    <row r="2614" spans="3:26" ht="36" customHeight="1" x14ac:dyDescent="0.45">
      <c r="C2614" s="397"/>
      <c r="D2614" s="434">
        <f>TrialBalanceA!C138</f>
        <v>0</v>
      </c>
      <c r="E2614" s="434"/>
      <c r="F2614" s="434"/>
      <c r="G2614" s="434"/>
      <c r="H2614" s="434"/>
      <c r="I2614" s="434"/>
      <c r="J2614" s="449"/>
      <c r="K2614" s="292"/>
      <c r="L2614" s="292"/>
      <c r="M2614" s="400">
        <f>TrialBalanceA!I138</f>
        <v>0</v>
      </c>
      <c r="N2614" s="296"/>
      <c r="O2614" s="401">
        <f>TrialBalanceA!K138</f>
        <v>0</v>
      </c>
      <c r="P2614" s="295"/>
      <c r="R2614" s="348" t="str">
        <f t="shared" si="174"/>
        <v>DELETE</v>
      </c>
      <c r="T2614" s="334"/>
    </row>
    <row r="2615" spans="3:26" ht="36" customHeight="1" x14ac:dyDescent="0.45">
      <c r="C2615" s="397"/>
      <c r="D2615" s="434">
        <f>TrialBalanceA!C139</f>
        <v>0</v>
      </c>
      <c r="E2615" s="434"/>
      <c r="F2615" s="434"/>
      <c r="G2615" s="434"/>
      <c r="H2615" s="434"/>
      <c r="I2615" s="434"/>
      <c r="J2615" s="449"/>
      <c r="K2615" s="292"/>
      <c r="L2615" s="292"/>
      <c r="M2615" s="400">
        <f>TrialBalanceA!I139</f>
        <v>0</v>
      </c>
      <c r="N2615" s="296"/>
      <c r="O2615" s="401">
        <f>TrialBalanceA!K139</f>
        <v>0</v>
      </c>
      <c r="P2615" s="295"/>
      <c r="R2615" s="348" t="str">
        <f t="shared" si="174"/>
        <v>DELETE</v>
      </c>
      <c r="T2615" s="334"/>
    </row>
    <row r="2616" spans="3:26" ht="36" customHeight="1" x14ac:dyDescent="0.45">
      <c r="C2616" s="397"/>
      <c r="D2616" s="434" t="str">
        <f>TrialBalanceA!C140</f>
        <v>Amortisation of prepaid lease agreement</v>
      </c>
      <c r="E2616" s="434"/>
      <c r="F2616" s="434"/>
      <c r="G2616" s="434"/>
      <c r="H2616" s="434"/>
      <c r="I2616" s="434"/>
      <c r="J2616" s="449"/>
      <c r="K2616" s="292"/>
      <c r="L2616" s="292"/>
      <c r="M2616" s="400">
        <f>TrialBalanceA!I140</f>
        <v>0</v>
      </c>
      <c r="N2616" s="296"/>
      <c r="O2616" s="401">
        <f>TrialBalanceA!K140</f>
        <v>0</v>
      </c>
      <c r="P2616" s="295"/>
      <c r="R2616" s="348" t="str">
        <f t="shared" si="174"/>
        <v>DELETE</v>
      </c>
      <c r="T2616" s="334"/>
    </row>
    <row r="2617" spans="3:26" ht="36" customHeight="1" x14ac:dyDescent="0.45">
      <c r="C2617" s="397"/>
      <c r="D2617" s="434" t="str">
        <f>TrialBalanceA!C141</f>
        <v>Amortisation of goodwill</v>
      </c>
      <c r="E2617" s="434"/>
      <c r="F2617" s="434"/>
      <c r="G2617" s="434"/>
      <c r="H2617" s="434"/>
      <c r="I2617" s="434"/>
      <c r="J2617" s="449"/>
      <c r="K2617" s="292"/>
      <c r="L2617" s="292"/>
      <c r="M2617" s="400">
        <f>TrialBalanceA!I141</f>
        <v>0</v>
      </c>
      <c r="N2617" s="296"/>
      <c r="O2617" s="401">
        <f>TrialBalanceA!K141</f>
        <v>0</v>
      </c>
      <c r="P2617" s="295"/>
      <c r="R2617" s="348" t="str">
        <f t="shared" ref="R2617" si="177">IF(R$2483="DELETE","DELETE",IF(M2617+O2617=0,"DELETE"," "))</f>
        <v>DELETE</v>
      </c>
      <c r="T2617" s="334"/>
    </row>
    <row r="2618" spans="3:26" ht="9" customHeight="1" x14ac:dyDescent="0.45">
      <c r="C2618" s="397"/>
      <c r="D2618" s="434"/>
      <c r="E2618" s="434"/>
      <c r="F2618" s="434"/>
      <c r="G2618" s="434"/>
      <c r="H2618" s="434"/>
      <c r="I2618" s="434"/>
      <c r="J2618" s="449"/>
      <c r="K2618" s="292"/>
      <c r="L2618" s="292"/>
      <c r="M2618" s="402"/>
      <c r="N2618" s="298"/>
      <c r="O2618" s="403"/>
      <c r="P2618" s="295"/>
      <c r="R2618" s="348" t="str">
        <f>R2582</f>
        <v>DELETE</v>
      </c>
      <c r="T2618" s="334"/>
    </row>
    <row r="2619" spans="3:26" ht="9" customHeight="1" x14ac:dyDescent="0.45">
      <c r="C2619" s="397"/>
      <c r="D2619" s="434"/>
      <c r="E2619" s="434"/>
      <c r="F2619" s="434"/>
      <c r="G2619" s="434"/>
      <c r="H2619" s="434"/>
      <c r="I2619" s="434"/>
      <c r="J2619" s="449"/>
      <c r="K2619" s="292"/>
      <c r="L2619" s="292"/>
      <c r="M2619" s="298"/>
      <c r="N2619" s="298"/>
      <c r="O2619" s="298"/>
      <c r="P2619" s="295"/>
      <c r="R2619" s="348" t="str">
        <f>R$2483</f>
        <v>DELETE</v>
      </c>
      <c r="T2619" s="334"/>
    </row>
    <row r="2620" spans="3:26" ht="9" customHeight="1" x14ac:dyDescent="0.45">
      <c r="C2620" s="397"/>
      <c r="D2620" s="434"/>
      <c r="E2620" s="434"/>
      <c r="F2620" s="434"/>
      <c r="G2620" s="434"/>
      <c r="H2620" s="434"/>
      <c r="I2620" s="434"/>
      <c r="J2620" s="449"/>
      <c r="K2620" s="292"/>
      <c r="L2620" s="292"/>
      <c r="M2620" s="296"/>
      <c r="N2620" s="296"/>
      <c r="O2620" s="296"/>
      <c r="P2620" s="295"/>
      <c r="R2620" s="348" t="str">
        <f>R$2483</f>
        <v>DELETE</v>
      </c>
      <c r="T2620" s="334"/>
    </row>
    <row r="2621" spans="3:26" ht="36" customHeight="1" x14ac:dyDescent="0.45">
      <c r="D2621" s="446" t="str">
        <f>IF((Y2621+Z2621)=3,"Operating profit/(loss) for the year",(IF((Y2621+Z2621=4),"Operating profit for the year","Operating loss for the year")))</f>
        <v>Operating profit for the year</v>
      </c>
      <c r="E2621" s="434"/>
      <c r="F2621" s="434"/>
      <c r="G2621" s="434"/>
      <c r="H2621" s="434"/>
      <c r="I2621" s="434"/>
      <c r="J2621" s="449"/>
      <c r="K2621" s="292">
        <f>FS!B958</f>
        <v>5</v>
      </c>
      <c r="L2621" s="292"/>
      <c r="M2621" s="296">
        <f>SUM(S2495:S2618)</f>
        <v>0</v>
      </c>
      <c r="N2621" s="296"/>
      <c r="O2621" s="296">
        <f>SUM(U2495:U2618)</f>
        <v>0</v>
      </c>
      <c r="P2621" s="295"/>
      <c r="R2621" s="348" t="str">
        <f>R$2483</f>
        <v>DELETE</v>
      </c>
      <c r="T2621" s="334"/>
      <c r="Y2621" s="331">
        <f>IF(M2621&lt;0,1,IF(M2621=0,IF(O2621&lt;0,1,2),2))</f>
        <v>2</v>
      </c>
      <c r="Z2621" s="331">
        <f>IF(O2621&lt;0,1,IF(O2621=0,IF(M2621&lt;0,1,2),2))</f>
        <v>2</v>
      </c>
    </row>
    <row r="2622" spans="3:26" ht="36" customHeight="1" x14ac:dyDescent="0.45">
      <c r="C2622" s="397"/>
      <c r="D2622" s="434"/>
      <c r="E2622" s="434"/>
      <c r="F2622" s="434"/>
      <c r="G2622" s="434"/>
      <c r="H2622" s="434"/>
      <c r="I2622" s="434"/>
      <c r="J2622" s="449"/>
      <c r="K2622" s="292"/>
      <c r="L2622" s="292"/>
      <c r="M2622" s="296"/>
      <c r="N2622" s="296"/>
      <c r="O2622" s="296"/>
      <c r="P2622" s="295"/>
      <c r="R2622" s="348" t="str">
        <f>R$2483</f>
        <v>DELETE</v>
      </c>
      <c r="T2622" s="334"/>
    </row>
    <row r="2623" spans="3:26" ht="36" customHeight="1" x14ac:dyDescent="0.45">
      <c r="D2623" s="433" t="s">
        <v>191</v>
      </c>
      <c r="E2623" s="434"/>
      <c r="F2623" s="434"/>
      <c r="G2623" s="434"/>
      <c r="H2623" s="434"/>
      <c r="I2623" s="434"/>
      <c r="J2623" s="449"/>
      <c r="K2623" s="292">
        <f>FS!B1072</f>
        <v>6</v>
      </c>
      <c r="L2623" s="292"/>
      <c r="M2623" s="296">
        <f>SUM(M2626:M2633)</f>
        <v>0</v>
      </c>
      <c r="N2623" s="296"/>
      <c r="O2623" s="296">
        <f>SUM(O2626:O2633)</f>
        <v>0</v>
      </c>
      <c r="P2623" s="295"/>
      <c r="R2623" s="348" t="str">
        <f t="shared" ref="R2623" si="178">IF(R$2483="DELETE","DELETE",IF(M2623+O2623=0,"DELETE"," "))</f>
        <v>DELETE</v>
      </c>
      <c r="S2623" s="333">
        <f>M2623</f>
        <v>0</v>
      </c>
      <c r="T2623" s="334"/>
      <c r="U2623" s="333">
        <f>O2623</f>
        <v>0</v>
      </c>
      <c r="V2623" s="333"/>
      <c r="W2623" s="333"/>
      <c r="X2623" s="333"/>
    </row>
    <row r="2624" spans="3:26" ht="9" customHeight="1" x14ac:dyDescent="0.45">
      <c r="C2624" s="397"/>
      <c r="D2624" s="434"/>
      <c r="E2624" s="434"/>
      <c r="F2624" s="434"/>
      <c r="G2624" s="434"/>
      <c r="H2624" s="434"/>
      <c r="I2624" s="434"/>
      <c r="J2624" s="449"/>
      <c r="K2624" s="292"/>
      <c r="L2624" s="292"/>
      <c r="M2624" s="296"/>
      <c r="N2624" s="296"/>
      <c r="O2624" s="296"/>
      <c r="P2624" s="295"/>
      <c r="R2624" s="348" t="str">
        <f>R2623</f>
        <v>DELETE</v>
      </c>
      <c r="T2624" s="334"/>
    </row>
    <row r="2625" spans="3:24" ht="9" customHeight="1" x14ac:dyDescent="0.45">
      <c r="C2625" s="397"/>
      <c r="D2625" s="434"/>
      <c r="E2625" s="434"/>
      <c r="F2625" s="434"/>
      <c r="G2625" s="434"/>
      <c r="H2625" s="434"/>
      <c r="I2625" s="434"/>
      <c r="J2625" s="449"/>
      <c r="K2625" s="292"/>
      <c r="L2625" s="292"/>
      <c r="M2625" s="398"/>
      <c r="N2625" s="297"/>
      <c r="O2625" s="399"/>
      <c r="P2625" s="295"/>
      <c r="R2625" s="348" t="str">
        <f>R2624</f>
        <v>DELETE</v>
      </c>
      <c r="T2625" s="334"/>
    </row>
    <row r="2626" spans="3:24" ht="36" customHeight="1" x14ac:dyDescent="0.45">
      <c r="C2626" s="397"/>
      <c r="D2626" s="434" t="s">
        <v>189</v>
      </c>
      <c r="E2626" s="434"/>
      <c r="F2626" s="434"/>
      <c r="G2626" s="434"/>
      <c r="H2626" s="434"/>
      <c r="I2626" s="434"/>
      <c r="J2626" s="449"/>
      <c r="K2626" s="292"/>
      <c r="L2626" s="292"/>
      <c r="M2626" s="400">
        <f>-TrialBalanceA!I95</f>
        <v>0</v>
      </c>
      <c r="N2626" s="296"/>
      <c r="O2626" s="401">
        <f>-TrialBalanceA!K95</f>
        <v>0</v>
      </c>
      <c r="P2626" s="295"/>
      <c r="R2626" s="348" t="str">
        <f t="shared" ref="R2626:R2631" si="179">IF(R$2483="DELETE","DELETE",IF(M2626+O2626=0,"DELETE"," "))</f>
        <v>DELETE</v>
      </c>
      <c r="T2626" s="334"/>
    </row>
    <row r="2627" spans="3:24" ht="36" customHeight="1" x14ac:dyDescent="0.45">
      <c r="C2627" s="397"/>
      <c r="D2627" s="434" t="s">
        <v>496</v>
      </c>
      <c r="E2627" s="434"/>
      <c r="F2627" s="434"/>
      <c r="G2627" s="434"/>
      <c r="H2627" s="434"/>
      <c r="I2627" s="434"/>
      <c r="J2627" s="449"/>
      <c r="K2627" s="292"/>
      <c r="L2627" s="292"/>
      <c r="M2627" s="400">
        <f>-SUM(TrialBalanceA!I91:I93)</f>
        <v>0</v>
      </c>
      <c r="N2627" s="296"/>
      <c r="O2627" s="401">
        <f>-SUM(TrialBalanceA!K91:K93)</f>
        <v>0</v>
      </c>
      <c r="P2627" s="295"/>
      <c r="R2627" s="348" t="str">
        <f t="shared" si="179"/>
        <v>DELETE</v>
      </c>
      <c r="T2627" s="334"/>
    </row>
    <row r="2628" spans="3:24" ht="36" customHeight="1" x14ac:dyDescent="0.45">
      <c r="C2628" s="397"/>
      <c r="D2628" s="434" t="s">
        <v>497</v>
      </c>
      <c r="E2628" s="434"/>
      <c r="F2628" s="434"/>
      <c r="G2628" s="434"/>
      <c r="H2628" s="434"/>
      <c r="I2628" s="434"/>
      <c r="J2628" s="449"/>
      <c r="K2628" s="292"/>
      <c r="L2628" s="292"/>
      <c r="M2628" s="417">
        <f>-SUM(TrialBalanceA!I86:I89)</f>
        <v>0</v>
      </c>
      <c r="N2628" s="302"/>
      <c r="O2628" s="418">
        <f>-SUM(TrialBalanceA!K86:K89)</f>
        <v>0</v>
      </c>
      <c r="P2628" s="295"/>
      <c r="R2628" s="348" t="str">
        <f t="shared" si="179"/>
        <v>DELETE</v>
      </c>
      <c r="T2628" s="334"/>
    </row>
    <row r="2629" spans="3:24" ht="36" customHeight="1" x14ac:dyDescent="0.45">
      <c r="C2629" s="397"/>
      <c r="D2629" s="434" t="s">
        <v>191</v>
      </c>
      <c r="E2629" s="434"/>
      <c r="F2629" s="434"/>
      <c r="G2629" s="434"/>
      <c r="H2629" s="434"/>
      <c r="I2629" s="434"/>
      <c r="J2629" s="449"/>
      <c r="K2629" s="292"/>
      <c r="L2629" s="292"/>
      <c r="M2629" s="417">
        <f>-SUM(TrialBalanceA!I96)</f>
        <v>0</v>
      </c>
      <c r="N2629" s="302"/>
      <c r="O2629" s="418">
        <f>-TrialBalanceA!K96</f>
        <v>0</v>
      </c>
      <c r="P2629" s="295"/>
      <c r="R2629" s="348" t="str">
        <f t="shared" si="179"/>
        <v>DELETE</v>
      </c>
      <c r="T2629" s="334"/>
    </row>
    <row r="2630" spans="3:24" ht="36" customHeight="1" x14ac:dyDescent="0.45">
      <c r="C2630" s="397"/>
      <c r="D2630" s="434" t="s">
        <v>513</v>
      </c>
      <c r="E2630" s="434"/>
      <c r="F2630" s="434"/>
      <c r="G2630" s="434"/>
      <c r="H2630" s="434"/>
      <c r="I2630" s="434"/>
      <c r="J2630" s="449"/>
      <c r="K2630" s="292"/>
      <c r="L2630" s="292"/>
      <c r="M2630" s="400">
        <f>IF(TrialBalanceA!I94&lt;0,-TrialBalanceA!I94,0)</f>
        <v>0</v>
      </c>
      <c r="N2630" s="296"/>
      <c r="O2630" s="401">
        <f>IF(TrialBalanceA!K94&lt;0,-TrialBalanceA!K94,0)</f>
        <v>0</v>
      </c>
      <c r="P2630" s="295"/>
      <c r="R2630" s="348" t="str">
        <f t="shared" si="179"/>
        <v>DELETE</v>
      </c>
      <c r="T2630" s="334"/>
    </row>
    <row r="2631" spans="3:24" ht="36" customHeight="1" x14ac:dyDescent="0.45">
      <c r="C2631" s="397"/>
      <c r="D2631" s="434" t="s">
        <v>334</v>
      </c>
      <c r="E2631" s="434"/>
      <c r="F2631" s="434"/>
      <c r="G2631" s="434"/>
      <c r="H2631" s="434"/>
      <c r="I2631" s="434"/>
      <c r="J2631" s="449"/>
      <c r="K2631" s="292"/>
      <c r="L2631" s="292"/>
      <c r="M2631" s="400">
        <f>-TrialBalanceA!I84</f>
        <v>0</v>
      </c>
      <c r="N2631" s="296"/>
      <c r="O2631" s="401">
        <f>-TrialBalanceA!K84</f>
        <v>0</v>
      </c>
      <c r="P2631" s="295"/>
      <c r="R2631" s="348" t="str">
        <f t="shared" si="179"/>
        <v>DELETE</v>
      </c>
      <c r="T2631" s="334"/>
    </row>
    <row r="2632" spans="3:24" ht="36" customHeight="1" x14ac:dyDescent="0.45">
      <c r="C2632" s="397"/>
      <c r="D2632" s="434" t="str">
        <f>TrialBalance!C97</f>
        <v>Revaluation of investment property</v>
      </c>
      <c r="E2632" s="434"/>
      <c r="F2632" s="434"/>
      <c r="G2632" s="434"/>
      <c r="H2632" s="434"/>
      <c r="I2632" s="434"/>
      <c r="J2632" s="449"/>
      <c r="K2632" s="292"/>
      <c r="L2632" s="292"/>
      <c r="M2632" s="400">
        <f>-TrialBalanceA!I97</f>
        <v>0</v>
      </c>
      <c r="N2632" s="296"/>
      <c r="O2632" s="401">
        <f>-TrialBalanceA!K97</f>
        <v>0</v>
      </c>
      <c r="P2632" s="295"/>
      <c r="R2632" s="348" t="str">
        <f t="shared" ref="R2632" si="180">IF(R$2483="DELETE","DELETE",IF(M2632+O2632=0,"DELETE"," "))</f>
        <v>DELETE</v>
      </c>
      <c r="T2632" s="334"/>
    </row>
    <row r="2633" spans="3:24" ht="9" customHeight="1" x14ac:dyDescent="0.45">
      <c r="C2633" s="397"/>
      <c r="D2633" s="434"/>
      <c r="E2633" s="434"/>
      <c r="F2633" s="434"/>
      <c r="G2633" s="434"/>
      <c r="H2633" s="434"/>
      <c r="I2633" s="434"/>
      <c r="J2633" s="449"/>
      <c r="K2633" s="292"/>
      <c r="L2633" s="292"/>
      <c r="M2633" s="402"/>
      <c r="N2633" s="298"/>
      <c r="O2633" s="403"/>
      <c r="P2633" s="295"/>
      <c r="R2633" s="348" t="str">
        <f>R2623</f>
        <v>DELETE</v>
      </c>
      <c r="T2633" s="334"/>
    </row>
    <row r="2634" spans="3:24" ht="9" customHeight="1" x14ac:dyDescent="0.45">
      <c r="C2634" s="397"/>
      <c r="D2634" s="434"/>
      <c r="E2634" s="434"/>
      <c r="F2634" s="434"/>
      <c r="G2634" s="434"/>
      <c r="H2634" s="434"/>
      <c r="I2634" s="434"/>
      <c r="J2634" s="449"/>
      <c r="K2634" s="292"/>
      <c r="L2634" s="292"/>
      <c r="M2634" s="298"/>
      <c r="N2634" s="298"/>
      <c r="O2634" s="298"/>
      <c r="P2634" s="295"/>
      <c r="R2634" s="348" t="str">
        <f>R2633</f>
        <v>DELETE</v>
      </c>
      <c r="T2634" s="334"/>
    </row>
    <row r="2635" spans="3:24" ht="9" customHeight="1" x14ac:dyDescent="0.45">
      <c r="C2635" s="397"/>
      <c r="D2635" s="434"/>
      <c r="E2635" s="434"/>
      <c r="F2635" s="434"/>
      <c r="G2635" s="434"/>
      <c r="H2635" s="434"/>
      <c r="I2635" s="434"/>
      <c r="J2635" s="449"/>
      <c r="K2635" s="292"/>
      <c r="L2635" s="292"/>
      <c r="M2635" s="296"/>
      <c r="N2635" s="296"/>
      <c r="O2635" s="296"/>
      <c r="P2635" s="295"/>
      <c r="R2635" s="348" t="str">
        <f>R2634</f>
        <v>DELETE</v>
      </c>
      <c r="T2635" s="334"/>
    </row>
    <row r="2636" spans="3:24" ht="36" customHeight="1" x14ac:dyDescent="0.45">
      <c r="C2636" s="397"/>
      <c r="D2636" s="434"/>
      <c r="E2636" s="434"/>
      <c r="F2636" s="434"/>
      <c r="G2636" s="434"/>
      <c r="H2636" s="434"/>
      <c r="I2636" s="434"/>
      <c r="J2636" s="449"/>
      <c r="K2636" s="292"/>
      <c r="L2636" s="292"/>
      <c r="M2636" s="296">
        <f>SUM(S2495:S2633)</f>
        <v>0</v>
      </c>
      <c r="N2636" s="296"/>
      <c r="O2636" s="296">
        <f>SUM(U2495:U2633)</f>
        <v>0</v>
      </c>
      <c r="P2636" s="295"/>
      <c r="R2636" s="348" t="str">
        <f>R2635</f>
        <v>DELETE</v>
      </c>
      <c r="T2636" s="334"/>
    </row>
    <row r="2637" spans="3:24" ht="36" customHeight="1" x14ac:dyDescent="0.45">
      <c r="C2637" s="397"/>
      <c r="D2637" s="434"/>
      <c r="E2637" s="434"/>
      <c r="F2637" s="434"/>
      <c r="G2637" s="434"/>
      <c r="H2637" s="434"/>
      <c r="I2637" s="434"/>
      <c r="J2637" s="449"/>
      <c r="K2637" s="292"/>
      <c r="L2637" s="292"/>
      <c r="M2637" s="296"/>
      <c r="N2637" s="296"/>
      <c r="O2637" s="296"/>
      <c r="P2637" s="295"/>
      <c r="R2637" s="348" t="str">
        <f>R2636</f>
        <v>DELETE</v>
      </c>
      <c r="T2637" s="334"/>
    </row>
    <row r="2638" spans="3:24" ht="36" customHeight="1" x14ac:dyDescent="0.45">
      <c r="D2638" s="434" t="s">
        <v>1077</v>
      </c>
      <c r="E2638" s="434"/>
      <c r="F2638" s="434"/>
      <c r="G2638" s="434"/>
      <c r="H2638" s="434"/>
      <c r="I2638" s="434"/>
      <c r="J2638" s="449"/>
      <c r="K2638" s="292">
        <f>FS!B1132</f>
        <v>7</v>
      </c>
      <c r="L2638" s="292"/>
      <c r="M2638" s="296">
        <f>SUM(TrialBalanceA!I144:I154)</f>
        <v>0</v>
      </c>
      <c r="N2638" s="296"/>
      <c r="O2638" s="296">
        <f>SUM(TrialBalanceA!K144:K154)</f>
        <v>0</v>
      </c>
      <c r="P2638" s="295"/>
      <c r="R2638" s="348" t="str">
        <f t="shared" ref="R2638" si="181">IF(R$2483="DELETE","DELETE",IF(M2638+O2638=0,"DELETE"," "))</f>
        <v>DELETE</v>
      </c>
      <c r="S2638" s="333">
        <f>-M2638</f>
        <v>0</v>
      </c>
      <c r="T2638" s="334"/>
      <c r="U2638" s="333">
        <f>-O2638</f>
        <v>0</v>
      </c>
      <c r="V2638" s="333"/>
      <c r="W2638" s="333"/>
      <c r="X2638" s="333"/>
    </row>
    <row r="2639" spans="3:24" ht="9" customHeight="1" x14ac:dyDescent="0.45">
      <c r="C2639" s="397"/>
      <c r="D2639" s="434"/>
      <c r="E2639" s="434"/>
      <c r="F2639" s="434"/>
      <c r="G2639" s="434"/>
      <c r="H2639" s="434"/>
      <c r="I2639" s="434"/>
      <c r="J2639" s="449"/>
      <c r="K2639" s="292"/>
      <c r="L2639" s="292"/>
      <c r="M2639" s="298"/>
      <c r="N2639" s="298"/>
      <c r="O2639" s="298"/>
      <c r="P2639" s="295"/>
      <c r="R2639" s="348" t="str">
        <f t="shared" ref="R2639:R2647" si="182">R$2483</f>
        <v>DELETE</v>
      </c>
      <c r="T2639" s="334"/>
    </row>
    <row r="2640" spans="3:24" ht="9" customHeight="1" x14ac:dyDescent="0.45">
      <c r="C2640" s="397"/>
      <c r="D2640" s="434"/>
      <c r="E2640" s="434"/>
      <c r="F2640" s="434"/>
      <c r="G2640" s="434"/>
      <c r="H2640" s="434"/>
      <c r="I2640" s="434"/>
      <c r="J2640" s="449"/>
      <c r="K2640" s="292"/>
      <c r="L2640" s="292"/>
      <c r="M2640" s="296"/>
      <c r="N2640" s="296"/>
      <c r="O2640" s="296"/>
      <c r="P2640" s="295"/>
      <c r="R2640" s="348" t="str">
        <f t="shared" si="182"/>
        <v>DELETE</v>
      </c>
      <c r="T2640" s="334"/>
    </row>
    <row r="2641" spans="3:26" ht="36.75" customHeight="1" x14ac:dyDescent="0.45">
      <c r="D2641" s="446" t="str">
        <f>IF((Y2641+Z2641)=3,"Profit/(Loss) before taxation",(IF((Y2641+Z2641=4),"Profit before taxation","Loss before taxation")))</f>
        <v>Profit before taxation</v>
      </c>
      <c r="E2641" s="434"/>
      <c r="F2641" s="434"/>
      <c r="G2641" s="434"/>
      <c r="H2641" s="434"/>
      <c r="I2641" s="434"/>
      <c r="J2641" s="449"/>
      <c r="K2641" s="292"/>
      <c r="L2641" s="292"/>
      <c r="M2641" s="296">
        <f>SUM(S2495:S2640)</f>
        <v>0</v>
      </c>
      <c r="N2641" s="296"/>
      <c r="O2641" s="296">
        <f>SUM(U2495:U2640)</f>
        <v>0</v>
      </c>
      <c r="P2641" s="295"/>
      <c r="R2641" s="348" t="str">
        <f t="shared" si="182"/>
        <v>DELETE</v>
      </c>
      <c r="T2641" s="334"/>
      <c r="V2641" s="331" t="b">
        <f>M2641=FS!M2467</f>
        <v>1</v>
      </c>
      <c r="X2641" s="331" t="b">
        <f>O2641=FS!O2467</f>
        <v>1</v>
      </c>
      <c r="Y2641" s="331">
        <f>IF(M2641&lt;0,1,IF(M2641=0,IF(O2641&lt;0,1,2),2))</f>
        <v>2</v>
      </c>
      <c r="Z2641" s="331">
        <f>IF(O2641&lt;0,1,IF(O2641=0,IF(M2641&lt;0,1,2),2))</f>
        <v>2</v>
      </c>
    </row>
    <row r="2642" spans="3:26" ht="9" customHeight="1" thickBot="1" x14ac:dyDescent="0.5">
      <c r="C2642" s="397"/>
      <c r="D2642" s="434"/>
      <c r="E2642" s="434"/>
      <c r="F2642" s="434"/>
      <c r="G2642" s="434"/>
      <c r="H2642" s="434"/>
      <c r="I2642" s="434"/>
      <c r="J2642" s="449"/>
      <c r="K2642" s="292"/>
      <c r="L2642" s="292"/>
      <c r="M2642" s="299"/>
      <c r="N2642" s="299"/>
      <c r="O2642" s="299"/>
      <c r="P2642" s="295"/>
      <c r="R2642" s="348" t="str">
        <f t="shared" si="182"/>
        <v>DELETE</v>
      </c>
      <c r="T2642" s="334"/>
    </row>
    <row r="2643" spans="3:26" ht="9" customHeight="1" thickTop="1" x14ac:dyDescent="0.45">
      <c r="C2643" s="397"/>
      <c r="D2643" s="434"/>
      <c r="E2643" s="434"/>
      <c r="F2643" s="434"/>
      <c r="G2643" s="434"/>
      <c r="H2643" s="434"/>
      <c r="I2643" s="434"/>
      <c r="J2643" s="449"/>
      <c r="K2643" s="292"/>
      <c r="L2643" s="292"/>
      <c r="M2643" s="310"/>
      <c r="N2643" s="310"/>
      <c r="O2643" s="310"/>
      <c r="P2643" s="295"/>
      <c r="R2643" s="348" t="str">
        <f t="shared" si="182"/>
        <v>DELETE</v>
      </c>
      <c r="T2643" s="334"/>
    </row>
    <row r="2644" spans="3:26" ht="36" customHeight="1" x14ac:dyDescent="0.45">
      <c r="C2644" s="397"/>
      <c r="D2644" s="434"/>
      <c r="E2644" s="434"/>
      <c r="F2644" s="434"/>
      <c r="G2644" s="434"/>
      <c r="H2644" s="434"/>
      <c r="I2644" s="434"/>
      <c r="J2644" s="449"/>
      <c r="K2644" s="292"/>
      <c r="L2644" s="292"/>
      <c r="M2644" s="296"/>
      <c r="N2644" s="296"/>
      <c r="O2644" s="296"/>
      <c r="P2644" s="295"/>
      <c r="R2644" s="348" t="str">
        <f t="shared" si="182"/>
        <v>DELETE</v>
      </c>
      <c r="T2644" s="334"/>
    </row>
    <row r="2645" spans="3:26" ht="36" customHeight="1" x14ac:dyDescent="0.45">
      <c r="C2645" s="397"/>
      <c r="D2645" s="434"/>
      <c r="E2645" s="434"/>
      <c r="F2645" s="434"/>
      <c r="G2645" s="434"/>
      <c r="H2645" s="434"/>
      <c r="I2645" s="434"/>
      <c r="J2645" s="449"/>
      <c r="K2645" s="292"/>
      <c r="L2645" s="292"/>
      <c r="M2645" s="296"/>
      <c r="N2645" s="296"/>
      <c r="O2645" s="296"/>
      <c r="P2645" s="295"/>
      <c r="R2645" s="348" t="str">
        <f t="shared" si="182"/>
        <v>DELETE</v>
      </c>
      <c r="T2645" s="334"/>
    </row>
    <row r="2646" spans="3:26" ht="36" customHeight="1" x14ac:dyDescent="0.5">
      <c r="C2646" s="353"/>
      <c r="D2646" s="434"/>
      <c r="E2646" s="434"/>
      <c r="F2646" s="434"/>
      <c r="G2646" s="434"/>
      <c r="H2646" s="434"/>
      <c r="I2646" s="434"/>
      <c r="J2646" s="434"/>
      <c r="M2646" s="371"/>
      <c r="N2646" s="371"/>
      <c r="O2646" s="371"/>
      <c r="P2646" s="356"/>
      <c r="R2646" s="348" t="str">
        <f t="shared" si="182"/>
        <v>DELETE</v>
      </c>
      <c r="T2646" s="334"/>
    </row>
    <row r="2647" spans="3:26" ht="36" customHeight="1" x14ac:dyDescent="0.5">
      <c r="C2647" s="353"/>
      <c r="D2647" s="434"/>
      <c r="E2647" s="434"/>
      <c r="F2647" s="434"/>
      <c r="G2647" s="434"/>
      <c r="H2647" s="434"/>
      <c r="I2647" s="434"/>
      <c r="J2647" s="434"/>
      <c r="M2647" s="351"/>
      <c r="N2647" s="351"/>
      <c r="O2647" s="351"/>
      <c r="R2647" s="348" t="str">
        <f t="shared" si="182"/>
        <v>DELETE</v>
      </c>
      <c r="T2647" s="334"/>
    </row>
    <row r="2648" spans="3:26" ht="36" customHeight="1" x14ac:dyDescent="0.5">
      <c r="C2648" s="353"/>
      <c r="D2648" s="434"/>
      <c r="E2648" s="434"/>
      <c r="F2648" s="434"/>
      <c r="G2648" s="434"/>
      <c r="H2648" s="434"/>
      <c r="I2648" s="434"/>
      <c r="J2648" s="434"/>
      <c r="M2648" s="351"/>
      <c r="N2648" s="351"/>
      <c r="O2648" s="296" t="s">
        <v>89</v>
      </c>
      <c r="Q2648" s="292">
        <v>1</v>
      </c>
      <c r="R2648" s="348" t="str">
        <f>IF(SUM(U2495:U2499)+SUM(U2515:U2524)+SUM(U2623:U2633)+O2641=0,IF(SUM(S2660:S2662)+SUM(S2680:S2687)+SUM(S2788:S2798)+O2806=0,"DELETE"," "),"DELETE")</f>
        <v>DELETE</v>
      </c>
      <c r="T2648" s="334"/>
      <c r="V2648" s="335"/>
      <c r="W2648" s="335"/>
      <c r="X2648" s="335"/>
      <c r="Y2648" s="334"/>
    </row>
    <row r="2649" spans="3:26" ht="36" customHeight="1" x14ac:dyDescent="0.5">
      <c r="C2649" s="353"/>
      <c r="D2649" s="433" t="s">
        <v>491</v>
      </c>
      <c r="E2649" s="434"/>
      <c r="F2649" s="434"/>
      <c r="G2649" s="434"/>
      <c r="H2649" s="434"/>
      <c r="I2649" s="434"/>
      <c r="J2649" s="434"/>
      <c r="M2649" s="351"/>
      <c r="N2649" s="351"/>
      <c r="O2649" s="351"/>
      <c r="R2649" s="348" t="str">
        <f t="shared" ref="R2649:R2659" si="183">R$2648</f>
        <v>DELETE</v>
      </c>
      <c r="T2649" s="334"/>
      <c r="V2649" s="332"/>
      <c r="X2649" s="332"/>
      <c r="Z2649" s="332"/>
    </row>
    <row r="2650" spans="3:26" ht="36" customHeight="1" x14ac:dyDescent="0.5">
      <c r="C2650" s="353"/>
      <c r="D2650" s="434"/>
      <c r="E2650" s="434"/>
      <c r="F2650" s="434"/>
      <c r="G2650" s="434"/>
      <c r="H2650" s="434"/>
      <c r="I2650" s="434"/>
      <c r="J2650" s="434"/>
      <c r="M2650" s="351"/>
      <c r="N2650" s="351"/>
      <c r="O2650" s="351"/>
      <c r="R2650" s="348" t="str">
        <f t="shared" si="183"/>
        <v>DELETE</v>
      </c>
      <c r="T2650" s="334"/>
    </row>
    <row r="2651" spans="3:26" ht="36" customHeight="1" x14ac:dyDescent="0.5">
      <c r="C2651" s="353"/>
      <c r="D2651" s="433" t="str">
        <f>Criteria!E14</f>
        <v>SUBSIDIARY ONE 111 (PTY) LTD</v>
      </c>
      <c r="E2651" s="434"/>
      <c r="F2651" s="434"/>
      <c r="G2651" s="434"/>
      <c r="H2651" s="434"/>
      <c r="I2651" s="434"/>
      <c r="J2651" s="434"/>
      <c r="M2651" s="351"/>
      <c r="N2651" s="351"/>
      <c r="O2651" s="347"/>
      <c r="R2651" s="348" t="str">
        <f t="shared" si="183"/>
        <v>DELETE</v>
      </c>
      <c r="T2651" s="334"/>
    </row>
    <row r="2652" spans="3:26" ht="36" customHeight="1" x14ac:dyDescent="0.5">
      <c r="C2652" s="353"/>
      <c r="D2652" s="438"/>
      <c r="E2652" s="434"/>
      <c r="F2652" s="434"/>
      <c r="G2652" s="434"/>
      <c r="H2652" s="434"/>
      <c r="I2652" s="434"/>
      <c r="J2652" s="434"/>
      <c r="M2652" s="351"/>
      <c r="N2652" s="351"/>
      <c r="O2652" s="351"/>
      <c r="R2652" s="348" t="str">
        <f t="shared" si="183"/>
        <v>DELETE</v>
      </c>
      <c r="T2652" s="334"/>
    </row>
    <row r="2653" spans="3:26" ht="36" customHeight="1" x14ac:dyDescent="0.5">
      <c r="C2653" s="353"/>
      <c r="D2653" s="434"/>
      <c r="E2653" s="434"/>
      <c r="F2653" s="434"/>
      <c r="G2653" s="434"/>
      <c r="H2653" s="434"/>
      <c r="I2653" s="434"/>
      <c r="J2653" s="434"/>
      <c r="M2653" s="351"/>
      <c r="N2653" s="351"/>
      <c r="O2653" s="351"/>
      <c r="R2653" s="348" t="str">
        <f t="shared" si="183"/>
        <v>DELETE</v>
      </c>
      <c r="T2653" s="334"/>
    </row>
    <row r="2654" spans="3:26" ht="36" customHeight="1" x14ac:dyDescent="0.5">
      <c r="C2654" s="353"/>
      <c r="D2654" s="433" t="s">
        <v>86</v>
      </c>
      <c r="E2654" s="434"/>
      <c r="F2654" s="434"/>
      <c r="G2654" s="434"/>
      <c r="H2654" s="434"/>
      <c r="I2654" s="434"/>
      <c r="J2654" s="434"/>
      <c r="M2654" s="351"/>
      <c r="N2654" s="351"/>
      <c r="O2654" s="351"/>
      <c r="R2654" s="348" t="str">
        <f t="shared" si="183"/>
        <v>DELETE</v>
      </c>
      <c r="T2654" s="334"/>
    </row>
    <row r="2655" spans="3:26" ht="36" customHeight="1" x14ac:dyDescent="0.5">
      <c r="C2655" s="353"/>
      <c r="D2655" s="433" t="str">
        <f>Criteria!E20</f>
        <v>28 FEBRUARY 2025</v>
      </c>
      <c r="E2655" s="434"/>
      <c r="F2655" s="434"/>
      <c r="G2655" s="434"/>
      <c r="H2655" s="434"/>
      <c r="I2655" s="434"/>
      <c r="J2655" s="434"/>
      <c r="M2655" s="351"/>
      <c r="N2655" s="351"/>
      <c r="O2655" s="351"/>
      <c r="R2655" s="348" t="str">
        <f t="shared" si="183"/>
        <v>DELETE</v>
      </c>
      <c r="T2655" s="334"/>
    </row>
    <row r="2656" spans="3:26" ht="36" customHeight="1" x14ac:dyDescent="0.5">
      <c r="C2656" s="353"/>
      <c r="D2656" s="434"/>
      <c r="E2656" s="434"/>
      <c r="F2656" s="434"/>
      <c r="G2656" s="434"/>
      <c r="H2656" s="434"/>
      <c r="I2656" s="434"/>
      <c r="J2656" s="434"/>
      <c r="M2656" s="351"/>
      <c r="N2656" s="351"/>
      <c r="O2656" s="351"/>
      <c r="R2656" s="348" t="str">
        <f t="shared" si="183"/>
        <v>DELETE</v>
      </c>
      <c r="T2656" s="334"/>
    </row>
    <row r="2657" spans="3:24" ht="36" customHeight="1" x14ac:dyDescent="0.5">
      <c r="C2657" s="353"/>
      <c r="D2657" s="444"/>
      <c r="E2657" s="444"/>
      <c r="F2657" s="444"/>
      <c r="G2657" s="444"/>
      <c r="H2657" s="444"/>
      <c r="I2657" s="444"/>
      <c r="J2657" s="444"/>
      <c r="K2657" s="364"/>
      <c r="L2657" s="364"/>
      <c r="M2657" s="378"/>
      <c r="N2657" s="378"/>
      <c r="O2657" s="378"/>
      <c r="P2657" s="367"/>
      <c r="Q2657" s="364"/>
      <c r="R2657" s="348" t="str">
        <f t="shared" si="183"/>
        <v>DELETE</v>
      </c>
      <c r="T2657" s="334"/>
    </row>
    <row r="2658" spans="3:24" ht="36" customHeight="1" x14ac:dyDescent="0.5">
      <c r="C2658" s="353"/>
      <c r="D2658" s="434"/>
      <c r="E2658" s="434"/>
      <c r="F2658" s="434"/>
      <c r="G2658" s="434"/>
      <c r="H2658" s="434"/>
      <c r="I2658" s="434"/>
      <c r="J2658" s="449"/>
      <c r="K2658" s="292" t="s">
        <v>1041</v>
      </c>
      <c r="L2658" s="350"/>
      <c r="M2658" s="350"/>
      <c r="N2658" s="292"/>
      <c r="O2658" s="294">
        <f>Criteria!E22</f>
        <v>2025</v>
      </c>
      <c r="P2658" s="295"/>
      <c r="R2658" s="348" t="str">
        <f t="shared" si="183"/>
        <v>DELETE</v>
      </c>
      <c r="T2658" s="334"/>
    </row>
    <row r="2659" spans="3:24" ht="36" customHeight="1" x14ac:dyDescent="0.5">
      <c r="C2659" s="353"/>
      <c r="D2659" s="434"/>
      <c r="E2659" s="434"/>
      <c r="F2659" s="434"/>
      <c r="G2659" s="434"/>
      <c r="H2659" s="434"/>
      <c r="I2659" s="434"/>
      <c r="J2659" s="449"/>
      <c r="K2659" s="292"/>
      <c r="L2659" s="350"/>
      <c r="M2659" s="350"/>
      <c r="N2659" s="292"/>
      <c r="O2659" s="296"/>
      <c r="P2659" s="295"/>
      <c r="R2659" s="348" t="str">
        <f t="shared" si="183"/>
        <v>DELETE</v>
      </c>
      <c r="T2659" s="334"/>
    </row>
    <row r="2660" spans="3:24" ht="36" customHeight="1" x14ac:dyDescent="0.45">
      <c r="D2660" s="433" t="s">
        <v>836</v>
      </c>
      <c r="E2660" s="434"/>
      <c r="F2660" s="434"/>
      <c r="G2660" s="434"/>
      <c r="H2660" s="434"/>
      <c r="I2660" s="434"/>
      <c r="J2660" s="449"/>
      <c r="K2660" s="292"/>
      <c r="L2660" s="350"/>
      <c r="M2660" s="350"/>
      <c r="N2660" s="292"/>
      <c r="O2660" s="296">
        <f>-SUM(TrialBalanceA!I5:I10)</f>
        <v>0</v>
      </c>
      <c r="P2660" s="295"/>
      <c r="R2660" s="348" t="str">
        <f>IF(R2648="DELETE","DELETE",IF(O2660=0,IF(O2662=0," ","DELETE")," "))</f>
        <v>DELETE</v>
      </c>
      <c r="S2660" s="333">
        <f>O2660</f>
        <v>0</v>
      </c>
      <c r="T2660" s="334"/>
      <c r="U2660" s="333"/>
      <c r="V2660" s="333"/>
      <c r="W2660" s="333"/>
      <c r="X2660" s="333"/>
    </row>
    <row r="2661" spans="3:24" ht="36" customHeight="1" x14ac:dyDescent="0.45">
      <c r="D2661" s="433"/>
      <c r="E2661" s="434"/>
      <c r="F2661" s="434"/>
      <c r="G2661" s="434"/>
      <c r="H2661" s="434"/>
      <c r="I2661" s="434"/>
      <c r="J2661" s="449"/>
      <c r="K2661" s="292"/>
      <c r="L2661" s="350"/>
      <c r="M2661" s="350"/>
      <c r="N2661" s="292"/>
      <c r="O2661" s="296"/>
      <c r="P2661" s="295"/>
      <c r="R2661" s="348" t="str">
        <f>R2660</f>
        <v>DELETE</v>
      </c>
      <c r="S2661" s="333"/>
      <c r="T2661" s="334"/>
      <c r="U2661" s="333"/>
      <c r="V2661" s="333"/>
      <c r="W2661" s="333"/>
      <c r="X2661" s="333"/>
    </row>
    <row r="2662" spans="3:24" ht="36" customHeight="1" x14ac:dyDescent="0.45">
      <c r="D2662" s="433" t="s">
        <v>334</v>
      </c>
      <c r="E2662" s="434"/>
      <c r="F2662" s="434"/>
      <c r="G2662" s="434"/>
      <c r="H2662" s="434"/>
      <c r="I2662" s="434"/>
      <c r="J2662" s="449"/>
      <c r="K2662" s="292"/>
      <c r="L2662" s="350"/>
      <c r="M2662" s="350"/>
      <c r="N2662" s="292"/>
      <c r="O2662" s="296">
        <f>-TrialBalanceA!I11</f>
        <v>0</v>
      </c>
      <c r="P2662" s="295"/>
      <c r="R2662" s="348" t="str">
        <f>IF(R$2648="DELETE","DELETE",IF(O2662=0,"DELETE"," "))</f>
        <v>DELETE</v>
      </c>
      <c r="S2662" s="333">
        <f>O2662</f>
        <v>0</v>
      </c>
      <c r="T2662" s="334"/>
      <c r="U2662" s="333"/>
      <c r="V2662" s="333"/>
      <c r="W2662" s="333"/>
      <c r="X2662" s="333"/>
    </row>
    <row r="2663" spans="3:24" ht="36" customHeight="1" x14ac:dyDescent="0.45">
      <c r="D2663" s="433"/>
      <c r="E2663" s="434"/>
      <c r="F2663" s="434"/>
      <c r="G2663" s="434"/>
      <c r="H2663" s="434"/>
      <c r="I2663" s="434"/>
      <c r="J2663" s="449"/>
      <c r="K2663" s="292"/>
      <c r="L2663" s="350"/>
      <c r="M2663" s="350"/>
      <c r="N2663" s="292"/>
      <c r="O2663" s="296"/>
      <c r="P2663" s="295"/>
      <c r="R2663" s="348" t="str">
        <f>R2662</f>
        <v>DELETE</v>
      </c>
      <c r="T2663" s="334"/>
    </row>
    <row r="2664" spans="3:24" ht="36" customHeight="1" x14ac:dyDescent="0.45">
      <c r="D2664" s="433" t="s">
        <v>1074</v>
      </c>
      <c r="E2664" s="434"/>
      <c r="F2664" s="434"/>
      <c r="G2664" s="434"/>
      <c r="H2664" s="434"/>
      <c r="I2664" s="434"/>
      <c r="J2664" s="449"/>
      <c r="K2664" s="292"/>
      <c r="L2664" s="350"/>
      <c r="M2664" s="350"/>
      <c r="N2664" s="292"/>
      <c r="O2664" s="296">
        <f>SUM(O2667:O2674)</f>
        <v>0</v>
      </c>
      <c r="P2664" s="295"/>
      <c r="R2664" s="348" t="str">
        <f>IF(R$2648="DELETE","DELETE",IF(O2664=0,"DELETE"," "))</f>
        <v>DELETE</v>
      </c>
      <c r="S2664" s="333">
        <f>-O2664</f>
        <v>0</v>
      </c>
      <c r="T2664" s="334"/>
      <c r="U2664" s="333"/>
      <c r="V2664" s="333"/>
      <c r="W2664" s="333"/>
      <c r="X2664" s="333"/>
    </row>
    <row r="2665" spans="3:24" ht="9" customHeight="1" x14ac:dyDescent="0.45">
      <c r="C2665" s="397"/>
      <c r="D2665" s="434"/>
      <c r="E2665" s="434"/>
      <c r="F2665" s="434"/>
      <c r="G2665" s="434"/>
      <c r="H2665" s="434"/>
      <c r="I2665" s="434"/>
      <c r="J2665" s="449"/>
      <c r="K2665" s="292"/>
      <c r="L2665" s="350"/>
      <c r="M2665" s="350"/>
      <c r="N2665" s="292"/>
      <c r="O2665" s="296"/>
      <c r="P2665" s="295"/>
      <c r="R2665" s="348" t="str">
        <f>R2664</f>
        <v>DELETE</v>
      </c>
      <c r="T2665" s="334"/>
    </row>
    <row r="2666" spans="3:24" ht="9" customHeight="1" x14ac:dyDescent="0.45">
      <c r="C2666" s="397"/>
      <c r="D2666" s="434"/>
      <c r="E2666" s="434"/>
      <c r="F2666" s="434"/>
      <c r="G2666" s="434"/>
      <c r="H2666" s="434"/>
      <c r="I2666" s="434"/>
      <c r="J2666" s="449"/>
      <c r="K2666" s="292"/>
      <c r="L2666" s="350"/>
      <c r="M2666" s="350"/>
      <c r="N2666" s="292"/>
      <c r="O2666" s="407"/>
      <c r="P2666" s="295"/>
      <c r="R2666" s="348" t="str">
        <f>R2665</f>
        <v>DELETE</v>
      </c>
      <c r="T2666" s="334"/>
    </row>
    <row r="2667" spans="3:24" ht="36" customHeight="1" x14ac:dyDescent="0.45">
      <c r="C2667" s="397"/>
      <c r="D2667" s="434" t="s">
        <v>492</v>
      </c>
      <c r="E2667" s="434"/>
      <c r="F2667" s="434"/>
      <c r="G2667" s="434"/>
      <c r="H2667" s="434"/>
      <c r="I2667" s="434"/>
      <c r="J2667" s="449"/>
      <c r="K2667" s="292"/>
      <c r="L2667" s="350"/>
      <c r="M2667" s="350"/>
      <c r="N2667" s="292"/>
      <c r="O2667" s="408">
        <f>SUM(TrialBalanceA!I13:I16)</f>
        <v>0</v>
      </c>
      <c r="P2667" s="295"/>
      <c r="R2667" s="348" t="str">
        <f t="shared" ref="R2667:R2674" si="184">IF(R$2648="DELETE","DELETE",IF(O2667=0,"DELETE"," "))</f>
        <v>DELETE</v>
      </c>
      <c r="T2667" s="334"/>
    </row>
    <row r="2668" spans="3:24" ht="36" customHeight="1" x14ac:dyDescent="0.45">
      <c r="C2668" s="397"/>
      <c r="D2668" s="434" t="s">
        <v>249</v>
      </c>
      <c r="E2668" s="434"/>
      <c r="F2668" s="434"/>
      <c r="G2668" s="434"/>
      <c r="H2668" s="434"/>
      <c r="I2668" s="434"/>
      <c r="J2668" s="449"/>
      <c r="K2668" s="292"/>
      <c r="L2668" s="350"/>
      <c r="M2668" s="350"/>
      <c r="N2668" s="292"/>
      <c r="O2668" s="408">
        <f>TrialBalanceA!I17</f>
        <v>0</v>
      </c>
      <c r="P2668" s="295"/>
      <c r="R2668" s="348" t="str">
        <f t="shared" si="184"/>
        <v>DELETE</v>
      </c>
      <c r="T2668" s="334"/>
    </row>
    <row r="2669" spans="3:24" ht="36" customHeight="1" x14ac:dyDescent="0.45">
      <c r="C2669" s="397"/>
      <c r="D2669" s="434">
        <f>TrialBalanceA!C18</f>
        <v>0</v>
      </c>
      <c r="E2669" s="434"/>
      <c r="F2669" s="434"/>
      <c r="G2669" s="434"/>
      <c r="H2669" s="434"/>
      <c r="I2669" s="434"/>
      <c r="J2669" s="449"/>
      <c r="K2669" s="292"/>
      <c r="L2669" s="350"/>
      <c r="M2669" s="350"/>
      <c r="N2669" s="292"/>
      <c r="O2669" s="408">
        <f>TrialBalanceA!I18</f>
        <v>0</v>
      </c>
      <c r="P2669" s="295"/>
      <c r="R2669" s="348" t="str">
        <f t="shared" si="184"/>
        <v>DELETE</v>
      </c>
      <c r="T2669" s="334"/>
    </row>
    <row r="2670" spans="3:24" ht="36" customHeight="1" x14ac:dyDescent="0.45">
      <c r="C2670" s="397"/>
      <c r="D2670" s="434">
        <f>TrialBalanceA!C19</f>
        <v>0</v>
      </c>
      <c r="E2670" s="434"/>
      <c r="F2670" s="434"/>
      <c r="G2670" s="434"/>
      <c r="H2670" s="434"/>
      <c r="I2670" s="434"/>
      <c r="J2670" s="449"/>
      <c r="K2670" s="292"/>
      <c r="L2670" s="350"/>
      <c r="M2670" s="350"/>
      <c r="N2670" s="292"/>
      <c r="O2670" s="408">
        <f>TrialBalanceA!I19</f>
        <v>0</v>
      </c>
      <c r="P2670" s="295"/>
      <c r="R2670" s="348" t="str">
        <f t="shared" si="184"/>
        <v>DELETE</v>
      </c>
      <c r="T2670" s="334"/>
    </row>
    <row r="2671" spans="3:24" ht="36" customHeight="1" x14ac:dyDescent="0.45">
      <c r="C2671" s="397"/>
      <c r="D2671" s="434">
        <f>TrialBalanceA!C20</f>
        <v>0</v>
      </c>
      <c r="E2671" s="434"/>
      <c r="F2671" s="434"/>
      <c r="G2671" s="434"/>
      <c r="H2671" s="434"/>
      <c r="I2671" s="434"/>
      <c r="J2671" s="449"/>
      <c r="K2671" s="292"/>
      <c r="L2671" s="350"/>
      <c r="M2671" s="350"/>
      <c r="N2671" s="292"/>
      <c r="O2671" s="408">
        <f>TrialBalanceA!I20</f>
        <v>0</v>
      </c>
      <c r="P2671" s="295"/>
      <c r="R2671" s="348" t="str">
        <f t="shared" si="184"/>
        <v>DELETE</v>
      </c>
      <c r="T2671" s="334"/>
    </row>
    <row r="2672" spans="3:24" ht="36" customHeight="1" x14ac:dyDescent="0.45">
      <c r="C2672" s="397"/>
      <c r="D2672" s="434">
        <f>TrialBalanceA!C21</f>
        <v>0</v>
      </c>
      <c r="E2672" s="434"/>
      <c r="F2672" s="434"/>
      <c r="G2672" s="434"/>
      <c r="H2672" s="434"/>
      <c r="I2672" s="434"/>
      <c r="J2672" s="449"/>
      <c r="K2672" s="292"/>
      <c r="L2672" s="350"/>
      <c r="M2672" s="350"/>
      <c r="N2672" s="292"/>
      <c r="O2672" s="408">
        <f>TrialBalanceA!I21</f>
        <v>0</v>
      </c>
      <c r="P2672" s="295"/>
      <c r="R2672" s="348" t="str">
        <f t="shared" si="184"/>
        <v>DELETE</v>
      </c>
      <c r="T2672" s="334"/>
    </row>
    <row r="2673" spans="3:24" ht="36" customHeight="1" x14ac:dyDescent="0.45">
      <c r="C2673" s="397"/>
      <c r="D2673" s="434">
        <f>TrialBalanceA!C22</f>
        <v>0</v>
      </c>
      <c r="E2673" s="434"/>
      <c r="F2673" s="434"/>
      <c r="G2673" s="434"/>
      <c r="H2673" s="434"/>
      <c r="I2673" s="434"/>
      <c r="J2673" s="449"/>
      <c r="K2673" s="292"/>
      <c r="L2673" s="350"/>
      <c r="M2673" s="350"/>
      <c r="N2673" s="292"/>
      <c r="O2673" s="408">
        <f>TrialBalanceA!I22</f>
        <v>0</v>
      </c>
      <c r="P2673" s="295"/>
      <c r="R2673" s="348" t="str">
        <f t="shared" si="184"/>
        <v>DELETE</v>
      </c>
      <c r="T2673" s="334"/>
    </row>
    <row r="2674" spans="3:24" ht="36" customHeight="1" x14ac:dyDescent="0.45">
      <c r="C2674" s="397"/>
      <c r="D2674" s="434" t="s">
        <v>493</v>
      </c>
      <c r="E2674" s="434"/>
      <c r="F2674" s="434"/>
      <c r="G2674" s="434"/>
      <c r="H2674" s="434"/>
      <c r="I2674" s="434"/>
      <c r="J2674" s="449"/>
      <c r="K2674" s="292"/>
      <c r="L2674" s="350"/>
      <c r="M2674" s="350"/>
      <c r="N2674" s="292"/>
      <c r="O2674" s="408">
        <f>SUM(TrialBalanceA!I23:I26)</f>
        <v>0</v>
      </c>
      <c r="P2674" s="295"/>
      <c r="R2674" s="348" t="str">
        <f t="shared" si="184"/>
        <v>DELETE</v>
      </c>
      <c r="T2674" s="334"/>
    </row>
    <row r="2675" spans="3:24" ht="9" customHeight="1" x14ac:dyDescent="0.45">
      <c r="C2675" s="397"/>
      <c r="D2675" s="434"/>
      <c r="E2675" s="434"/>
      <c r="F2675" s="434"/>
      <c r="G2675" s="434"/>
      <c r="H2675" s="434"/>
      <c r="I2675" s="434"/>
      <c r="J2675" s="449"/>
      <c r="K2675" s="292"/>
      <c r="L2675" s="350"/>
      <c r="M2675" s="350"/>
      <c r="N2675" s="292"/>
      <c r="O2675" s="409"/>
      <c r="P2675" s="295"/>
      <c r="R2675" s="348" t="str">
        <f>R2664</f>
        <v>DELETE</v>
      </c>
      <c r="T2675" s="334"/>
    </row>
    <row r="2676" spans="3:24" ht="9" customHeight="1" x14ac:dyDescent="0.45">
      <c r="C2676" s="397"/>
      <c r="D2676" s="434"/>
      <c r="E2676" s="434"/>
      <c r="F2676" s="434"/>
      <c r="G2676" s="434"/>
      <c r="H2676" s="434"/>
      <c r="I2676" s="434"/>
      <c r="J2676" s="449"/>
      <c r="K2676" s="292"/>
      <c r="L2676" s="350"/>
      <c r="M2676" s="350"/>
      <c r="N2676" s="292"/>
      <c r="O2676" s="298"/>
      <c r="P2676" s="295"/>
      <c r="R2676" s="348" t="str">
        <f>R2664</f>
        <v>DELETE</v>
      </c>
      <c r="T2676" s="334"/>
    </row>
    <row r="2677" spans="3:24" ht="9" customHeight="1" x14ac:dyDescent="0.45">
      <c r="C2677" s="397"/>
      <c r="D2677" s="434"/>
      <c r="E2677" s="434"/>
      <c r="F2677" s="434"/>
      <c r="G2677" s="434"/>
      <c r="H2677" s="434"/>
      <c r="I2677" s="434"/>
      <c r="J2677" s="449"/>
      <c r="K2677" s="292"/>
      <c r="L2677" s="350"/>
      <c r="M2677" s="350"/>
      <c r="N2677" s="292"/>
      <c r="O2677" s="296"/>
      <c r="P2677" s="295"/>
      <c r="R2677" s="348" t="str">
        <f>R2676</f>
        <v>DELETE</v>
      </c>
      <c r="T2677" s="334"/>
    </row>
    <row r="2678" spans="3:24" ht="36" customHeight="1" x14ac:dyDescent="0.45">
      <c r="D2678" s="446" t="str">
        <f>IF(O2678&lt;0,"Gross loss","Gross profit")</f>
        <v>Gross profit</v>
      </c>
      <c r="E2678" s="434"/>
      <c r="F2678" s="434"/>
      <c r="G2678" s="434"/>
      <c r="H2678" s="434"/>
      <c r="I2678" s="434"/>
      <c r="J2678" s="449"/>
      <c r="K2678" s="292"/>
      <c r="L2678" s="350"/>
      <c r="M2678" s="350"/>
      <c r="N2678" s="292"/>
      <c r="O2678" s="296">
        <f>SUM(S2660:S2675)</f>
        <v>0</v>
      </c>
      <c r="P2678" s="295"/>
      <c r="R2678" s="348" t="str">
        <f>R2677</f>
        <v>DELETE</v>
      </c>
      <c r="T2678" s="334"/>
    </row>
    <row r="2679" spans="3:24" ht="36" customHeight="1" x14ac:dyDescent="0.45">
      <c r="C2679" s="397"/>
      <c r="D2679" s="434"/>
      <c r="E2679" s="434"/>
      <c r="F2679" s="434"/>
      <c r="G2679" s="434"/>
      <c r="H2679" s="434"/>
      <c r="I2679" s="434"/>
      <c r="J2679" s="449"/>
      <c r="K2679" s="292"/>
      <c r="L2679" s="350"/>
      <c r="M2679" s="350"/>
      <c r="N2679" s="292"/>
      <c r="O2679" s="296"/>
      <c r="P2679" s="295"/>
      <c r="R2679" s="348" t="str">
        <f>R2678</f>
        <v>DELETE</v>
      </c>
      <c r="T2679" s="334"/>
    </row>
    <row r="2680" spans="3:24" ht="36" customHeight="1" x14ac:dyDescent="0.45">
      <c r="D2680" s="433" t="s">
        <v>1037</v>
      </c>
      <c r="E2680" s="434"/>
      <c r="F2680" s="434"/>
      <c r="G2680" s="434"/>
      <c r="H2680" s="434"/>
      <c r="I2680" s="434"/>
      <c r="J2680" s="449"/>
      <c r="K2680" s="292"/>
      <c r="L2680" s="350"/>
      <c r="M2680" s="350"/>
      <c r="N2680" s="292"/>
      <c r="O2680" s="296">
        <f>SUM(O2682:O2689)</f>
        <v>0</v>
      </c>
      <c r="P2680" s="295"/>
      <c r="R2680" s="348" t="str">
        <f t="shared" ref="R2680" si="185">IF(R$2648="DELETE","DELETE",IF(O2680=0,"DELETE"," "))</f>
        <v>DELETE</v>
      </c>
      <c r="S2680" s="333">
        <f>O2680</f>
        <v>0</v>
      </c>
      <c r="T2680" s="334"/>
      <c r="U2680" s="333"/>
      <c r="V2680" s="333"/>
      <c r="W2680" s="333"/>
      <c r="X2680" s="333"/>
    </row>
    <row r="2681" spans="3:24" ht="9" customHeight="1" x14ac:dyDescent="0.45">
      <c r="C2681" s="397"/>
      <c r="D2681" s="434"/>
      <c r="E2681" s="434"/>
      <c r="F2681" s="434"/>
      <c r="G2681" s="434"/>
      <c r="H2681" s="434"/>
      <c r="I2681" s="434"/>
      <c r="J2681" s="449"/>
      <c r="K2681" s="292"/>
      <c r="L2681" s="350"/>
      <c r="M2681" s="350"/>
      <c r="N2681" s="292"/>
      <c r="O2681" s="296"/>
      <c r="P2681" s="295"/>
      <c r="R2681" s="348" t="str">
        <f>R2680</f>
        <v>DELETE</v>
      </c>
      <c r="T2681" s="334"/>
    </row>
    <row r="2682" spans="3:24" ht="9" customHeight="1" x14ac:dyDescent="0.45">
      <c r="C2682" s="397"/>
      <c r="D2682" s="434"/>
      <c r="E2682" s="434"/>
      <c r="F2682" s="434"/>
      <c r="G2682" s="434"/>
      <c r="H2682" s="434"/>
      <c r="I2682" s="434"/>
      <c r="J2682" s="449"/>
      <c r="K2682" s="292"/>
      <c r="L2682" s="350"/>
      <c r="M2682" s="350"/>
      <c r="N2682" s="292"/>
      <c r="O2682" s="407"/>
      <c r="P2682" s="295"/>
      <c r="R2682" s="348" t="str">
        <f>R2680</f>
        <v>DELETE</v>
      </c>
      <c r="T2682" s="334"/>
    </row>
    <row r="2683" spans="3:24" ht="36" customHeight="1" x14ac:dyDescent="0.45">
      <c r="C2683" s="397"/>
      <c r="D2683" s="434" t="str">
        <f>TrialBalanceA!C28</f>
        <v>Insurance claims - Subsidiary One 111 (Pty) Ltd</v>
      </c>
      <c r="E2683" s="434"/>
      <c r="F2683" s="434"/>
      <c r="G2683" s="434"/>
      <c r="H2683" s="434"/>
      <c r="I2683" s="434"/>
      <c r="J2683" s="449"/>
      <c r="K2683" s="292"/>
      <c r="L2683" s="350"/>
      <c r="M2683" s="350"/>
      <c r="N2683" s="292"/>
      <c r="O2683" s="408">
        <f>-TrialBalanceA!I28</f>
        <v>0</v>
      </c>
      <c r="P2683" s="295"/>
      <c r="R2683" s="348" t="str">
        <f t="shared" ref="R2683:R2687" si="186">IF(R$2648="DELETE","DELETE",IF(O2683=0,"DELETE"," "))</f>
        <v>DELETE</v>
      </c>
      <c r="T2683" s="334"/>
    </row>
    <row r="2684" spans="3:24" ht="36" customHeight="1" x14ac:dyDescent="0.45">
      <c r="C2684" s="397"/>
      <c r="D2684" s="434" t="str">
        <f>TrialBalanceA!C29</f>
        <v>Government grants received</v>
      </c>
      <c r="E2684" s="434"/>
      <c r="F2684" s="434"/>
      <c r="G2684" s="434"/>
      <c r="H2684" s="434"/>
      <c r="I2684" s="434"/>
      <c r="J2684" s="449"/>
      <c r="K2684" s="292"/>
      <c r="L2684" s="350"/>
      <c r="M2684" s="350"/>
      <c r="N2684" s="292"/>
      <c r="O2684" s="408">
        <f>-TrialBalanceA!I29</f>
        <v>0</v>
      </c>
      <c r="P2684" s="295"/>
      <c r="R2684" s="348" t="str">
        <f t="shared" si="186"/>
        <v>DELETE</v>
      </c>
      <c r="T2684" s="334"/>
    </row>
    <row r="2685" spans="3:24" ht="36" customHeight="1" x14ac:dyDescent="0.45">
      <c r="C2685" s="397"/>
      <c r="D2685" s="434">
        <f>TrialBalanceA!C30</f>
        <v>0</v>
      </c>
      <c r="E2685" s="434"/>
      <c r="F2685" s="434"/>
      <c r="G2685" s="434"/>
      <c r="H2685" s="434"/>
      <c r="I2685" s="434"/>
      <c r="J2685" s="449"/>
      <c r="K2685" s="292"/>
      <c r="L2685" s="350"/>
      <c r="M2685" s="350"/>
      <c r="N2685" s="292"/>
      <c r="O2685" s="408">
        <f>-TrialBalanceA!I30</f>
        <v>0</v>
      </c>
      <c r="P2685" s="295"/>
      <c r="R2685" s="348" t="str">
        <f t="shared" si="186"/>
        <v>DELETE</v>
      </c>
      <c r="T2685" s="334"/>
    </row>
    <row r="2686" spans="3:24" ht="36" customHeight="1" x14ac:dyDescent="0.45">
      <c r="C2686" s="397"/>
      <c r="D2686" s="434">
        <f>TrialBalanceA!C31</f>
        <v>0</v>
      </c>
      <c r="E2686" s="434"/>
      <c r="F2686" s="434"/>
      <c r="G2686" s="434"/>
      <c r="H2686" s="434"/>
      <c r="I2686" s="434"/>
      <c r="J2686" s="449"/>
      <c r="K2686" s="292"/>
      <c r="L2686" s="350"/>
      <c r="M2686" s="350"/>
      <c r="N2686" s="292"/>
      <c r="O2686" s="408">
        <f>-TrialBalanceA!I31</f>
        <v>0</v>
      </c>
      <c r="P2686" s="295"/>
      <c r="R2686" s="348" t="str">
        <f t="shared" si="186"/>
        <v>DELETE</v>
      </c>
      <c r="T2686" s="334"/>
    </row>
    <row r="2687" spans="3:24" ht="36" customHeight="1" x14ac:dyDescent="0.45">
      <c r="C2687" s="397"/>
      <c r="D2687" s="434">
        <f>TrialBalanceA!C32</f>
        <v>0</v>
      </c>
      <c r="E2687" s="434"/>
      <c r="F2687" s="434"/>
      <c r="G2687" s="434"/>
      <c r="H2687" s="434"/>
      <c r="I2687" s="434"/>
      <c r="J2687" s="449"/>
      <c r="K2687" s="292"/>
      <c r="L2687" s="350"/>
      <c r="M2687" s="350"/>
      <c r="N2687" s="292"/>
      <c r="O2687" s="408">
        <f>-TrialBalanceA!I32</f>
        <v>0</v>
      </c>
      <c r="P2687" s="295"/>
      <c r="R2687" s="348" t="str">
        <f t="shared" si="186"/>
        <v>DELETE</v>
      </c>
      <c r="T2687" s="334"/>
    </row>
    <row r="2688" spans="3:24" ht="36" customHeight="1" x14ac:dyDescent="0.45">
      <c r="C2688" s="397"/>
      <c r="D2688" s="434" t="str">
        <f>TrialBalanceA!C33</f>
        <v>Recoupment of depreciation</v>
      </c>
      <c r="E2688" s="434"/>
      <c r="F2688" s="434"/>
      <c r="G2688" s="434"/>
      <c r="H2688" s="434"/>
      <c r="I2688" s="434"/>
      <c r="J2688" s="449"/>
      <c r="K2688" s="292"/>
      <c r="L2688" s="350"/>
      <c r="M2688" s="350"/>
      <c r="N2688" s="292"/>
      <c r="O2688" s="408">
        <f>-TrialBalanceA!I33</f>
        <v>0</v>
      </c>
      <c r="P2688" s="295"/>
      <c r="R2688" s="348" t="str">
        <f t="shared" ref="R2688" si="187">IF(R$2648="DELETE","DELETE",IF(O2688=0,"DELETE"," "))</f>
        <v>DELETE</v>
      </c>
      <c r="T2688" s="334"/>
    </row>
    <row r="2689" spans="3:24" ht="9" customHeight="1" x14ac:dyDescent="0.45">
      <c r="C2689" s="397"/>
      <c r="D2689" s="434"/>
      <c r="E2689" s="434"/>
      <c r="F2689" s="434"/>
      <c r="G2689" s="434"/>
      <c r="H2689" s="434"/>
      <c r="I2689" s="434"/>
      <c r="J2689" s="449"/>
      <c r="K2689" s="292"/>
      <c r="L2689" s="350"/>
      <c r="M2689" s="350"/>
      <c r="N2689" s="292"/>
      <c r="O2689" s="409"/>
      <c r="P2689" s="295"/>
      <c r="R2689" s="348" t="str">
        <f>R2680</f>
        <v>DELETE</v>
      </c>
      <c r="T2689" s="334"/>
    </row>
    <row r="2690" spans="3:24" ht="9" customHeight="1" x14ac:dyDescent="0.45">
      <c r="C2690" s="397"/>
      <c r="D2690" s="434"/>
      <c r="E2690" s="434"/>
      <c r="F2690" s="434"/>
      <c r="G2690" s="434"/>
      <c r="H2690" s="434"/>
      <c r="I2690" s="434"/>
      <c r="J2690" s="449"/>
      <c r="K2690" s="292"/>
      <c r="L2690" s="350"/>
      <c r="M2690" s="350"/>
      <c r="N2690" s="292"/>
      <c r="O2690" s="314"/>
      <c r="P2690" s="295"/>
      <c r="R2690" s="348" t="str">
        <f>R2689</f>
        <v>DELETE</v>
      </c>
      <c r="T2690" s="334"/>
    </row>
    <row r="2691" spans="3:24" ht="9" customHeight="1" x14ac:dyDescent="0.45">
      <c r="C2691" s="397"/>
      <c r="D2691" s="434"/>
      <c r="E2691" s="434"/>
      <c r="F2691" s="434"/>
      <c r="G2691" s="434"/>
      <c r="H2691" s="434"/>
      <c r="I2691" s="434"/>
      <c r="J2691" s="449"/>
      <c r="K2691" s="292"/>
      <c r="L2691" s="350"/>
      <c r="M2691" s="350"/>
      <c r="N2691" s="292"/>
      <c r="O2691" s="296"/>
      <c r="P2691" s="295"/>
      <c r="R2691" s="348" t="str">
        <f>R2690</f>
        <v>DELETE</v>
      </c>
      <c r="T2691" s="334"/>
    </row>
    <row r="2692" spans="3:24" ht="36" customHeight="1" x14ac:dyDescent="0.45">
      <c r="C2692" s="397"/>
      <c r="D2692" s="434"/>
      <c r="E2692" s="434"/>
      <c r="F2692" s="434"/>
      <c r="G2692" s="434"/>
      <c r="H2692" s="434"/>
      <c r="I2692" s="434"/>
      <c r="J2692" s="449"/>
      <c r="K2692" s="292"/>
      <c r="L2692" s="350"/>
      <c r="M2692" s="350"/>
      <c r="N2692" s="292"/>
      <c r="O2692" s="296">
        <f>SUM(S2660:S2680)</f>
        <v>0</v>
      </c>
      <c r="P2692" s="295"/>
      <c r="R2692" s="348" t="str">
        <f>R2680</f>
        <v>DELETE</v>
      </c>
      <c r="T2692" s="334"/>
    </row>
    <row r="2693" spans="3:24" ht="36" customHeight="1" x14ac:dyDescent="0.45">
      <c r="C2693" s="397"/>
      <c r="D2693" s="434"/>
      <c r="E2693" s="434"/>
      <c r="F2693" s="434"/>
      <c r="G2693" s="434"/>
      <c r="H2693" s="434"/>
      <c r="I2693" s="434"/>
      <c r="J2693" s="449"/>
      <c r="K2693" s="292"/>
      <c r="L2693" s="350"/>
      <c r="M2693" s="350"/>
      <c r="N2693" s="292"/>
      <c r="O2693" s="296"/>
      <c r="P2693" s="295"/>
      <c r="R2693" s="348" t="str">
        <f>R2692</f>
        <v>DELETE</v>
      </c>
      <c r="T2693" s="334"/>
    </row>
    <row r="2694" spans="3:24" ht="36" customHeight="1" x14ac:dyDescent="0.45">
      <c r="D2694" s="433" t="s">
        <v>1075</v>
      </c>
      <c r="E2694" s="434"/>
      <c r="F2694" s="434"/>
      <c r="G2694" s="434"/>
      <c r="H2694" s="434"/>
      <c r="I2694" s="434"/>
      <c r="J2694" s="449"/>
      <c r="K2694" s="292"/>
      <c r="L2694" s="350"/>
      <c r="M2694" s="350"/>
      <c r="N2694" s="292"/>
      <c r="O2694" s="296">
        <f>SUM(O2696:O2725)</f>
        <v>0</v>
      </c>
      <c r="P2694" s="295"/>
      <c r="R2694" s="348" t="str">
        <f t="shared" ref="R2694" si="188">IF(R$2648="DELETE","DELETE",IF(O2694=0,"DELETE"," "))</f>
        <v>DELETE</v>
      </c>
      <c r="S2694" s="333">
        <f>-O2694</f>
        <v>0</v>
      </c>
      <c r="T2694" s="334"/>
      <c r="U2694" s="333"/>
      <c r="V2694" s="333"/>
      <c r="W2694" s="333"/>
      <c r="X2694" s="333"/>
    </row>
    <row r="2695" spans="3:24" ht="9" customHeight="1" x14ac:dyDescent="0.45">
      <c r="C2695" s="397"/>
      <c r="D2695" s="434"/>
      <c r="E2695" s="434"/>
      <c r="F2695" s="434"/>
      <c r="G2695" s="434"/>
      <c r="H2695" s="434"/>
      <c r="I2695" s="434"/>
      <c r="J2695" s="449"/>
      <c r="K2695" s="292"/>
      <c r="L2695" s="350"/>
      <c r="M2695" s="350"/>
      <c r="N2695" s="292"/>
      <c r="O2695" s="296"/>
      <c r="P2695" s="295"/>
      <c r="R2695" s="348" t="str">
        <f>R2694</f>
        <v>DELETE</v>
      </c>
      <c r="T2695" s="334"/>
    </row>
    <row r="2696" spans="3:24" ht="9" customHeight="1" x14ac:dyDescent="0.45">
      <c r="C2696" s="397"/>
      <c r="D2696" s="434"/>
      <c r="E2696" s="434"/>
      <c r="F2696" s="434"/>
      <c r="G2696" s="434"/>
      <c r="H2696" s="434"/>
      <c r="I2696" s="434"/>
      <c r="J2696" s="449"/>
      <c r="K2696" s="292"/>
      <c r="L2696" s="350"/>
      <c r="M2696" s="350"/>
      <c r="N2696" s="292"/>
      <c r="O2696" s="407"/>
      <c r="P2696" s="295"/>
      <c r="R2696" s="348" t="str">
        <f>R2695</f>
        <v>DELETE</v>
      </c>
      <c r="T2696" s="334"/>
    </row>
    <row r="2697" spans="3:24" ht="36" customHeight="1" x14ac:dyDescent="0.45">
      <c r="C2697" s="397"/>
      <c r="D2697" s="434" t="s">
        <v>250</v>
      </c>
      <c r="E2697" s="434"/>
      <c r="F2697" s="434"/>
      <c r="G2697" s="434"/>
      <c r="H2697" s="434"/>
      <c r="I2697" s="434"/>
      <c r="J2697" s="449"/>
      <c r="K2697" s="292"/>
      <c r="L2697" s="350"/>
      <c r="M2697" s="350"/>
      <c r="N2697" s="292"/>
      <c r="O2697" s="408">
        <f>TrialBalanceA!I40</f>
        <v>0</v>
      </c>
      <c r="P2697" s="295"/>
      <c r="R2697" s="348" t="str">
        <f t="shared" ref="R2697:R2724" si="189">IF(R$2648="DELETE","DELETE",IF(O2697=0,"DELETE"," "))</f>
        <v>DELETE</v>
      </c>
      <c r="T2697" s="334"/>
    </row>
    <row r="2698" spans="3:24" ht="36" customHeight="1" x14ac:dyDescent="0.45">
      <c r="C2698" s="397"/>
      <c r="D2698" s="434" t="s">
        <v>658</v>
      </c>
      <c r="E2698" s="434"/>
      <c r="F2698" s="434"/>
      <c r="G2698" s="434"/>
      <c r="H2698" s="434"/>
      <c r="I2698" s="434"/>
      <c r="J2698" s="449"/>
      <c r="K2698" s="292"/>
      <c r="L2698" s="350"/>
      <c r="M2698" s="350"/>
      <c r="N2698" s="292"/>
      <c r="O2698" s="408">
        <f>TrialBalanceA!I41</f>
        <v>0</v>
      </c>
      <c r="P2698" s="295"/>
      <c r="R2698" s="348" t="str">
        <f t="shared" si="189"/>
        <v>DELETE</v>
      </c>
      <c r="T2698" s="334"/>
    </row>
    <row r="2699" spans="3:24" ht="36" customHeight="1" x14ac:dyDescent="0.45">
      <c r="C2699" s="397"/>
      <c r="D2699" s="434" t="s">
        <v>251</v>
      </c>
      <c r="E2699" s="434"/>
      <c r="F2699" s="434"/>
      <c r="G2699" s="434"/>
      <c r="H2699" s="434"/>
      <c r="I2699" s="434"/>
      <c r="J2699" s="449"/>
      <c r="K2699" s="292"/>
      <c r="L2699" s="350"/>
      <c r="M2699" s="350"/>
      <c r="N2699" s="292"/>
      <c r="O2699" s="408">
        <f>TrialBalanceA!I42</f>
        <v>0</v>
      </c>
      <c r="P2699" s="295"/>
      <c r="R2699" s="348" t="str">
        <f t="shared" si="189"/>
        <v>DELETE</v>
      </c>
      <c r="T2699" s="334"/>
    </row>
    <row r="2700" spans="3:24" ht="36" customHeight="1" x14ac:dyDescent="0.45">
      <c r="C2700" s="397"/>
      <c r="D2700" s="434" t="s">
        <v>252</v>
      </c>
      <c r="E2700" s="434"/>
      <c r="F2700" s="434"/>
      <c r="G2700" s="434"/>
      <c r="H2700" s="434"/>
      <c r="I2700" s="434"/>
      <c r="J2700" s="449"/>
      <c r="K2700" s="292">
        <f>B$958</f>
        <v>5</v>
      </c>
      <c r="L2700" s="350"/>
      <c r="M2700" s="350"/>
      <c r="N2700" s="292"/>
      <c r="O2700" s="408">
        <f>SUM(TrialBalanceA!I44:I46)</f>
        <v>0</v>
      </c>
      <c r="P2700" s="295"/>
      <c r="R2700" s="348" t="str">
        <f t="shared" si="189"/>
        <v>DELETE</v>
      </c>
      <c r="T2700" s="334"/>
    </row>
    <row r="2701" spans="3:24" ht="36" customHeight="1" x14ac:dyDescent="0.45">
      <c r="C2701" s="397"/>
      <c r="D2701" s="434" t="s">
        <v>494</v>
      </c>
      <c r="E2701" s="434"/>
      <c r="F2701" s="434"/>
      <c r="G2701" s="434"/>
      <c r="H2701" s="434"/>
      <c r="I2701" s="434"/>
      <c r="J2701" s="449"/>
      <c r="K2701" s="292"/>
      <c r="L2701" s="350"/>
      <c r="M2701" s="350"/>
      <c r="N2701" s="292"/>
      <c r="O2701" s="408">
        <f>TrialBalanceA!I47</f>
        <v>0</v>
      </c>
      <c r="P2701" s="295"/>
      <c r="R2701" s="348" t="str">
        <f t="shared" si="189"/>
        <v>DELETE</v>
      </c>
      <c r="S2701" s="336"/>
      <c r="T2701" s="334"/>
      <c r="U2701" s="336"/>
      <c r="V2701" s="336"/>
      <c r="W2701" s="336"/>
      <c r="X2701" s="336"/>
    </row>
    <row r="2702" spans="3:24" ht="36" customHeight="1" x14ac:dyDescent="0.45">
      <c r="C2702" s="397"/>
      <c r="D2702" s="434" t="s">
        <v>678</v>
      </c>
      <c r="E2702" s="434"/>
      <c r="F2702" s="434"/>
      <c r="G2702" s="434"/>
      <c r="H2702" s="434"/>
      <c r="I2702" s="434"/>
      <c r="J2702" s="449"/>
      <c r="K2702" s="292"/>
      <c r="L2702" s="350"/>
      <c r="M2702" s="350"/>
      <c r="N2702" s="292"/>
      <c r="O2702" s="408">
        <f>TrialBalanceA!I48</f>
        <v>0</v>
      </c>
      <c r="P2702" s="295"/>
      <c r="R2702" s="348" t="str">
        <f t="shared" si="189"/>
        <v>DELETE</v>
      </c>
      <c r="T2702" s="334"/>
    </row>
    <row r="2703" spans="3:24" ht="36" customHeight="1" x14ac:dyDescent="0.45">
      <c r="C2703" s="397"/>
      <c r="D2703" s="434" t="s">
        <v>54</v>
      </c>
      <c r="E2703" s="434"/>
      <c r="F2703" s="434"/>
      <c r="G2703" s="434"/>
      <c r="H2703" s="434"/>
      <c r="I2703" s="434"/>
      <c r="J2703" s="449"/>
      <c r="K2703" s="292"/>
      <c r="L2703" s="350"/>
      <c r="M2703" s="350"/>
      <c r="N2703" s="292"/>
      <c r="O2703" s="408">
        <f>TrialBalanceA!I49</f>
        <v>0</v>
      </c>
      <c r="P2703" s="295"/>
      <c r="R2703" s="348" t="str">
        <f t="shared" si="189"/>
        <v>DELETE</v>
      </c>
      <c r="T2703" s="334"/>
    </row>
    <row r="2704" spans="3:24" ht="36" customHeight="1" x14ac:dyDescent="0.45">
      <c r="C2704" s="397"/>
      <c r="D2704" s="434" t="s">
        <v>253</v>
      </c>
      <c r="E2704" s="434"/>
      <c r="F2704" s="434"/>
      <c r="G2704" s="434"/>
      <c r="H2704" s="434"/>
      <c r="I2704" s="434"/>
      <c r="J2704" s="449"/>
      <c r="K2704" s="292"/>
      <c r="L2704" s="350"/>
      <c r="M2704" s="350"/>
      <c r="N2704" s="292"/>
      <c r="O2704" s="408">
        <f>TrialBalanceA!I50</f>
        <v>0</v>
      </c>
      <c r="P2704" s="295"/>
      <c r="R2704" s="348" t="str">
        <f t="shared" si="189"/>
        <v>DELETE</v>
      </c>
      <c r="T2704" s="334"/>
    </row>
    <row r="2705" spans="3:20" ht="36" customHeight="1" x14ac:dyDescent="0.45">
      <c r="C2705" s="397"/>
      <c r="D2705" s="434" t="s">
        <v>511</v>
      </c>
      <c r="E2705" s="434"/>
      <c r="F2705" s="434"/>
      <c r="G2705" s="434"/>
      <c r="H2705" s="434"/>
      <c r="I2705" s="434"/>
      <c r="J2705" s="449"/>
      <c r="K2705" s="292"/>
      <c r="L2705" s="350"/>
      <c r="M2705" s="350"/>
      <c r="N2705" s="292"/>
      <c r="O2705" s="408">
        <f>SUM(TrialBalanceA!I51:I52)</f>
        <v>0</v>
      </c>
      <c r="P2705" s="295"/>
      <c r="R2705" s="348" t="str">
        <f t="shared" si="189"/>
        <v>DELETE</v>
      </c>
      <c r="T2705" s="334"/>
    </row>
    <row r="2706" spans="3:20" ht="36" customHeight="1" x14ac:dyDescent="0.45">
      <c r="C2706" s="397"/>
      <c r="D2706" s="434" t="s">
        <v>510</v>
      </c>
      <c r="E2706" s="434"/>
      <c r="F2706" s="434"/>
      <c r="G2706" s="434"/>
      <c r="H2706" s="434"/>
      <c r="I2706" s="434"/>
      <c r="J2706" s="449"/>
      <c r="K2706" s="292"/>
      <c r="L2706" s="350"/>
      <c r="M2706" s="350"/>
      <c r="N2706" s="292"/>
      <c r="O2706" s="408">
        <f>TrialBalanceA!I53</f>
        <v>0</v>
      </c>
      <c r="P2706" s="295"/>
      <c r="R2706" s="348" t="str">
        <f t="shared" si="189"/>
        <v>DELETE</v>
      </c>
      <c r="T2706" s="334"/>
    </row>
    <row r="2707" spans="3:20" ht="36" customHeight="1" x14ac:dyDescent="0.45">
      <c r="C2707" s="397"/>
      <c r="D2707" s="434" t="s">
        <v>495</v>
      </c>
      <c r="E2707" s="434"/>
      <c r="F2707" s="434"/>
      <c r="G2707" s="434"/>
      <c r="H2707" s="434"/>
      <c r="I2707" s="434"/>
      <c r="J2707" s="449"/>
      <c r="K2707" s="292"/>
      <c r="L2707" s="350"/>
      <c r="M2707" s="350"/>
      <c r="N2707" s="292"/>
      <c r="O2707" s="408">
        <f>SUM(TrialBalanceA!I55:I59)</f>
        <v>0</v>
      </c>
      <c r="P2707" s="295"/>
      <c r="R2707" s="348" t="str">
        <f t="shared" si="189"/>
        <v>DELETE</v>
      </c>
      <c r="T2707" s="334"/>
    </row>
    <row r="2708" spans="3:20" ht="36" customHeight="1" x14ac:dyDescent="0.45">
      <c r="C2708" s="397"/>
      <c r="D2708" s="434" t="s">
        <v>479</v>
      </c>
      <c r="E2708" s="434"/>
      <c r="F2708" s="434"/>
      <c r="G2708" s="434"/>
      <c r="H2708" s="434"/>
      <c r="I2708" s="434"/>
      <c r="J2708" s="449"/>
      <c r="K2708" s="292">
        <f>B$958</f>
        <v>5</v>
      </c>
      <c r="L2708" s="350"/>
      <c r="M2708" s="350"/>
      <c r="N2708" s="292"/>
      <c r="O2708" s="408">
        <f>SUM(TrialBalanceA!I61:I63)</f>
        <v>0</v>
      </c>
      <c r="P2708" s="295"/>
      <c r="R2708" s="348" t="str">
        <f t="shared" si="189"/>
        <v>DELETE</v>
      </c>
      <c r="T2708" s="334"/>
    </row>
    <row r="2709" spans="3:20" ht="36" customHeight="1" x14ac:dyDescent="0.45">
      <c r="C2709" s="397"/>
      <c r="D2709" s="434" t="s">
        <v>57</v>
      </c>
      <c r="E2709" s="434"/>
      <c r="F2709" s="434"/>
      <c r="G2709" s="434"/>
      <c r="H2709" s="434"/>
      <c r="I2709" s="434"/>
      <c r="J2709" s="449"/>
      <c r="K2709" s="292"/>
      <c r="L2709" s="350"/>
      <c r="M2709" s="350"/>
      <c r="N2709" s="292"/>
      <c r="O2709" s="408">
        <f>TrialBalanceA!I64</f>
        <v>0</v>
      </c>
      <c r="P2709" s="295"/>
      <c r="R2709" s="348" t="str">
        <f t="shared" si="189"/>
        <v>DELETE</v>
      </c>
      <c r="T2709" s="334"/>
    </row>
    <row r="2710" spans="3:20" ht="36" customHeight="1" x14ac:dyDescent="0.45">
      <c r="C2710" s="397"/>
      <c r="D2710" s="434" t="s">
        <v>1210</v>
      </c>
      <c r="E2710" s="434"/>
      <c r="F2710" s="434"/>
      <c r="G2710" s="434"/>
      <c r="H2710" s="434"/>
      <c r="I2710" s="434"/>
      <c r="J2710" s="449"/>
      <c r="K2710" s="292"/>
      <c r="L2710" s="350"/>
      <c r="M2710" s="350"/>
      <c r="N2710" s="292"/>
      <c r="O2710" s="408">
        <f>TrialBalanceA!I65</f>
        <v>0</v>
      </c>
      <c r="P2710" s="295"/>
      <c r="R2710" s="348" t="str">
        <f t="shared" ref="R2710" si="190">IF(R$2648="DELETE","DELETE",IF(O2710=0,"DELETE"," "))</f>
        <v>DELETE</v>
      </c>
      <c r="T2710" s="334"/>
    </row>
    <row r="2711" spans="3:20" ht="36" customHeight="1" x14ac:dyDescent="0.45">
      <c r="C2711" s="397"/>
      <c r="D2711" s="434" t="s">
        <v>235</v>
      </c>
      <c r="E2711" s="434"/>
      <c r="F2711" s="434"/>
      <c r="G2711" s="434"/>
      <c r="H2711" s="434"/>
      <c r="I2711" s="434"/>
      <c r="J2711" s="449"/>
      <c r="K2711" s="292"/>
      <c r="L2711" s="350"/>
      <c r="M2711" s="350"/>
      <c r="N2711" s="292"/>
      <c r="O2711" s="408">
        <f>SUM(TrialBalanceA!I66:I68)</f>
        <v>0</v>
      </c>
      <c r="P2711" s="295"/>
      <c r="R2711" s="348" t="str">
        <f t="shared" si="189"/>
        <v>DELETE</v>
      </c>
      <c r="T2711" s="334"/>
    </row>
    <row r="2712" spans="3:20" ht="36" customHeight="1" x14ac:dyDescent="0.45">
      <c r="C2712" s="397"/>
      <c r="D2712" s="434" t="s">
        <v>679</v>
      </c>
      <c r="E2712" s="434"/>
      <c r="F2712" s="434"/>
      <c r="G2712" s="434"/>
      <c r="H2712" s="434"/>
      <c r="I2712" s="434"/>
      <c r="J2712" s="449"/>
      <c r="K2712" s="292"/>
      <c r="L2712" s="350"/>
      <c r="M2712" s="350"/>
      <c r="N2712" s="292"/>
      <c r="O2712" s="408">
        <f>SUM(TrialBalanceA!I69:I70)</f>
        <v>0</v>
      </c>
      <c r="P2712" s="295"/>
      <c r="R2712" s="348" t="str">
        <f t="shared" si="189"/>
        <v>DELETE</v>
      </c>
      <c r="T2712" s="334"/>
    </row>
    <row r="2713" spans="3:20" ht="36" customHeight="1" x14ac:dyDescent="0.45">
      <c r="C2713" s="397"/>
      <c r="D2713" s="434" t="s">
        <v>236</v>
      </c>
      <c r="E2713" s="434"/>
      <c r="F2713" s="434"/>
      <c r="G2713" s="434"/>
      <c r="H2713" s="434"/>
      <c r="I2713" s="434"/>
      <c r="J2713" s="449"/>
      <c r="K2713" s="292"/>
      <c r="L2713" s="350"/>
      <c r="M2713" s="350"/>
      <c r="N2713" s="292"/>
      <c r="O2713" s="408">
        <f>TrialBalanceA!I71</f>
        <v>0</v>
      </c>
      <c r="P2713" s="295"/>
      <c r="R2713" s="348" t="str">
        <f t="shared" si="189"/>
        <v>DELETE</v>
      </c>
      <c r="T2713" s="334"/>
    </row>
    <row r="2714" spans="3:20" ht="36" customHeight="1" x14ac:dyDescent="0.45">
      <c r="C2714" s="397"/>
      <c r="D2714" s="434" t="s">
        <v>361</v>
      </c>
      <c r="E2714" s="434"/>
      <c r="F2714" s="434"/>
      <c r="G2714" s="434"/>
      <c r="H2714" s="434"/>
      <c r="I2714" s="434"/>
      <c r="J2714" s="449"/>
      <c r="K2714" s="292"/>
      <c r="L2714" s="350"/>
      <c r="M2714" s="350"/>
      <c r="N2714" s="292"/>
      <c r="O2714" s="408">
        <f>TrialBalanceA!I72</f>
        <v>0</v>
      </c>
      <c r="P2714" s="295"/>
      <c r="R2714" s="348" t="str">
        <f t="shared" si="189"/>
        <v>DELETE</v>
      </c>
      <c r="T2714" s="334"/>
    </row>
    <row r="2715" spans="3:20" ht="36" customHeight="1" x14ac:dyDescent="0.45">
      <c r="C2715" s="397"/>
      <c r="D2715" s="434">
        <f>TrialBalanceA!C73</f>
        <v>0</v>
      </c>
      <c r="E2715" s="434"/>
      <c r="F2715" s="434"/>
      <c r="G2715" s="434"/>
      <c r="H2715" s="434"/>
      <c r="I2715" s="434"/>
      <c r="J2715" s="449"/>
      <c r="K2715" s="292"/>
      <c r="L2715" s="350"/>
      <c r="M2715" s="350"/>
      <c r="N2715" s="292"/>
      <c r="O2715" s="408">
        <f>TrialBalanceA!I73</f>
        <v>0</v>
      </c>
      <c r="P2715" s="295"/>
      <c r="R2715" s="348" t="str">
        <f t="shared" si="189"/>
        <v>DELETE</v>
      </c>
      <c r="T2715" s="334"/>
    </row>
    <row r="2716" spans="3:20" ht="36" customHeight="1" x14ac:dyDescent="0.45">
      <c r="C2716" s="397"/>
      <c r="D2716" s="434">
        <f>TrialBalanceA!C74</f>
        <v>0</v>
      </c>
      <c r="E2716" s="434"/>
      <c r="F2716" s="434"/>
      <c r="G2716" s="434"/>
      <c r="H2716" s="434"/>
      <c r="I2716" s="434"/>
      <c r="J2716" s="449"/>
      <c r="K2716" s="292"/>
      <c r="L2716" s="350"/>
      <c r="M2716" s="350"/>
      <c r="N2716" s="292"/>
      <c r="O2716" s="408">
        <f>TrialBalanceA!I74</f>
        <v>0</v>
      </c>
      <c r="P2716" s="295"/>
      <c r="R2716" s="348" t="str">
        <f t="shared" si="189"/>
        <v>DELETE</v>
      </c>
      <c r="T2716" s="334"/>
    </row>
    <row r="2717" spans="3:20" ht="36" customHeight="1" x14ac:dyDescent="0.45">
      <c r="C2717" s="397"/>
      <c r="D2717" s="434">
        <f>TrialBalanceA!C75</f>
        <v>0</v>
      </c>
      <c r="E2717" s="434"/>
      <c r="F2717" s="434"/>
      <c r="G2717" s="434"/>
      <c r="H2717" s="434"/>
      <c r="I2717" s="434"/>
      <c r="J2717" s="449"/>
      <c r="K2717" s="292"/>
      <c r="L2717" s="350"/>
      <c r="M2717" s="350"/>
      <c r="N2717" s="292"/>
      <c r="O2717" s="408">
        <f>TrialBalanceA!I75</f>
        <v>0</v>
      </c>
      <c r="P2717" s="295"/>
      <c r="R2717" s="348" t="str">
        <f t="shared" si="189"/>
        <v>DELETE</v>
      </c>
      <c r="T2717" s="334"/>
    </row>
    <row r="2718" spans="3:20" ht="36" customHeight="1" x14ac:dyDescent="0.45">
      <c r="C2718" s="397"/>
      <c r="D2718" s="434">
        <f>TrialBalanceA!C76</f>
        <v>0</v>
      </c>
      <c r="E2718" s="434"/>
      <c r="F2718" s="434"/>
      <c r="G2718" s="434"/>
      <c r="H2718" s="434"/>
      <c r="I2718" s="434"/>
      <c r="J2718" s="449"/>
      <c r="K2718" s="292"/>
      <c r="L2718" s="350"/>
      <c r="M2718" s="350"/>
      <c r="N2718" s="292"/>
      <c r="O2718" s="408">
        <f>TrialBalanceA!I76</f>
        <v>0</v>
      </c>
      <c r="P2718" s="295"/>
      <c r="R2718" s="348" t="str">
        <f t="shared" si="189"/>
        <v>DELETE</v>
      </c>
      <c r="T2718" s="334"/>
    </row>
    <row r="2719" spans="3:20" ht="36" customHeight="1" x14ac:dyDescent="0.45">
      <c r="C2719" s="397"/>
      <c r="D2719" s="434">
        <f>TrialBalanceA!C77</f>
        <v>0</v>
      </c>
      <c r="E2719" s="434"/>
      <c r="F2719" s="434"/>
      <c r="G2719" s="434"/>
      <c r="H2719" s="434"/>
      <c r="I2719" s="434"/>
      <c r="J2719" s="449"/>
      <c r="K2719" s="292"/>
      <c r="L2719" s="350"/>
      <c r="M2719" s="350"/>
      <c r="N2719" s="292"/>
      <c r="O2719" s="408">
        <f>TrialBalanceA!I77</f>
        <v>0</v>
      </c>
      <c r="P2719" s="295"/>
      <c r="R2719" s="348" t="str">
        <f t="shared" si="189"/>
        <v>DELETE</v>
      </c>
      <c r="T2719" s="334"/>
    </row>
    <row r="2720" spans="3:20" ht="36" customHeight="1" x14ac:dyDescent="0.45">
      <c r="C2720" s="397"/>
      <c r="D2720" s="434">
        <f>TrialBalanceA!C78</f>
        <v>0</v>
      </c>
      <c r="E2720" s="434"/>
      <c r="F2720" s="434"/>
      <c r="G2720" s="434"/>
      <c r="H2720" s="434"/>
      <c r="I2720" s="434"/>
      <c r="J2720" s="449"/>
      <c r="K2720" s="292"/>
      <c r="L2720" s="350"/>
      <c r="M2720" s="350"/>
      <c r="N2720" s="292"/>
      <c r="O2720" s="408">
        <f>TrialBalanceA!I78</f>
        <v>0</v>
      </c>
      <c r="P2720" s="295"/>
      <c r="R2720" s="348" t="str">
        <f t="shared" si="189"/>
        <v>DELETE</v>
      </c>
      <c r="T2720" s="334"/>
    </row>
    <row r="2721" spans="3:20" ht="36" customHeight="1" x14ac:dyDescent="0.45">
      <c r="C2721" s="397"/>
      <c r="D2721" s="434">
        <f>TrialBalanceA!C79</f>
        <v>0</v>
      </c>
      <c r="E2721" s="434"/>
      <c r="F2721" s="434"/>
      <c r="G2721" s="434"/>
      <c r="H2721" s="434"/>
      <c r="I2721" s="434"/>
      <c r="J2721" s="449"/>
      <c r="K2721" s="292"/>
      <c r="L2721" s="350"/>
      <c r="M2721" s="350"/>
      <c r="N2721" s="292"/>
      <c r="O2721" s="408">
        <f>TrialBalanceA!I79</f>
        <v>0</v>
      </c>
      <c r="P2721" s="295"/>
      <c r="R2721" s="348" t="str">
        <f t="shared" si="189"/>
        <v>DELETE</v>
      </c>
      <c r="T2721" s="334"/>
    </row>
    <row r="2722" spans="3:20" ht="36" customHeight="1" x14ac:dyDescent="0.45">
      <c r="C2722" s="397"/>
      <c r="D2722" s="434">
        <f>TrialBalanceA!C80</f>
        <v>0</v>
      </c>
      <c r="E2722" s="434"/>
      <c r="F2722" s="434"/>
      <c r="G2722" s="434"/>
      <c r="H2722" s="434"/>
      <c r="I2722" s="434"/>
      <c r="J2722" s="449"/>
      <c r="K2722" s="292"/>
      <c r="L2722" s="350"/>
      <c r="M2722" s="350"/>
      <c r="N2722" s="292"/>
      <c r="O2722" s="408">
        <f>TrialBalanceA!I80</f>
        <v>0</v>
      </c>
      <c r="P2722" s="295"/>
      <c r="R2722" s="348" t="str">
        <f t="shared" si="189"/>
        <v>DELETE</v>
      </c>
      <c r="T2722" s="334"/>
    </row>
    <row r="2723" spans="3:20" ht="36" customHeight="1" x14ac:dyDescent="0.45">
      <c r="C2723" s="397"/>
      <c r="D2723" s="434">
        <f>TrialBalanceA!C81</f>
        <v>0</v>
      </c>
      <c r="E2723" s="434"/>
      <c r="F2723" s="434"/>
      <c r="G2723" s="434"/>
      <c r="H2723" s="434"/>
      <c r="I2723" s="434"/>
      <c r="J2723" s="449"/>
      <c r="K2723" s="292"/>
      <c r="L2723" s="350"/>
      <c r="M2723" s="350"/>
      <c r="N2723" s="292"/>
      <c r="O2723" s="408">
        <f>TrialBalanceA!I81</f>
        <v>0</v>
      </c>
      <c r="P2723" s="295"/>
      <c r="R2723" s="348" t="str">
        <f t="shared" si="189"/>
        <v>DELETE</v>
      </c>
      <c r="T2723" s="334"/>
    </row>
    <row r="2724" spans="3:20" ht="36" customHeight="1" x14ac:dyDescent="0.45">
      <c r="C2724" s="397"/>
      <c r="D2724" s="434">
        <f>TrialBalanceA!C82</f>
        <v>0</v>
      </c>
      <c r="E2724" s="434"/>
      <c r="F2724" s="434"/>
      <c r="G2724" s="434"/>
      <c r="H2724" s="434"/>
      <c r="I2724" s="434"/>
      <c r="J2724" s="449"/>
      <c r="K2724" s="292"/>
      <c r="L2724" s="350"/>
      <c r="M2724" s="350"/>
      <c r="N2724" s="292"/>
      <c r="O2724" s="408">
        <f>TrialBalanceA!I82</f>
        <v>0</v>
      </c>
      <c r="P2724" s="295"/>
      <c r="R2724" s="348" t="str">
        <f t="shared" si="189"/>
        <v>DELETE</v>
      </c>
      <c r="T2724" s="334"/>
    </row>
    <row r="2725" spans="3:20" ht="9" customHeight="1" x14ac:dyDescent="0.45">
      <c r="C2725" s="397"/>
      <c r="D2725" s="434"/>
      <c r="E2725" s="434"/>
      <c r="F2725" s="434"/>
      <c r="G2725" s="434"/>
      <c r="H2725" s="434"/>
      <c r="I2725" s="434"/>
      <c r="J2725" s="449"/>
      <c r="K2725" s="292"/>
      <c r="L2725" s="350"/>
      <c r="M2725" s="350"/>
      <c r="N2725" s="292"/>
      <c r="O2725" s="409"/>
      <c r="P2725" s="295"/>
      <c r="R2725" s="348" t="str">
        <f>R2694</f>
        <v>DELETE</v>
      </c>
      <c r="T2725" s="334"/>
    </row>
    <row r="2726" spans="3:20" ht="9" customHeight="1" x14ac:dyDescent="0.45">
      <c r="C2726" s="397"/>
      <c r="D2726" s="434"/>
      <c r="E2726" s="434"/>
      <c r="F2726" s="434"/>
      <c r="G2726" s="434"/>
      <c r="H2726" s="434"/>
      <c r="I2726" s="434"/>
      <c r="J2726" s="449"/>
      <c r="K2726" s="292"/>
      <c r="L2726" s="350"/>
      <c r="M2726" s="350"/>
      <c r="N2726" s="292"/>
      <c r="O2726" s="298"/>
      <c r="P2726" s="295"/>
      <c r="R2726" s="348" t="str">
        <f t="shared" ref="R2726:R2746" si="191">R$2648</f>
        <v>DELETE</v>
      </c>
      <c r="T2726" s="334"/>
    </row>
    <row r="2727" spans="3:20" ht="9" customHeight="1" x14ac:dyDescent="0.45">
      <c r="C2727" s="397"/>
      <c r="D2727" s="434"/>
      <c r="E2727" s="434"/>
      <c r="F2727" s="434"/>
      <c r="G2727" s="434"/>
      <c r="H2727" s="434"/>
      <c r="I2727" s="434"/>
      <c r="J2727" s="449"/>
      <c r="K2727" s="292"/>
      <c r="L2727" s="350"/>
      <c r="M2727" s="350"/>
      <c r="N2727" s="292"/>
      <c r="O2727" s="296"/>
      <c r="P2727" s="295"/>
      <c r="R2727" s="348" t="str">
        <f t="shared" si="191"/>
        <v>DELETE</v>
      </c>
      <c r="T2727" s="334"/>
    </row>
    <row r="2728" spans="3:20" ht="36" customHeight="1" x14ac:dyDescent="0.45">
      <c r="D2728" s="446" t="str">
        <f>IF(O2728&lt;0,"Operating loss","Operating profit")</f>
        <v>Operating profit</v>
      </c>
      <c r="E2728" s="434"/>
      <c r="F2728" s="434"/>
      <c r="G2728" s="434"/>
      <c r="H2728" s="434"/>
      <c r="I2728" s="434"/>
      <c r="J2728" s="449"/>
      <c r="K2728" s="292"/>
      <c r="L2728" s="350"/>
      <c r="M2728" s="350"/>
      <c r="N2728" s="292"/>
      <c r="O2728" s="296">
        <f>SUM(S2660:S2726)</f>
        <v>0</v>
      </c>
      <c r="P2728" s="295"/>
      <c r="R2728" s="348" t="str">
        <f t="shared" si="191"/>
        <v>DELETE</v>
      </c>
      <c r="T2728" s="334"/>
    </row>
    <row r="2729" spans="3:20" ht="36" customHeight="1" x14ac:dyDescent="0.45">
      <c r="C2729" s="397"/>
      <c r="D2729" s="434"/>
      <c r="E2729" s="434" t="s">
        <v>238</v>
      </c>
      <c r="F2729" s="434"/>
      <c r="G2729" s="434"/>
      <c r="H2729" s="434"/>
      <c r="I2729" s="434"/>
      <c r="J2729" s="449"/>
      <c r="K2729" s="292"/>
      <c r="L2729" s="350"/>
      <c r="M2729" s="350"/>
      <c r="N2729" s="292"/>
      <c r="O2729" s="296"/>
      <c r="P2729" s="295"/>
      <c r="R2729" s="348" t="str">
        <f t="shared" si="191"/>
        <v>DELETE</v>
      </c>
      <c r="T2729" s="334"/>
    </row>
    <row r="2730" spans="3:20" ht="36" customHeight="1" x14ac:dyDescent="0.45">
      <c r="C2730" s="397"/>
      <c r="D2730" s="434"/>
      <c r="E2730" s="434"/>
      <c r="F2730" s="434"/>
      <c r="G2730" s="434"/>
      <c r="H2730" s="434"/>
      <c r="I2730" s="434"/>
      <c r="J2730" s="449"/>
      <c r="K2730" s="292"/>
      <c r="L2730" s="350"/>
      <c r="M2730" s="350"/>
      <c r="N2730" s="292"/>
      <c r="O2730" s="296"/>
      <c r="P2730" s="295"/>
      <c r="R2730" s="348" t="str">
        <f t="shared" si="191"/>
        <v>DELETE</v>
      </c>
      <c r="T2730" s="334"/>
    </row>
    <row r="2731" spans="3:20" ht="36" customHeight="1" x14ac:dyDescent="0.45">
      <c r="C2731" s="397"/>
      <c r="D2731" s="434"/>
      <c r="E2731" s="434"/>
      <c r="F2731" s="434"/>
      <c r="G2731" s="434"/>
      <c r="H2731" s="434"/>
      <c r="I2731" s="434"/>
      <c r="J2731" s="449"/>
      <c r="K2731" s="292"/>
      <c r="L2731" s="350"/>
      <c r="M2731" s="350"/>
      <c r="N2731" s="292"/>
      <c r="O2731" s="296"/>
      <c r="P2731" s="295"/>
      <c r="R2731" s="348" t="str">
        <f t="shared" si="191"/>
        <v>DELETE</v>
      </c>
      <c r="T2731" s="334"/>
    </row>
    <row r="2732" spans="3:20" ht="36" customHeight="1" x14ac:dyDescent="0.45">
      <c r="C2732" s="397"/>
      <c r="D2732" s="434"/>
      <c r="E2732" s="434"/>
      <c r="F2732" s="434"/>
      <c r="G2732" s="434"/>
      <c r="H2732" s="434"/>
      <c r="I2732" s="434"/>
      <c r="J2732" s="449"/>
      <c r="K2732" s="292"/>
      <c r="L2732" s="292"/>
      <c r="M2732" s="310"/>
      <c r="N2732" s="310"/>
      <c r="O2732" s="310"/>
      <c r="P2732" s="330"/>
      <c r="R2732" s="348" t="str">
        <f t="shared" si="191"/>
        <v>DELETE</v>
      </c>
      <c r="T2732" s="334"/>
    </row>
    <row r="2733" spans="3:20" ht="36" customHeight="1" x14ac:dyDescent="0.45">
      <c r="C2733" s="397"/>
      <c r="D2733" s="434"/>
      <c r="E2733" s="434"/>
      <c r="F2733" s="434"/>
      <c r="G2733" s="434"/>
      <c r="H2733" s="434"/>
      <c r="I2733" s="434"/>
      <c r="J2733" s="449"/>
      <c r="K2733" s="292"/>
      <c r="L2733" s="292"/>
      <c r="M2733" s="296"/>
      <c r="N2733" s="296"/>
      <c r="O2733" s="296"/>
      <c r="P2733" s="295"/>
      <c r="R2733" s="348" t="str">
        <f t="shared" si="191"/>
        <v>DELETE</v>
      </c>
      <c r="T2733" s="334"/>
    </row>
    <row r="2734" spans="3:20" ht="36" customHeight="1" x14ac:dyDescent="0.45">
      <c r="C2734" s="397"/>
      <c r="D2734" s="434"/>
      <c r="E2734" s="434"/>
      <c r="F2734" s="434"/>
      <c r="G2734" s="434"/>
      <c r="H2734" s="434"/>
      <c r="I2734" s="434"/>
      <c r="J2734" s="449"/>
      <c r="K2734" s="292"/>
      <c r="L2734" s="292"/>
      <c r="M2734" s="296"/>
      <c r="N2734" s="296"/>
      <c r="O2734" s="296" t="s">
        <v>89</v>
      </c>
      <c r="P2734" s="295"/>
      <c r="Q2734" s="292">
        <f>MAX($Q$2648:Q2733)+1</f>
        <v>2</v>
      </c>
      <c r="R2734" s="348" t="str">
        <f t="shared" si="191"/>
        <v>DELETE</v>
      </c>
      <c r="T2734" s="334"/>
    </row>
    <row r="2735" spans="3:20" ht="36" customHeight="1" x14ac:dyDescent="0.45">
      <c r="C2735" s="397"/>
      <c r="D2735" s="433" t="str">
        <f>Criteria!E14</f>
        <v>SUBSIDIARY ONE 111 (PTY) LTD</v>
      </c>
      <c r="E2735" s="434"/>
      <c r="F2735" s="434"/>
      <c r="G2735" s="434"/>
      <c r="H2735" s="434"/>
      <c r="I2735" s="434"/>
      <c r="J2735" s="449"/>
      <c r="K2735" s="292"/>
      <c r="L2735" s="292"/>
      <c r="M2735" s="296"/>
      <c r="N2735" s="296"/>
      <c r="O2735" s="347"/>
      <c r="R2735" s="348" t="str">
        <f t="shared" si="191"/>
        <v>DELETE</v>
      </c>
      <c r="T2735" s="334"/>
    </row>
    <row r="2736" spans="3:20" ht="36" customHeight="1" x14ac:dyDescent="0.45">
      <c r="C2736" s="397"/>
      <c r="D2736" s="438"/>
      <c r="E2736" s="434"/>
      <c r="F2736" s="434"/>
      <c r="G2736" s="434"/>
      <c r="H2736" s="434"/>
      <c r="I2736" s="434"/>
      <c r="J2736" s="449"/>
      <c r="K2736" s="292"/>
      <c r="L2736" s="292"/>
      <c r="M2736" s="296"/>
      <c r="N2736" s="296"/>
      <c r="O2736" s="296"/>
      <c r="P2736" s="295"/>
      <c r="R2736" s="348" t="str">
        <f t="shared" si="191"/>
        <v>DELETE</v>
      </c>
      <c r="T2736" s="334"/>
    </row>
    <row r="2737" spans="3:24" ht="36" customHeight="1" x14ac:dyDescent="0.45">
      <c r="C2737" s="397"/>
      <c r="D2737" s="434"/>
      <c r="E2737" s="434"/>
      <c r="F2737" s="434"/>
      <c r="G2737" s="434"/>
      <c r="H2737" s="434"/>
      <c r="I2737" s="434"/>
      <c r="J2737" s="449"/>
      <c r="K2737" s="292"/>
      <c r="L2737" s="292"/>
      <c r="M2737" s="296"/>
      <c r="N2737" s="296"/>
      <c r="O2737" s="296"/>
      <c r="P2737" s="295"/>
      <c r="R2737" s="348" t="str">
        <f t="shared" si="191"/>
        <v>DELETE</v>
      </c>
      <c r="T2737" s="334"/>
    </row>
    <row r="2738" spans="3:24" ht="36" customHeight="1" x14ac:dyDescent="0.45">
      <c r="C2738" s="397"/>
      <c r="D2738" s="433" t="s">
        <v>86</v>
      </c>
      <c r="E2738" s="434"/>
      <c r="F2738" s="434"/>
      <c r="G2738" s="434"/>
      <c r="H2738" s="434"/>
      <c r="I2738" s="434"/>
      <c r="J2738" s="449"/>
      <c r="K2738" s="292"/>
      <c r="L2738" s="292"/>
      <c r="M2738" s="296"/>
      <c r="N2738" s="296"/>
      <c r="O2738" s="296"/>
      <c r="P2738" s="295"/>
      <c r="R2738" s="348" t="str">
        <f t="shared" si="191"/>
        <v>DELETE</v>
      </c>
      <c r="T2738" s="334"/>
    </row>
    <row r="2739" spans="3:24" ht="36" customHeight="1" x14ac:dyDescent="0.45">
      <c r="C2739" s="397"/>
      <c r="D2739" s="433" t="str">
        <f>D2655</f>
        <v>28 FEBRUARY 2025</v>
      </c>
      <c r="E2739" s="434"/>
      <c r="F2739" s="434"/>
      <c r="G2739" s="434"/>
      <c r="H2739" s="434"/>
      <c r="I2739" s="434"/>
      <c r="J2739" s="434" t="s">
        <v>95</v>
      </c>
      <c r="K2739" s="292"/>
      <c r="L2739" s="292"/>
      <c r="M2739" s="296"/>
      <c r="N2739" s="296"/>
      <c r="O2739" s="296"/>
      <c r="P2739" s="295"/>
      <c r="R2739" s="348" t="str">
        <f t="shared" si="191"/>
        <v>DELETE</v>
      </c>
      <c r="T2739" s="334"/>
    </row>
    <row r="2740" spans="3:24" ht="36" customHeight="1" x14ac:dyDescent="0.45">
      <c r="C2740" s="397"/>
      <c r="D2740" s="434"/>
      <c r="E2740" s="434"/>
      <c r="F2740" s="434"/>
      <c r="G2740" s="434"/>
      <c r="H2740" s="434"/>
      <c r="I2740" s="434"/>
      <c r="J2740" s="449"/>
      <c r="K2740" s="304"/>
      <c r="L2740" s="304"/>
      <c r="M2740" s="298"/>
      <c r="N2740" s="298"/>
      <c r="O2740" s="298"/>
      <c r="P2740" s="295"/>
      <c r="R2740" s="348" t="str">
        <f t="shared" si="191"/>
        <v>DELETE</v>
      </c>
      <c r="T2740" s="334"/>
    </row>
    <row r="2741" spans="3:24" ht="36" customHeight="1" x14ac:dyDescent="0.45">
      <c r="C2741" s="397"/>
      <c r="D2741" s="444"/>
      <c r="E2741" s="444"/>
      <c r="F2741" s="444"/>
      <c r="G2741" s="444"/>
      <c r="H2741" s="444"/>
      <c r="I2741" s="444"/>
      <c r="J2741" s="453"/>
      <c r="M2741" s="351"/>
      <c r="N2741" s="351"/>
      <c r="O2741" s="351"/>
      <c r="P2741" s="313"/>
      <c r="Q2741" s="364"/>
      <c r="R2741" s="348" t="str">
        <f t="shared" si="191"/>
        <v>DELETE</v>
      </c>
      <c r="T2741" s="334"/>
    </row>
    <row r="2742" spans="3:24" ht="36" customHeight="1" x14ac:dyDescent="0.45">
      <c r="C2742" s="397"/>
      <c r="D2742" s="434"/>
      <c r="E2742" s="434"/>
      <c r="F2742" s="434"/>
      <c r="G2742" s="434"/>
      <c r="H2742" s="434"/>
      <c r="I2742" s="434"/>
      <c r="J2742" s="449"/>
      <c r="K2742" s="292" t="s">
        <v>1041</v>
      </c>
      <c r="L2742" s="292"/>
      <c r="M2742" s="350"/>
      <c r="N2742" s="294"/>
      <c r="O2742" s="294">
        <f>Criteria!E22</f>
        <v>2025</v>
      </c>
      <c r="P2742" s="295"/>
      <c r="R2742" s="348" t="str">
        <f t="shared" si="191"/>
        <v>DELETE</v>
      </c>
      <c r="T2742" s="334"/>
    </row>
    <row r="2743" spans="3:24" ht="36" customHeight="1" x14ac:dyDescent="0.45">
      <c r="C2743" s="397"/>
      <c r="D2743" s="434"/>
      <c r="E2743" s="434"/>
      <c r="F2743" s="434"/>
      <c r="G2743" s="434"/>
      <c r="H2743" s="434"/>
      <c r="I2743" s="434"/>
      <c r="J2743" s="449"/>
      <c r="K2743" s="292"/>
      <c r="L2743" s="292"/>
      <c r="M2743" s="296"/>
      <c r="N2743" s="296"/>
      <c r="O2743" s="296"/>
      <c r="P2743" s="295"/>
      <c r="R2743" s="348" t="str">
        <f t="shared" si="191"/>
        <v>DELETE</v>
      </c>
      <c r="T2743" s="334"/>
    </row>
    <row r="2744" spans="3:24" ht="36" customHeight="1" x14ac:dyDescent="0.45">
      <c r="D2744" s="446" t="str">
        <f>IF(O2744&lt;0,"Operating loss","Operating profit")</f>
        <v>Operating profit</v>
      </c>
      <c r="E2744" s="434"/>
      <c r="F2744" s="434"/>
      <c r="G2744" s="434"/>
      <c r="H2744" s="434"/>
      <c r="I2744" s="434"/>
      <c r="J2744" s="449"/>
      <c r="K2744" s="292"/>
      <c r="L2744" s="350"/>
      <c r="M2744" s="350"/>
      <c r="N2744" s="292"/>
      <c r="O2744" s="296">
        <f>SUM(S2660:S2725)</f>
        <v>0</v>
      </c>
      <c r="P2744" s="295"/>
      <c r="R2744" s="348" t="str">
        <f t="shared" si="191"/>
        <v>DELETE</v>
      </c>
      <c r="T2744" s="334"/>
      <c r="V2744" s="331" t="b">
        <f>O2744=O2728</f>
        <v>1</v>
      </c>
    </row>
    <row r="2745" spans="3:24" ht="36" customHeight="1" x14ac:dyDescent="0.45">
      <c r="C2745" s="397"/>
      <c r="D2745" s="434"/>
      <c r="E2745" s="434" t="s">
        <v>239</v>
      </c>
      <c r="F2745" s="434"/>
      <c r="G2745" s="434"/>
      <c r="H2745" s="434"/>
      <c r="I2745" s="434"/>
      <c r="J2745" s="449"/>
      <c r="K2745" s="292"/>
      <c r="L2745" s="350"/>
      <c r="M2745" s="350"/>
      <c r="N2745" s="292"/>
      <c r="O2745" s="296"/>
      <c r="P2745" s="295"/>
      <c r="R2745" s="348" t="str">
        <f t="shared" si="191"/>
        <v>DELETE</v>
      </c>
      <c r="T2745" s="334"/>
    </row>
    <row r="2746" spans="3:24" ht="36" customHeight="1" x14ac:dyDescent="0.45">
      <c r="C2746" s="397"/>
      <c r="D2746" s="434"/>
      <c r="E2746" s="434"/>
      <c r="F2746" s="434"/>
      <c r="G2746" s="434"/>
      <c r="H2746" s="434"/>
      <c r="I2746" s="434"/>
      <c r="J2746" s="449"/>
      <c r="K2746" s="292"/>
      <c r="L2746" s="350"/>
      <c r="M2746" s="350"/>
      <c r="N2746" s="292"/>
      <c r="O2746" s="296"/>
      <c r="P2746" s="295"/>
      <c r="R2746" s="348" t="str">
        <f t="shared" si="191"/>
        <v>DELETE</v>
      </c>
      <c r="T2746" s="334"/>
    </row>
    <row r="2747" spans="3:24" ht="36" customHeight="1" x14ac:dyDescent="0.45">
      <c r="D2747" s="433" t="s">
        <v>1076</v>
      </c>
      <c r="E2747" s="434"/>
      <c r="F2747" s="434"/>
      <c r="G2747" s="434"/>
      <c r="H2747" s="434"/>
      <c r="I2747" s="434"/>
      <c r="J2747" s="449"/>
      <c r="K2747" s="292"/>
      <c r="L2747" s="350"/>
      <c r="M2747" s="350"/>
      <c r="N2747" s="292"/>
      <c r="O2747" s="296">
        <f>SUM(O2750:O2783)</f>
        <v>0</v>
      </c>
      <c r="P2747" s="295"/>
      <c r="R2747" s="348" t="str">
        <f t="shared" ref="R2747" si="192">IF(R$2648="DELETE","DELETE",IF(O2747=0,"DELETE"," "))</f>
        <v>DELETE</v>
      </c>
      <c r="S2747" s="333">
        <f>-O2747</f>
        <v>0</v>
      </c>
      <c r="T2747" s="334"/>
      <c r="U2747" s="333"/>
      <c r="V2747" s="333"/>
      <c r="W2747" s="333"/>
      <c r="X2747" s="333"/>
    </row>
    <row r="2748" spans="3:24" ht="9" customHeight="1" x14ac:dyDescent="0.45">
      <c r="C2748" s="397"/>
      <c r="D2748" s="434"/>
      <c r="E2748" s="434"/>
      <c r="F2748" s="434"/>
      <c r="G2748" s="434"/>
      <c r="H2748" s="434"/>
      <c r="I2748" s="434"/>
      <c r="J2748" s="449"/>
      <c r="K2748" s="292"/>
      <c r="L2748" s="350"/>
      <c r="M2748" s="350"/>
      <c r="N2748" s="292"/>
      <c r="O2748" s="296"/>
      <c r="P2748" s="295"/>
      <c r="R2748" s="348" t="str">
        <f>R2747</f>
        <v>DELETE</v>
      </c>
      <c r="T2748" s="334"/>
    </row>
    <row r="2749" spans="3:24" ht="9" customHeight="1" x14ac:dyDescent="0.45">
      <c r="C2749" s="397"/>
      <c r="D2749" s="434"/>
      <c r="E2749" s="434"/>
      <c r="F2749" s="434"/>
      <c r="G2749" s="434"/>
      <c r="H2749" s="434"/>
      <c r="I2749" s="434"/>
      <c r="J2749" s="449"/>
      <c r="K2749" s="292"/>
      <c r="L2749" s="350"/>
      <c r="M2749" s="350"/>
      <c r="N2749" s="292"/>
      <c r="O2749" s="407"/>
      <c r="P2749" s="295"/>
      <c r="R2749" s="348" t="str">
        <f>R2748</f>
        <v>DELETE</v>
      </c>
      <c r="T2749" s="334"/>
    </row>
    <row r="2750" spans="3:24" ht="36" customHeight="1" x14ac:dyDescent="0.45">
      <c r="C2750" s="397"/>
      <c r="D2750" s="434" t="s">
        <v>199</v>
      </c>
      <c r="E2750" s="434"/>
      <c r="F2750" s="434"/>
      <c r="G2750" s="434"/>
      <c r="H2750" s="434"/>
      <c r="I2750" s="434"/>
      <c r="J2750" s="449"/>
      <c r="K2750" s="292"/>
      <c r="L2750" s="350"/>
      <c r="M2750" s="350"/>
      <c r="N2750" s="292"/>
      <c r="O2750" s="408">
        <f>SUM(TrialBalanceA!I99:I102)</f>
        <v>0</v>
      </c>
      <c r="P2750" s="295"/>
      <c r="R2750" s="348" t="str">
        <f t="shared" ref="R2750:R2781" si="193">IF(R$2648="DELETE","DELETE",IF(O2750=0,"DELETE"," "))</f>
        <v>DELETE</v>
      </c>
      <c r="T2750" s="334"/>
    </row>
    <row r="2751" spans="3:24" ht="36" customHeight="1" x14ac:dyDescent="0.45">
      <c r="C2751" s="397"/>
      <c r="D2751" s="434" t="s">
        <v>203</v>
      </c>
      <c r="E2751" s="434"/>
      <c r="F2751" s="434"/>
      <c r="G2751" s="434"/>
      <c r="H2751" s="434"/>
      <c r="I2751" s="434"/>
      <c r="J2751" s="449"/>
      <c r="K2751" s="292"/>
      <c r="L2751" s="350"/>
      <c r="M2751" s="350"/>
      <c r="N2751" s="292"/>
      <c r="O2751" s="408">
        <f>TrialBalanceA!I104</f>
        <v>0</v>
      </c>
      <c r="P2751" s="295"/>
      <c r="R2751" s="348" t="str">
        <f>IF(R$2648="DELETE","DELETE",IF(O2751=0,"DELETE"," "))</f>
        <v>DELETE</v>
      </c>
      <c r="T2751" s="334"/>
    </row>
    <row r="2752" spans="3:24" ht="36" customHeight="1" x14ac:dyDescent="0.45">
      <c r="C2752" s="397"/>
      <c r="D2752" s="434" t="s">
        <v>201</v>
      </c>
      <c r="E2752" s="434"/>
      <c r="F2752" s="434"/>
      <c r="G2752" s="434"/>
      <c r="H2752" s="434"/>
      <c r="I2752" s="434"/>
      <c r="J2752" s="449"/>
      <c r="K2752" s="292"/>
      <c r="L2752" s="350"/>
      <c r="M2752" s="350"/>
      <c r="N2752" s="292"/>
      <c r="O2752" s="408">
        <f>TrialBalanceA!I103</f>
        <v>0</v>
      </c>
      <c r="P2752" s="295"/>
      <c r="R2752" s="348" t="str">
        <f>IF(R$2648="DELETE","DELETE",IF(O2752=0,"DELETE"," "))</f>
        <v>DELETE</v>
      </c>
      <c r="T2752" s="334"/>
    </row>
    <row r="2753" spans="3:20" ht="36" customHeight="1" x14ac:dyDescent="0.45">
      <c r="C2753" s="397"/>
      <c r="D2753" s="434" t="s">
        <v>240</v>
      </c>
      <c r="E2753" s="434"/>
      <c r="F2753" s="434"/>
      <c r="G2753" s="434"/>
      <c r="H2753" s="434"/>
      <c r="I2753" s="434"/>
      <c r="J2753" s="449"/>
      <c r="K2753" s="292"/>
      <c r="L2753" s="350"/>
      <c r="M2753" s="350"/>
      <c r="N2753" s="292"/>
      <c r="O2753" s="408">
        <f>TrialBalanceA!I105</f>
        <v>0</v>
      </c>
      <c r="P2753" s="295"/>
      <c r="R2753" s="348" t="str">
        <f t="shared" si="193"/>
        <v>DELETE</v>
      </c>
      <c r="T2753" s="334"/>
    </row>
    <row r="2754" spans="3:20" ht="36" customHeight="1" x14ac:dyDescent="0.45">
      <c r="C2754" s="397"/>
      <c r="D2754" s="434" t="s">
        <v>206</v>
      </c>
      <c r="E2754" s="434"/>
      <c r="F2754" s="434"/>
      <c r="G2754" s="434"/>
      <c r="H2754" s="434"/>
      <c r="I2754" s="434"/>
      <c r="J2754" s="449"/>
      <c r="K2754" s="292"/>
      <c r="L2754" s="350"/>
      <c r="M2754" s="350"/>
      <c r="N2754" s="292"/>
      <c r="O2754" s="408">
        <f>TrialBalanceA!I106</f>
        <v>0</v>
      </c>
      <c r="P2754" s="295"/>
      <c r="R2754" s="348" t="str">
        <f t="shared" si="193"/>
        <v>DELETE</v>
      </c>
      <c r="T2754" s="334"/>
    </row>
    <row r="2755" spans="3:20" ht="36" customHeight="1" x14ac:dyDescent="0.45">
      <c r="C2755" s="397"/>
      <c r="D2755" s="434" t="s">
        <v>680</v>
      </c>
      <c r="E2755" s="434"/>
      <c r="F2755" s="434"/>
      <c r="G2755" s="434"/>
      <c r="H2755" s="434"/>
      <c r="I2755" s="434"/>
      <c r="J2755" s="449"/>
      <c r="K2755" s="292"/>
      <c r="L2755" s="350"/>
      <c r="M2755" s="350"/>
      <c r="N2755" s="292"/>
      <c r="O2755" s="408">
        <f>TrialBalanceA!I107</f>
        <v>0</v>
      </c>
      <c r="P2755" s="295"/>
      <c r="R2755" s="348" t="str">
        <f t="shared" si="193"/>
        <v>DELETE</v>
      </c>
      <c r="T2755" s="334"/>
    </row>
    <row r="2756" spans="3:20" ht="36" customHeight="1" x14ac:dyDescent="0.45">
      <c r="C2756" s="397"/>
      <c r="D2756" s="434" t="s">
        <v>1212</v>
      </c>
      <c r="E2756" s="434"/>
      <c r="F2756" s="434"/>
      <c r="G2756" s="434"/>
      <c r="H2756" s="434"/>
      <c r="I2756" s="434"/>
      <c r="J2756" s="449"/>
      <c r="K2756" s="292"/>
      <c r="L2756" s="350"/>
      <c r="M2756" s="350"/>
      <c r="N2756" s="292"/>
      <c r="O2756" s="408">
        <f>TrialBalanceA!I108</f>
        <v>0</v>
      </c>
      <c r="P2756" s="295"/>
      <c r="R2756" s="348" t="str">
        <f t="shared" ref="R2756" si="194">IF(R$2648="DELETE","DELETE",IF(O2756=0,"DELETE"," "))</f>
        <v>DELETE</v>
      </c>
      <c r="T2756" s="334"/>
    </row>
    <row r="2757" spans="3:20" ht="36" customHeight="1" x14ac:dyDescent="0.45">
      <c r="C2757" s="397"/>
      <c r="D2757" s="434" t="s">
        <v>252</v>
      </c>
      <c r="E2757" s="434"/>
      <c r="F2757" s="434"/>
      <c r="G2757" s="434"/>
      <c r="H2757" s="434"/>
      <c r="I2757" s="434"/>
      <c r="J2757" s="449"/>
      <c r="K2757" s="292">
        <f>B$958</f>
        <v>5</v>
      </c>
      <c r="L2757" s="350"/>
      <c r="M2757" s="350"/>
      <c r="N2757" s="292"/>
      <c r="O2757" s="408">
        <f>SUM(TrialBalanceA!I110:I111)</f>
        <v>0</v>
      </c>
      <c r="P2757" s="295"/>
      <c r="R2757" s="348" t="str">
        <f t="shared" si="193"/>
        <v>DELETE</v>
      </c>
      <c r="T2757" s="334"/>
    </row>
    <row r="2758" spans="3:20" ht="36" customHeight="1" x14ac:dyDescent="0.45">
      <c r="C2758" s="397"/>
      <c r="D2758" s="434" t="str">
        <f>IF(MAX(Criteria!I38:I42)&gt;1,"Directors' remuneration","Director's remuneration")</f>
        <v>Directors' remuneration</v>
      </c>
      <c r="E2758" s="434"/>
      <c r="F2758" s="434"/>
      <c r="G2758" s="434"/>
      <c r="H2758" s="434"/>
      <c r="I2758" s="434"/>
      <c r="J2758" s="449"/>
      <c r="K2758" s="292">
        <f>B$958</f>
        <v>5</v>
      </c>
      <c r="L2758" s="350"/>
      <c r="M2758" s="350"/>
      <c r="N2758" s="292"/>
      <c r="O2758" s="408">
        <f>SUM(TrialBalanceA!I113:I117)</f>
        <v>0</v>
      </c>
      <c r="P2758" s="295"/>
      <c r="R2758" s="348" t="str">
        <f t="shared" si="193"/>
        <v>DELETE</v>
      </c>
      <c r="T2758" s="334"/>
    </row>
    <row r="2759" spans="3:20" ht="36" customHeight="1" x14ac:dyDescent="0.45">
      <c r="C2759" s="397"/>
      <c r="D2759" s="434" t="s">
        <v>241</v>
      </c>
      <c r="E2759" s="434"/>
      <c r="F2759" s="434"/>
      <c r="G2759" s="434"/>
      <c r="H2759" s="434"/>
      <c r="I2759" s="434"/>
      <c r="J2759" s="449"/>
      <c r="K2759" s="292"/>
      <c r="L2759" s="350"/>
      <c r="M2759" s="350"/>
      <c r="N2759" s="292"/>
      <c r="O2759" s="408">
        <f>TrialBalanceA!I118</f>
        <v>0</v>
      </c>
      <c r="P2759" s="295"/>
      <c r="R2759" s="348" t="str">
        <f t="shared" si="193"/>
        <v>DELETE</v>
      </c>
      <c r="T2759" s="334"/>
    </row>
    <row r="2760" spans="3:20" ht="36" customHeight="1" x14ac:dyDescent="0.45">
      <c r="C2760" s="397"/>
      <c r="D2760" s="434" t="s">
        <v>344</v>
      </c>
      <c r="E2760" s="434"/>
      <c r="F2760" s="434"/>
      <c r="G2760" s="434"/>
      <c r="H2760" s="434"/>
      <c r="I2760" s="434"/>
      <c r="J2760" s="449"/>
      <c r="K2760" s="292"/>
      <c r="L2760" s="350"/>
      <c r="M2760" s="350"/>
      <c r="N2760" s="292"/>
      <c r="O2760" s="408">
        <f>TrialBalanceA!I119</f>
        <v>0</v>
      </c>
      <c r="P2760" s="295"/>
      <c r="R2760" s="348" t="str">
        <f t="shared" si="193"/>
        <v>DELETE</v>
      </c>
      <c r="T2760" s="334"/>
    </row>
    <row r="2761" spans="3:20" ht="36" customHeight="1" x14ac:dyDescent="0.45">
      <c r="C2761" s="397"/>
      <c r="D2761" s="434" t="s">
        <v>305</v>
      </c>
      <c r="E2761" s="434"/>
      <c r="F2761" s="434"/>
      <c r="G2761" s="434"/>
      <c r="H2761" s="434"/>
      <c r="I2761" s="434"/>
      <c r="J2761" s="449"/>
      <c r="K2761" s="292"/>
      <c r="L2761" s="350"/>
      <c r="M2761" s="350"/>
      <c r="N2761" s="292"/>
      <c r="O2761" s="408">
        <f>TrialBalanceA!I120</f>
        <v>0</v>
      </c>
      <c r="P2761" s="295"/>
      <c r="R2761" s="348" t="str">
        <f t="shared" si="193"/>
        <v>DELETE</v>
      </c>
      <c r="T2761" s="334"/>
    </row>
    <row r="2762" spans="3:20" ht="36" customHeight="1" x14ac:dyDescent="0.45">
      <c r="C2762" s="397"/>
      <c r="D2762" s="434" t="s">
        <v>346</v>
      </c>
      <c r="E2762" s="434"/>
      <c r="F2762" s="434"/>
      <c r="G2762" s="434"/>
      <c r="H2762" s="434"/>
      <c r="I2762" s="434"/>
      <c r="J2762" s="449"/>
      <c r="K2762" s="292"/>
      <c r="L2762" s="350"/>
      <c r="M2762" s="350"/>
      <c r="N2762" s="292"/>
      <c r="O2762" s="408">
        <f>TrialBalanceA!I121</f>
        <v>0</v>
      </c>
      <c r="P2762" s="295"/>
      <c r="R2762" s="348" t="str">
        <f t="shared" si="193"/>
        <v>DELETE</v>
      </c>
      <c r="T2762" s="334"/>
    </row>
    <row r="2763" spans="3:20" ht="36" customHeight="1" x14ac:dyDescent="0.45">
      <c r="C2763" s="397"/>
      <c r="D2763" s="434" t="s">
        <v>921</v>
      </c>
      <c r="E2763" s="434"/>
      <c r="F2763" s="434"/>
      <c r="G2763" s="434"/>
      <c r="H2763" s="434"/>
      <c r="I2763" s="434"/>
      <c r="J2763" s="449"/>
      <c r="K2763" s="292"/>
      <c r="L2763" s="350"/>
      <c r="M2763" s="350"/>
      <c r="N2763" s="292"/>
      <c r="O2763" s="408">
        <f>TrialBalanceA!I156</f>
        <v>0</v>
      </c>
      <c r="P2763" s="295"/>
      <c r="R2763" s="348" t="str">
        <f>IF(R$2648="DELETE","DELETE",IF(O2763=0,"DELETE"," "))</f>
        <v>DELETE</v>
      </c>
      <c r="T2763" s="334"/>
    </row>
    <row r="2764" spans="3:20" ht="36" customHeight="1" x14ac:dyDescent="0.45">
      <c r="C2764" s="397"/>
      <c r="D2764" s="434" t="s">
        <v>490</v>
      </c>
      <c r="E2764" s="434"/>
      <c r="F2764" s="434"/>
      <c r="G2764" s="434"/>
      <c r="H2764" s="434"/>
      <c r="I2764" s="434"/>
      <c r="J2764" s="449"/>
      <c r="K2764" s="292"/>
      <c r="L2764" s="350"/>
      <c r="M2764" s="350"/>
      <c r="N2764" s="292"/>
      <c r="O2764" s="408">
        <f>TrialBalanceA!I122+TrialBalanceA!I123</f>
        <v>0</v>
      </c>
      <c r="P2764" s="295"/>
      <c r="R2764" s="348" t="str">
        <f t="shared" si="193"/>
        <v>DELETE</v>
      </c>
      <c r="T2764" s="334"/>
    </row>
    <row r="2765" spans="3:20" ht="36" customHeight="1" x14ac:dyDescent="0.45">
      <c r="C2765" s="397"/>
      <c r="D2765" s="434" t="s">
        <v>512</v>
      </c>
      <c r="E2765" s="434"/>
      <c r="F2765" s="434"/>
      <c r="G2765" s="434"/>
      <c r="H2765" s="434"/>
      <c r="I2765" s="434"/>
      <c r="J2765" s="449"/>
      <c r="K2765" s="292"/>
      <c r="L2765" s="350"/>
      <c r="M2765" s="350"/>
      <c r="N2765" s="292"/>
      <c r="O2765" s="408">
        <f>IF(TrialBalanceA!I94&gt;0,TrialBalanceA!I94,0)</f>
        <v>0</v>
      </c>
      <c r="P2765" s="295"/>
      <c r="R2765" s="348" t="str">
        <f>IF(R$2648="DELETE","DELETE",IF(O2765=0,"DELETE"," "))</f>
        <v>DELETE</v>
      </c>
      <c r="T2765" s="334"/>
    </row>
    <row r="2766" spans="3:20" ht="36" customHeight="1" x14ac:dyDescent="0.45">
      <c r="C2766" s="397"/>
      <c r="D2766" s="434" t="s">
        <v>681</v>
      </c>
      <c r="E2766" s="434"/>
      <c r="F2766" s="434"/>
      <c r="G2766" s="434"/>
      <c r="H2766" s="434"/>
      <c r="I2766" s="434"/>
      <c r="J2766" s="449"/>
      <c r="K2766" s="292"/>
      <c r="L2766" s="350"/>
      <c r="M2766" s="350"/>
      <c r="N2766" s="292"/>
      <c r="O2766" s="408">
        <f>TrialBalanceA!I124</f>
        <v>0</v>
      </c>
      <c r="P2766" s="295"/>
      <c r="R2766" s="348" t="str">
        <f>IF(R$2648="DELETE","DELETE",IF(O2766=0,"DELETE"," "))</f>
        <v>DELETE</v>
      </c>
      <c r="T2766" s="334"/>
    </row>
    <row r="2767" spans="3:20" ht="36" customHeight="1" x14ac:dyDescent="0.45">
      <c r="C2767" s="397"/>
      <c r="D2767" s="434" t="s">
        <v>242</v>
      </c>
      <c r="E2767" s="434"/>
      <c r="F2767" s="434"/>
      <c r="G2767" s="434"/>
      <c r="H2767" s="434"/>
      <c r="I2767" s="434"/>
      <c r="J2767" s="449"/>
      <c r="K2767" s="292"/>
      <c r="L2767" s="350"/>
      <c r="M2767" s="350"/>
      <c r="N2767" s="292"/>
      <c r="O2767" s="408">
        <f>TrialBalanceA!I125</f>
        <v>0</v>
      </c>
      <c r="P2767" s="295"/>
      <c r="R2767" s="348" t="str">
        <f t="shared" si="193"/>
        <v>DELETE</v>
      </c>
      <c r="T2767" s="334"/>
    </row>
    <row r="2768" spans="3:20" ht="36" customHeight="1" x14ac:dyDescent="0.45">
      <c r="C2768" s="397"/>
      <c r="D2768" s="434" t="s">
        <v>235</v>
      </c>
      <c r="E2768" s="434"/>
      <c r="F2768" s="434"/>
      <c r="G2768" s="434"/>
      <c r="H2768" s="434"/>
      <c r="I2768" s="434"/>
      <c r="J2768" s="449"/>
      <c r="K2768" s="292"/>
      <c r="L2768" s="350"/>
      <c r="M2768" s="350"/>
      <c r="N2768" s="292"/>
      <c r="O2768" s="408">
        <f>SUM(TrialBalanceA!I126:I127)</f>
        <v>0</v>
      </c>
      <c r="P2768" s="295"/>
      <c r="R2768" s="348" t="str">
        <f t="shared" si="193"/>
        <v>DELETE</v>
      </c>
      <c r="T2768" s="334"/>
    </row>
    <row r="2769" spans="3:20" ht="36" customHeight="1" x14ac:dyDescent="0.45">
      <c r="C2769" s="397"/>
      <c r="D2769" s="434" t="s">
        <v>243</v>
      </c>
      <c r="E2769" s="434"/>
      <c r="F2769" s="434"/>
      <c r="G2769" s="434"/>
      <c r="H2769" s="434"/>
      <c r="I2769" s="434"/>
      <c r="J2769" s="449"/>
      <c r="K2769" s="292"/>
      <c r="L2769" s="350"/>
      <c r="M2769" s="350"/>
      <c r="N2769" s="292"/>
      <c r="O2769" s="408">
        <f>TrialBalanceA!I128</f>
        <v>0</v>
      </c>
      <c r="P2769" s="295"/>
      <c r="R2769" s="348" t="str">
        <f t="shared" si="193"/>
        <v>DELETE</v>
      </c>
      <c r="T2769" s="334"/>
    </row>
    <row r="2770" spans="3:20" ht="36" customHeight="1" x14ac:dyDescent="0.45">
      <c r="C2770" s="397"/>
      <c r="D2770" s="434" t="s">
        <v>682</v>
      </c>
      <c r="E2770" s="434"/>
      <c r="F2770" s="434"/>
      <c r="G2770" s="434"/>
      <c r="H2770" s="434"/>
      <c r="I2770" s="434"/>
      <c r="J2770" s="449"/>
      <c r="K2770" s="292"/>
      <c r="L2770" s="350"/>
      <c r="M2770" s="350"/>
      <c r="N2770" s="292"/>
      <c r="O2770" s="408">
        <f>TrialBalanceA!I129</f>
        <v>0</v>
      </c>
      <c r="P2770" s="295"/>
      <c r="R2770" s="348" t="str">
        <f t="shared" si="193"/>
        <v>DELETE</v>
      </c>
      <c r="T2770" s="334"/>
    </row>
    <row r="2771" spans="3:20" ht="36" customHeight="1" x14ac:dyDescent="0.45">
      <c r="C2771" s="397"/>
      <c r="D2771" s="434" t="s">
        <v>74</v>
      </c>
      <c r="E2771" s="434"/>
      <c r="F2771" s="434"/>
      <c r="G2771" s="434"/>
      <c r="H2771" s="434"/>
      <c r="I2771" s="434"/>
      <c r="J2771" s="449"/>
      <c r="K2771" s="292"/>
      <c r="L2771" s="350"/>
      <c r="M2771" s="350"/>
      <c r="N2771" s="292"/>
      <c r="O2771" s="408">
        <f>TrialBalanceA!I130</f>
        <v>0</v>
      </c>
      <c r="P2771" s="295"/>
      <c r="R2771" s="348" t="str">
        <f t="shared" si="193"/>
        <v>DELETE</v>
      </c>
      <c r="T2771" s="334"/>
    </row>
    <row r="2772" spans="3:20" ht="36" customHeight="1" x14ac:dyDescent="0.45">
      <c r="C2772" s="397"/>
      <c r="D2772" s="434">
        <f>TrialBalanceA!C131</f>
        <v>0</v>
      </c>
      <c r="E2772" s="434"/>
      <c r="F2772" s="434"/>
      <c r="G2772" s="434"/>
      <c r="H2772" s="434"/>
      <c r="I2772" s="434"/>
      <c r="J2772" s="449"/>
      <c r="K2772" s="292"/>
      <c r="L2772" s="350"/>
      <c r="M2772" s="350"/>
      <c r="N2772" s="292"/>
      <c r="O2772" s="408">
        <f>TrialBalanceA!I131</f>
        <v>0</v>
      </c>
      <c r="P2772" s="295"/>
      <c r="R2772" s="348" t="str">
        <f t="shared" si="193"/>
        <v>DELETE</v>
      </c>
      <c r="T2772" s="334"/>
    </row>
    <row r="2773" spans="3:20" ht="36" customHeight="1" x14ac:dyDescent="0.45">
      <c r="C2773" s="397"/>
      <c r="D2773" s="434">
        <f>TrialBalanceA!C132</f>
        <v>0</v>
      </c>
      <c r="E2773" s="434"/>
      <c r="F2773" s="434"/>
      <c r="G2773" s="434"/>
      <c r="H2773" s="434"/>
      <c r="I2773" s="434"/>
      <c r="J2773" s="449"/>
      <c r="K2773" s="292"/>
      <c r="L2773" s="350"/>
      <c r="M2773" s="350"/>
      <c r="N2773" s="292"/>
      <c r="O2773" s="408">
        <f>TrialBalanceA!I132</f>
        <v>0</v>
      </c>
      <c r="P2773" s="295"/>
      <c r="R2773" s="348" t="str">
        <f t="shared" si="193"/>
        <v>DELETE</v>
      </c>
      <c r="T2773" s="334"/>
    </row>
    <row r="2774" spans="3:20" ht="36" customHeight="1" x14ac:dyDescent="0.45">
      <c r="C2774" s="397"/>
      <c r="D2774" s="434">
        <f>TrialBalanceA!C133</f>
        <v>0</v>
      </c>
      <c r="E2774" s="434"/>
      <c r="F2774" s="434"/>
      <c r="G2774" s="434"/>
      <c r="H2774" s="434"/>
      <c r="I2774" s="434"/>
      <c r="J2774" s="449"/>
      <c r="K2774" s="292"/>
      <c r="L2774" s="350"/>
      <c r="M2774" s="350"/>
      <c r="N2774" s="292"/>
      <c r="O2774" s="408">
        <f>TrialBalanceA!I133</f>
        <v>0</v>
      </c>
      <c r="P2774" s="295"/>
      <c r="R2774" s="348" t="str">
        <f t="shared" si="193"/>
        <v>DELETE</v>
      </c>
      <c r="T2774" s="334"/>
    </row>
    <row r="2775" spans="3:20" ht="36" customHeight="1" x14ac:dyDescent="0.45">
      <c r="C2775" s="397"/>
      <c r="D2775" s="434">
        <f>TrialBalanceA!C134</f>
        <v>0</v>
      </c>
      <c r="E2775" s="434"/>
      <c r="F2775" s="434"/>
      <c r="G2775" s="434"/>
      <c r="H2775" s="434"/>
      <c r="I2775" s="434"/>
      <c r="J2775" s="449"/>
      <c r="K2775" s="292"/>
      <c r="L2775" s="350"/>
      <c r="M2775" s="350"/>
      <c r="N2775" s="292"/>
      <c r="O2775" s="408">
        <f>TrialBalanceA!I134</f>
        <v>0</v>
      </c>
      <c r="P2775" s="295"/>
      <c r="R2775" s="348" t="str">
        <f t="shared" si="193"/>
        <v>DELETE</v>
      </c>
      <c r="T2775" s="334"/>
    </row>
    <row r="2776" spans="3:20" ht="36" customHeight="1" x14ac:dyDescent="0.45">
      <c r="C2776" s="397"/>
      <c r="D2776" s="434">
        <f>TrialBalanceA!C135</f>
        <v>0</v>
      </c>
      <c r="E2776" s="434"/>
      <c r="F2776" s="434"/>
      <c r="G2776" s="434"/>
      <c r="H2776" s="434"/>
      <c r="I2776" s="434"/>
      <c r="J2776" s="449"/>
      <c r="K2776" s="292"/>
      <c r="L2776" s="350"/>
      <c r="M2776" s="350"/>
      <c r="N2776" s="292"/>
      <c r="O2776" s="408">
        <f>TrialBalanceA!I135</f>
        <v>0</v>
      </c>
      <c r="P2776" s="295"/>
      <c r="R2776" s="348" t="str">
        <f t="shared" si="193"/>
        <v>DELETE</v>
      </c>
      <c r="T2776" s="334"/>
    </row>
    <row r="2777" spans="3:20" ht="36" customHeight="1" x14ac:dyDescent="0.45">
      <c r="C2777" s="397"/>
      <c r="D2777" s="434">
        <f>TrialBalanceA!C136</f>
        <v>0</v>
      </c>
      <c r="E2777" s="434"/>
      <c r="F2777" s="434"/>
      <c r="G2777" s="434"/>
      <c r="H2777" s="434"/>
      <c r="I2777" s="434"/>
      <c r="J2777" s="449"/>
      <c r="K2777" s="292"/>
      <c r="L2777" s="350"/>
      <c r="M2777" s="350"/>
      <c r="N2777" s="292"/>
      <c r="O2777" s="408">
        <f>TrialBalanceA!I136</f>
        <v>0</v>
      </c>
      <c r="P2777" s="295"/>
      <c r="R2777" s="348" t="str">
        <f t="shared" si="193"/>
        <v>DELETE</v>
      </c>
      <c r="T2777" s="334"/>
    </row>
    <row r="2778" spans="3:20" ht="36" customHeight="1" x14ac:dyDescent="0.45">
      <c r="C2778" s="397"/>
      <c r="D2778" s="434">
        <f>TrialBalanceA!C137</f>
        <v>0</v>
      </c>
      <c r="E2778" s="434"/>
      <c r="F2778" s="434"/>
      <c r="G2778" s="434"/>
      <c r="H2778" s="434"/>
      <c r="I2778" s="434"/>
      <c r="J2778" s="449"/>
      <c r="K2778" s="292"/>
      <c r="L2778" s="350"/>
      <c r="M2778" s="350"/>
      <c r="N2778" s="292"/>
      <c r="O2778" s="408">
        <f>TrialBalanceA!I137</f>
        <v>0</v>
      </c>
      <c r="P2778" s="295"/>
      <c r="R2778" s="348" t="str">
        <f t="shared" si="193"/>
        <v>DELETE</v>
      </c>
      <c r="T2778" s="334"/>
    </row>
    <row r="2779" spans="3:20" ht="36" customHeight="1" x14ac:dyDescent="0.45">
      <c r="C2779" s="397"/>
      <c r="D2779" s="434">
        <f>TrialBalanceA!C138</f>
        <v>0</v>
      </c>
      <c r="E2779" s="434"/>
      <c r="F2779" s="434"/>
      <c r="G2779" s="434"/>
      <c r="H2779" s="434"/>
      <c r="I2779" s="434"/>
      <c r="J2779" s="449"/>
      <c r="K2779" s="292"/>
      <c r="L2779" s="350"/>
      <c r="M2779" s="350"/>
      <c r="N2779" s="292"/>
      <c r="O2779" s="408">
        <f>TrialBalanceA!I138</f>
        <v>0</v>
      </c>
      <c r="P2779" s="295"/>
      <c r="R2779" s="348" t="str">
        <f t="shared" si="193"/>
        <v>DELETE</v>
      </c>
      <c r="T2779" s="334"/>
    </row>
    <row r="2780" spans="3:20" ht="36" customHeight="1" x14ac:dyDescent="0.45">
      <c r="C2780" s="397"/>
      <c r="D2780" s="434">
        <f>TrialBalanceA!C139</f>
        <v>0</v>
      </c>
      <c r="E2780" s="434"/>
      <c r="F2780" s="434"/>
      <c r="G2780" s="434"/>
      <c r="H2780" s="434"/>
      <c r="I2780" s="434"/>
      <c r="J2780" s="449"/>
      <c r="K2780" s="292"/>
      <c r="L2780" s="350"/>
      <c r="M2780" s="350"/>
      <c r="N2780" s="292"/>
      <c r="O2780" s="408">
        <f>TrialBalanceA!I139</f>
        <v>0</v>
      </c>
      <c r="P2780" s="295"/>
      <c r="R2780" s="348" t="str">
        <f t="shared" si="193"/>
        <v>DELETE</v>
      </c>
      <c r="T2780" s="334"/>
    </row>
    <row r="2781" spans="3:20" ht="36" customHeight="1" x14ac:dyDescent="0.45">
      <c r="C2781" s="397"/>
      <c r="D2781" s="434" t="str">
        <f>TrialBalanceA!C140</f>
        <v>Amortisation of prepaid lease agreement</v>
      </c>
      <c r="E2781" s="434"/>
      <c r="F2781" s="434"/>
      <c r="G2781" s="434"/>
      <c r="H2781" s="434"/>
      <c r="I2781" s="434"/>
      <c r="J2781" s="449"/>
      <c r="K2781" s="292"/>
      <c r="L2781" s="350"/>
      <c r="M2781" s="350"/>
      <c r="N2781" s="292"/>
      <c r="O2781" s="408">
        <f>TrialBalanceA!I140</f>
        <v>0</v>
      </c>
      <c r="P2781" s="295"/>
      <c r="R2781" s="348" t="str">
        <f t="shared" si="193"/>
        <v>DELETE</v>
      </c>
      <c r="T2781" s="334"/>
    </row>
    <row r="2782" spans="3:20" ht="36" customHeight="1" x14ac:dyDescent="0.45">
      <c r="C2782" s="397"/>
      <c r="D2782" s="434" t="str">
        <f>TrialBalanceA!C141</f>
        <v>Amortisation of goodwill</v>
      </c>
      <c r="E2782" s="434"/>
      <c r="F2782" s="434"/>
      <c r="G2782" s="434"/>
      <c r="H2782" s="434"/>
      <c r="I2782" s="434"/>
      <c r="J2782" s="449"/>
      <c r="K2782" s="292"/>
      <c r="L2782" s="350"/>
      <c r="M2782" s="350"/>
      <c r="N2782" s="292"/>
      <c r="O2782" s="408">
        <f>TrialBalanceA!I141</f>
        <v>0</v>
      </c>
      <c r="P2782" s="295"/>
      <c r="R2782" s="348" t="str">
        <f t="shared" ref="R2782" si="195">IF(R$2648="DELETE","DELETE",IF(O2782=0,"DELETE"," "))</f>
        <v>DELETE</v>
      </c>
      <c r="T2782" s="334"/>
    </row>
    <row r="2783" spans="3:20" ht="9" customHeight="1" x14ac:dyDescent="0.45">
      <c r="C2783" s="397"/>
      <c r="D2783" s="434"/>
      <c r="E2783" s="434"/>
      <c r="F2783" s="434"/>
      <c r="G2783" s="434"/>
      <c r="H2783" s="434"/>
      <c r="I2783" s="434"/>
      <c r="J2783" s="449"/>
      <c r="K2783" s="292"/>
      <c r="L2783" s="350"/>
      <c r="M2783" s="350"/>
      <c r="N2783" s="292"/>
      <c r="O2783" s="409"/>
      <c r="P2783" s="295"/>
      <c r="R2783" s="348" t="str">
        <f>R2747</f>
        <v>DELETE</v>
      </c>
      <c r="T2783" s="334"/>
    </row>
    <row r="2784" spans="3:20" ht="9" customHeight="1" x14ac:dyDescent="0.45">
      <c r="C2784" s="397"/>
      <c r="D2784" s="434"/>
      <c r="E2784" s="434"/>
      <c r="F2784" s="434"/>
      <c r="G2784" s="434"/>
      <c r="H2784" s="434"/>
      <c r="I2784" s="434"/>
      <c r="J2784" s="449"/>
      <c r="K2784" s="292"/>
      <c r="L2784" s="350"/>
      <c r="M2784" s="350"/>
      <c r="N2784" s="292"/>
      <c r="O2784" s="298"/>
      <c r="P2784" s="295"/>
      <c r="R2784" s="348" t="str">
        <f>R$2648</f>
        <v>DELETE</v>
      </c>
      <c r="T2784" s="334"/>
    </row>
    <row r="2785" spans="3:24" ht="9" customHeight="1" x14ac:dyDescent="0.45">
      <c r="C2785" s="397"/>
      <c r="D2785" s="434"/>
      <c r="E2785" s="434"/>
      <c r="F2785" s="434"/>
      <c r="G2785" s="434"/>
      <c r="H2785" s="434"/>
      <c r="I2785" s="434"/>
      <c r="J2785" s="449"/>
      <c r="K2785" s="292"/>
      <c r="L2785" s="350"/>
      <c r="M2785" s="350"/>
      <c r="N2785" s="292"/>
      <c r="O2785" s="296"/>
      <c r="P2785" s="295"/>
      <c r="R2785" s="348" t="str">
        <f>R$2648</f>
        <v>DELETE</v>
      </c>
      <c r="T2785" s="334"/>
    </row>
    <row r="2786" spans="3:24" ht="36" customHeight="1" x14ac:dyDescent="0.45">
      <c r="D2786" s="446" t="str">
        <f>IF(O2786&lt;0,"Operating loss for the year","Operating profit for the year")</f>
        <v>Operating profit for the year</v>
      </c>
      <c r="E2786" s="434"/>
      <c r="F2786" s="434"/>
      <c r="G2786" s="434"/>
      <c r="H2786" s="434"/>
      <c r="I2786" s="434"/>
      <c r="J2786" s="449"/>
      <c r="K2786" s="292">
        <f>FS!B958</f>
        <v>5</v>
      </c>
      <c r="L2786" s="350"/>
      <c r="M2786" s="350"/>
      <c r="N2786" s="292"/>
      <c r="O2786" s="296">
        <f>SUM(S2660:S2783)</f>
        <v>0</v>
      </c>
      <c r="P2786" s="295"/>
      <c r="R2786" s="348" t="str">
        <f>R$2648</f>
        <v>DELETE</v>
      </c>
      <c r="T2786" s="334"/>
    </row>
    <row r="2787" spans="3:24" ht="36" customHeight="1" x14ac:dyDescent="0.45">
      <c r="C2787" s="397"/>
      <c r="D2787" s="434"/>
      <c r="E2787" s="434"/>
      <c r="F2787" s="434"/>
      <c r="G2787" s="434"/>
      <c r="H2787" s="434"/>
      <c r="I2787" s="434"/>
      <c r="J2787" s="449"/>
      <c r="K2787" s="292"/>
      <c r="L2787" s="350"/>
      <c r="M2787" s="350"/>
      <c r="N2787" s="292"/>
      <c r="O2787" s="296"/>
      <c r="P2787" s="295"/>
      <c r="R2787" s="348" t="str">
        <f>R$2648</f>
        <v>DELETE</v>
      </c>
      <c r="T2787" s="334"/>
    </row>
    <row r="2788" spans="3:24" ht="36" customHeight="1" x14ac:dyDescent="0.45">
      <c r="D2788" s="433" t="s">
        <v>191</v>
      </c>
      <c r="E2788" s="434"/>
      <c r="F2788" s="434"/>
      <c r="G2788" s="434"/>
      <c r="H2788" s="434"/>
      <c r="I2788" s="434"/>
      <c r="J2788" s="449"/>
      <c r="K2788" s="292">
        <f>FS!B1072</f>
        <v>6</v>
      </c>
      <c r="L2788" s="350"/>
      <c r="M2788" s="350"/>
      <c r="N2788" s="292"/>
      <c r="O2788" s="296">
        <f>SUM(O2791:O2798)</f>
        <v>0</v>
      </c>
      <c r="P2788" s="295"/>
      <c r="R2788" s="348" t="str">
        <f t="shared" ref="R2788" si="196">IF(R$2648="DELETE","DELETE",IF(O2788=0,"DELETE"," "))</f>
        <v>DELETE</v>
      </c>
      <c r="S2788" s="333">
        <f>O2788</f>
        <v>0</v>
      </c>
      <c r="T2788" s="334"/>
      <c r="U2788" s="333"/>
      <c r="V2788" s="333"/>
      <c r="W2788" s="333"/>
      <c r="X2788" s="333"/>
    </row>
    <row r="2789" spans="3:24" ht="9" customHeight="1" x14ac:dyDescent="0.45">
      <c r="C2789" s="397"/>
      <c r="D2789" s="434"/>
      <c r="E2789" s="434"/>
      <c r="F2789" s="434"/>
      <c r="G2789" s="434"/>
      <c r="H2789" s="434"/>
      <c r="I2789" s="434"/>
      <c r="J2789" s="449"/>
      <c r="K2789" s="292"/>
      <c r="L2789" s="350"/>
      <c r="M2789" s="350"/>
      <c r="N2789" s="292"/>
      <c r="O2789" s="296"/>
      <c r="P2789" s="295"/>
      <c r="R2789" s="348" t="str">
        <f>R2788</f>
        <v>DELETE</v>
      </c>
      <c r="T2789" s="334"/>
    </row>
    <row r="2790" spans="3:24" ht="9" customHeight="1" x14ac:dyDescent="0.45">
      <c r="C2790" s="397"/>
      <c r="D2790" s="434"/>
      <c r="E2790" s="434"/>
      <c r="F2790" s="434"/>
      <c r="G2790" s="434"/>
      <c r="H2790" s="434"/>
      <c r="I2790" s="434"/>
      <c r="J2790" s="449"/>
      <c r="K2790" s="292"/>
      <c r="L2790" s="350"/>
      <c r="M2790" s="350"/>
      <c r="N2790" s="292"/>
      <c r="O2790" s="407"/>
      <c r="P2790" s="295"/>
      <c r="R2790" s="348" t="str">
        <f>R2789</f>
        <v>DELETE</v>
      </c>
      <c r="T2790" s="334"/>
    </row>
    <row r="2791" spans="3:24" ht="36" customHeight="1" x14ac:dyDescent="0.45">
      <c r="C2791" s="397"/>
      <c r="D2791" s="434" t="s">
        <v>189</v>
      </c>
      <c r="E2791" s="434"/>
      <c r="F2791" s="434"/>
      <c r="G2791" s="434"/>
      <c r="H2791" s="434"/>
      <c r="I2791" s="434"/>
      <c r="J2791" s="449"/>
      <c r="K2791" s="292"/>
      <c r="L2791" s="350"/>
      <c r="M2791" s="350"/>
      <c r="N2791" s="292"/>
      <c r="O2791" s="408">
        <f>-TrialBalanceA!I95</f>
        <v>0</v>
      </c>
      <c r="P2791" s="295"/>
      <c r="R2791" s="348" t="str">
        <f t="shared" ref="R2791:R2796" si="197">IF(R$2648="DELETE","DELETE",IF(O2791=0,"DELETE"," "))</f>
        <v>DELETE</v>
      </c>
      <c r="T2791" s="334"/>
    </row>
    <row r="2792" spans="3:24" ht="36" customHeight="1" x14ac:dyDescent="0.45">
      <c r="C2792" s="397"/>
      <c r="D2792" s="434" t="s">
        <v>496</v>
      </c>
      <c r="E2792" s="434"/>
      <c r="F2792" s="434"/>
      <c r="G2792" s="434"/>
      <c r="H2792" s="434"/>
      <c r="I2792" s="434"/>
      <c r="J2792" s="449"/>
      <c r="K2792" s="292"/>
      <c r="L2792" s="350"/>
      <c r="M2792" s="350"/>
      <c r="N2792" s="292"/>
      <c r="O2792" s="408">
        <f>-SUM(TrialBalanceA!I91:I93)</f>
        <v>0</v>
      </c>
      <c r="P2792" s="295"/>
      <c r="R2792" s="348" t="str">
        <f t="shared" si="197"/>
        <v>DELETE</v>
      </c>
      <c r="T2792" s="334"/>
    </row>
    <row r="2793" spans="3:24" ht="36" customHeight="1" x14ac:dyDescent="0.45">
      <c r="C2793" s="397"/>
      <c r="D2793" s="434" t="s">
        <v>497</v>
      </c>
      <c r="E2793" s="434"/>
      <c r="F2793" s="434"/>
      <c r="G2793" s="434"/>
      <c r="H2793" s="434"/>
      <c r="I2793" s="434"/>
      <c r="J2793" s="449"/>
      <c r="K2793" s="292"/>
      <c r="L2793" s="350"/>
      <c r="M2793" s="350"/>
      <c r="N2793" s="292"/>
      <c r="O2793" s="419">
        <f>-SUM(TrialBalanceA!I86:I89)</f>
        <v>0</v>
      </c>
      <c r="P2793" s="295"/>
      <c r="R2793" s="348" t="str">
        <f t="shared" si="197"/>
        <v>DELETE</v>
      </c>
      <c r="T2793" s="334"/>
    </row>
    <row r="2794" spans="3:24" ht="36" customHeight="1" x14ac:dyDescent="0.45">
      <c r="C2794" s="397"/>
      <c r="D2794" s="434" t="s">
        <v>191</v>
      </c>
      <c r="E2794" s="434"/>
      <c r="F2794" s="434"/>
      <c r="G2794" s="434"/>
      <c r="H2794" s="434"/>
      <c r="I2794" s="434"/>
      <c r="J2794" s="449"/>
      <c r="K2794" s="292"/>
      <c r="L2794" s="350"/>
      <c r="M2794" s="350"/>
      <c r="N2794" s="292"/>
      <c r="O2794" s="419">
        <f>-SUM(TrialBalanceA!I96)</f>
        <v>0</v>
      </c>
      <c r="P2794" s="295"/>
      <c r="R2794" s="348" t="str">
        <f t="shared" si="197"/>
        <v>DELETE</v>
      </c>
      <c r="T2794" s="334"/>
    </row>
    <row r="2795" spans="3:24" ht="36" customHeight="1" x14ac:dyDescent="0.45">
      <c r="C2795" s="397"/>
      <c r="D2795" s="434" t="s">
        <v>513</v>
      </c>
      <c r="E2795" s="434"/>
      <c r="F2795" s="434"/>
      <c r="G2795" s="434"/>
      <c r="H2795" s="434"/>
      <c r="I2795" s="434"/>
      <c r="J2795" s="449"/>
      <c r="K2795" s="292"/>
      <c r="L2795" s="350"/>
      <c r="M2795" s="350"/>
      <c r="N2795" s="292"/>
      <c r="O2795" s="408">
        <f>IF(TrialBalanceA!I94&lt;0,-TrialBalanceA!I94,0)</f>
        <v>0</v>
      </c>
      <c r="P2795" s="295"/>
      <c r="R2795" s="348" t="str">
        <f t="shared" si="197"/>
        <v>DELETE</v>
      </c>
      <c r="T2795" s="334"/>
    </row>
    <row r="2796" spans="3:24" ht="36" customHeight="1" x14ac:dyDescent="0.45">
      <c r="C2796" s="397"/>
      <c r="D2796" s="434" t="s">
        <v>334</v>
      </c>
      <c r="E2796" s="434"/>
      <c r="F2796" s="434"/>
      <c r="G2796" s="434"/>
      <c r="H2796" s="434"/>
      <c r="I2796" s="434"/>
      <c r="J2796" s="449"/>
      <c r="K2796" s="292"/>
      <c r="L2796" s="350"/>
      <c r="M2796" s="350"/>
      <c r="N2796" s="292"/>
      <c r="O2796" s="408">
        <f>-TrialBalanceA!I84</f>
        <v>0</v>
      </c>
      <c r="P2796" s="295"/>
      <c r="R2796" s="348" t="str">
        <f t="shared" si="197"/>
        <v>DELETE</v>
      </c>
      <c r="T2796" s="334"/>
    </row>
    <row r="2797" spans="3:24" ht="36" customHeight="1" x14ac:dyDescent="0.45">
      <c r="C2797" s="397"/>
      <c r="D2797" s="434" t="str">
        <f>TrialBalance!C97</f>
        <v>Revaluation of investment property</v>
      </c>
      <c r="E2797" s="434"/>
      <c r="F2797" s="434"/>
      <c r="G2797" s="434"/>
      <c r="H2797" s="434"/>
      <c r="I2797" s="434"/>
      <c r="J2797" s="449"/>
      <c r="K2797" s="292"/>
      <c r="L2797" s="350"/>
      <c r="M2797" s="350"/>
      <c r="N2797" s="292"/>
      <c r="O2797" s="408">
        <f>-TrialBalanceA!I97</f>
        <v>0</v>
      </c>
      <c r="P2797" s="295"/>
      <c r="R2797" s="348" t="str">
        <f>IF(R$2648="DELETE","DELETE",IF(O2797=0,"DELETE"," "))</f>
        <v>DELETE</v>
      </c>
      <c r="T2797" s="334"/>
    </row>
    <row r="2798" spans="3:24" ht="9" customHeight="1" x14ac:dyDescent="0.45">
      <c r="C2798" s="397"/>
      <c r="D2798" s="434"/>
      <c r="E2798" s="434"/>
      <c r="F2798" s="434"/>
      <c r="G2798" s="434"/>
      <c r="H2798" s="434"/>
      <c r="I2798" s="434"/>
      <c r="J2798" s="449"/>
      <c r="K2798" s="292"/>
      <c r="L2798" s="350"/>
      <c r="M2798" s="350"/>
      <c r="N2798" s="292"/>
      <c r="O2798" s="409"/>
      <c r="P2798" s="295"/>
      <c r="R2798" s="348" t="str">
        <f>R2788</f>
        <v>DELETE</v>
      </c>
      <c r="T2798" s="334"/>
    </row>
    <row r="2799" spans="3:24" ht="9" customHeight="1" x14ac:dyDescent="0.45">
      <c r="C2799" s="397"/>
      <c r="D2799" s="434"/>
      <c r="E2799" s="434"/>
      <c r="F2799" s="434"/>
      <c r="G2799" s="434"/>
      <c r="H2799" s="434"/>
      <c r="I2799" s="434"/>
      <c r="J2799" s="449"/>
      <c r="K2799" s="292"/>
      <c r="L2799" s="350"/>
      <c r="M2799" s="350"/>
      <c r="N2799" s="292"/>
      <c r="O2799" s="298"/>
      <c r="P2799" s="295"/>
      <c r="R2799" s="348" t="str">
        <f>R2798</f>
        <v>DELETE</v>
      </c>
      <c r="T2799" s="334"/>
    </row>
    <row r="2800" spans="3:24" ht="9" customHeight="1" x14ac:dyDescent="0.45">
      <c r="C2800" s="397"/>
      <c r="D2800" s="434"/>
      <c r="E2800" s="434"/>
      <c r="F2800" s="434"/>
      <c r="G2800" s="434"/>
      <c r="H2800" s="434"/>
      <c r="I2800" s="434"/>
      <c r="J2800" s="449"/>
      <c r="K2800" s="292"/>
      <c r="L2800" s="350"/>
      <c r="M2800" s="350"/>
      <c r="N2800" s="292"/>
      <c r="O2800" s="296"/>
      <c r="P2800" s="295"/>
      <c r="R2800" s="348" t="str">
        <f>R2799</f>
        <v>DELETE</v>
      </c>
      <c r="T2800" s="334"/>
    </row>
    <row r="2801" spans="3:24" ht="36" customHeight="1" x14ac:dyDescent="0.45">
      <c r="C2801" s="397"/>
      <c r="D2801" s="434"/>
      <c r="E2801" s="434"/>
      <c r="F2801" s="434"/>
      <c r="G2801" s="434"/>
      <c r="H2801" s="434"/>
      <c r="I2801" s="434"/>
      <c r="J2801" s="449"/>
      <c r="K2801" s="292"/>
      <c r="L2801" s="350"/>
      <c r="M2801" s="350"/>
      <c r="N2801" s="292"/>
      <c r="O2801" s="296">
        <f>SUM(S2660:S2798)</f>
        <v>0</v>
      </c>
      <c r="P2801" s="295"/>
      <c r="R2801" s="348" t="str">
        <f>R2800</f>
        <v>DELETE</v>
      </c>
      <c r="T2801" s="334"/>
    </row>
    <row r="2802" spans="3:24" ht="36" customHeight="1" x14ac:dyDescent="0.45">
      <c r="C2802" s="397"/>
      <c r="D2802" s="434"/>
      <c r="E2802" s="434"/>
      <c r="F2802" s="434"/>
      <c r="G2802" s="434"/>
      <c r="H2802" s="434"/>
      <c r="I2802" s="434"/>
      <c r="J2802" s="449"/>
      <c r="K2802" s="292"/>
      <c r="L2802" s="350"/>
      <c r="M2802" s="350"/>
      <c r="N2802" s="292"/>
      <c r="O2802" s="296"/>
      <c r="P2802" s="295"/>
      <c r="R2802" s="348" t="str">
        <f>R2801</f>
        <v>DELETE</v>
      </c>
      <c r="T2802" s="334"/>
    </row>
    <row r="2803" spans="3:24" ht="36" customHeight="1" x14ac:dyDescent="0.45">
      <c r="D2803" s="434" t="s">
        <v>1077</v>
      </c>
      <c r="E2803" s="434"/>
      <c r="F2803" s="434"/>
      <c r="G2803" s="434"/>
      <c r="H2803" s="434"/>
      <c r="I2803" s="434"/>
      <c r="J2803" s="449"/>
      <c r="K2803" s="292">
        <f>FS!B1132</f>
        <v>7</v>
      </c>
      <c r="L2803" s="350"/>
      <c r="M2803" s="350"/>
      <c r="N2803" s="292"/>
      <c r="O2803" s="296">
        <f>SUM(TrialBalanceA!I144:I154)</f>
        <v>0</v>
      </c>
      <c r="P2803" s="295"/>
      <c r="R2803" s="348" t="str">
        <f t="shared" ref="R2803" si="198">IF(R$2648="DELETE","DELETE",IF(O2803=0,"DELETE"," "))</f>
        <v>DELETE</v>
      </c>
      <c r="S2803" s="333">
        <f>-O2803</f>
        <v>0</v>
      </c>
      <c r="T2803" s="334"/>
      <c r="U2803" s="333"/>
      <c r="V2803" s="333"/>
      <c r="W2803" s="333"/>
      <c r="X2803" s="333"/>
    </row>
    <row r="2804" spans="3:24" ht="9" customHeight="1" x14ac:dyDescent="0.45">
      <c r="C2804" s="397"/>
      <c r="D2804" s="434"/>
      <c r="E2804" s="434"/>
      <c r="F2804" s="434"/>
      <c r="G2804" s="434"/>
      <c r="H2804" s="434"/>
      <c r="I2804" s="434"/>
      <c r="J2804" s="449"/>
      <c r="K2804" s="292"/>
      <c r="L2804" s="350"/>
      <c r="M2804" s="350"/>
      <c r="N2804" s="292"/>
      <c r="O2804" s="298"/>
      <c r="P2804" s="295"/>
      <c r="R2804" s="348" t="str">
        <f t="shared" ref="R2804:R2812" si="199">R$2648</f>
        <v>DELETE</v>
      </c>
      <c r="T2804" s="334"/>
    </row>
    <row r="2805" spans="3:24" ht="9" customHeight="1" x14ac:dyDescent="0.45">
      <c r="C2805" s="397"/>
      <c r="D2805" s="434"/>
      <c r="E2805" s="434"/>
      <c r="F2805" s="434"/>
      <c r="G2805" s="434"/>
      <c r="H2805" s="434"/>
      <c r="I2805" s="434"/>
      <c r="J2805" s="449"/>
      <c r="K2805" s="292"/>
      <c r="L2805" s="350"/>
      <c r="M2805" s="350"/>
      <c r="N2805" s="292"/>
      <c r="O2805" s="296"/>
      <c r="P2805" s="295"/>
      <c r="R2805" s="348" t="str">
        <f t="shared" si="199"/>
        <v>DELETE</v>
      </c>
      <c r="T2805" s="334"/>
    </row>
    <row r="2806" spans="3:24" ht="36.75" customHeight="1" x14ac:dyDescent="0.45">
      <c r="D2806" s="446" t="str">
        <f>IF(O2806&lt;0,"Net loss before taxation","Net profit before taxation")</f>
        <v>Net profit before taxation</v>
      </c>
      <c r="E2806" s="434"/>
      <c r="F2806" s="434"/>
      <c r="G2806" s="434"/>
      <c r="H2806" s="434"/>
      <c r="I2806" s="434"/>
      <c r="J2806" s="449"/>
      <c r="K2806" s="292"/>
      <c r="L2806" s="350"/>
      <c r="M2806" s="350"/>
      <c r="N2806" s="292"/>
      <c r="O2806" s="296">
        <f>SUM(S2660:S2805)</f>
        <v>0</v>
      </c>
      <c r="P2806" s="295"/>
      <c r="R2806" s="348" t="str">
        <f t="shared" si="199"/>
        <v>DELETE</v>
      </c>
      <c r="T2806" s="334"/>
      <c r="V2806" s="331" t="b">
        <f>O2806=FS!M2467</f>
        <v>1</v>
      </c>
    </row>
    <row r="2807" spans="3:24" ht="9" customHeight="1" thickBot="1" x14ac:dyDescent="0.5">
      <c r="C2807" s="397"/>
      <c r="D2807" s="434"/>
      <c r="E2807" s="434"/>
      <c r="F2807" s="434"/>
      <c r="G2807" s="434"/>
      <c r="H2807" s="434"/>
      <c r="I2807" s="434"/>
      <c r="J2807" s="449"/>
      <c r="K2807" s="292"/>
      <c r="L2807" s="350"/>
      <c r="M2807" s="350"/>
      <c r="N2807" s="292"/>
      <c r="O2807" s="299"/>
      <c r="P2807" s="295"/>
      <c r="R2807" s="348" t="str">
        <f t="shared" si="199"/>
        <v>DELETE</v>
      </c>
      <c r="T2807" s="334"/>
    </row>
    <row r="2808" spans="3:24" ht="9" customHeight="1" thickTop="1" x14ac:dyDescent="0.45">
      <c r="C2808" s="397"/>
      <c r="D2808" s="434"/>
      <c r="E2808" s="434"/>
      <c r="F2808" s="434"/>
      <c r="G2808" s="434"/>
      <c r="H2808" s="434"/>
      <c r="I2808" s="434"/>
      <c r="J2808" s="449"/>
      <c r="K2808" s="292"/>
      <c r="L2808" s="350"/>
      <c r="M2808" s="350"/>
      <c r="N2808" s="292"/>
      <c r="O2808" s="310"/>
      <c r="P2808" s="295"/>
      <c r="R2808" s="348" t="str">
        <f t="shared" si="199"/>
        <v>DELETE</v>
      </c>
      <c r="T2808" s="334"/>
    </row>
    <row r="2809" spans="3:24" ht="36" customHeight="1" x14ac:dyDescent="0.45">
      <c r="C2809" s="397"/>
      <c r="D2809" s="434"/>
      <c r="E2809" s="434"/>
      <c r="F2809" s="434"/>
      <c r="G2809" s="434"/>
      <c r="H2809" s="434"/>
      <c r="I2809" s="434"/>
      <c r="J2809" s="449"/>
      <c r="K2809" s="292"/>
      <c r="L2809" s="350"/>
      <c r="M2809" s="350"/>
      <c r="N2809" s="292"/>
      <c r="O2809" s="296"/>
      <c r="P2809" s="295"/>
      <c r="R2809" s="348" t="str">
        <f t="shared" si="199"/>
        <v>DELETE</v>
      </c>
      <c r="T2809" s="334"/>
    </row>
    <row r="2810" spans="3:24" ht="36" customHeight="1" x14ac:dyDescent="0.45">
      <c r="C2810" s="397"/>
      <c r="D2810" s="434"/>
      <c r="E2810" s="434"/>
      <c r="F2810" s="434"/>
      <c r="G2810" s="434"/>
      <c r="H2810" s="434"/>
      <c r="I2810" s="434"/>
      <c r="J2810" s="449"/>
      <c r="K2810" s="292"/>
      <c r="L2810" s="292"/>
      <c r="M2810" s="296"/>
      <c r="N2810" s="296"/>
      <c r="O2810" s="296"/>
      <c r="P2810" s="295"/>
      <c r="R2810" s="348" t="str">
        <f t="shared" si="199"/>
        <v>DELETE</v>
      </c>
      <c r="T2810" s="334"/>
    </row>
    <row r="2811" spans="3:24" ht="36" customHeight="1" x14ac:dyDescent="0.5">
      <c r="C2811" s="353"/>
      <c r="D2811" s="434"/>
      <c r="E2811" s="434"/>
      <c r="F2811" s="434"/>
      <c r="G2811" s="434"/>
      <c r="H2811" s="434"/>
      <c r="I2811" s="434"/>
      <c r="J2811" s="434"/>
      <c r="M2811" s="371"/>
      <c r="N2811" s="371"/>
      <c r="O2811" s="371"/>
      <c r="P2811" s="356"/>
      <c r="R2811" s="348" t="str">
        <f t="shared" si="199"/>
        <v>DELETE</v>
      </c>
      <c r="T2811" s="334"/>
    </row>
    <row r="2812" spans="3:24" ht="36" customHeight="1" x14ac:dyDescent="0.5">
      <c r="C2812" s="353"/>
      <c r="D2812" s="434"/>
      <c r="E2812" s="434"/>
      <c r="F2812" s="434"/>
      <c r="G2812" s="434"/>
      <c r="H2812" s="434"/>
      <c r="I2812" s="434"/>
      <c r="J2812" s="434"/>
      <c r="M2812" s="351"/>
      <c r="N2812" s="351"/>
      <c r="O2812" s="351"/>
      <c r="R2812" s="348" t="str">
        <f t="shared" si="199"/>
        <v>DELETE</v>
      </c>
      <c r="T2812" s="334"/>
    </row>
    <row r="2813" spans="3:24" ht="36" customHeight="1" x14ac:dyDescent="0.5">
      <c r="C2813" s="353"/>
      <c r="D2813" s="434"/>
      <c r="E2813" s="434"/>
      <c r="F2813" s="434"/>
      <c r="G2813" s="434"/>
      <c r="H2813" s="434"/>
      <c r="I2813" s="434"/>
      <c r="J2813" s="434"/>
      <c r="M2813" s="351"/>
      <c r="N2813" s="351"/>
      <c r="O2813" s="296" t="s">
        <v>89</v>
      </c>
      <c r="Q2813" s="292">
        <v>1</v>
      </c>
      <c r="R2813" s="348" t="str">
        <f>IF(SUM(U2825:U2827)+SUM(U2845:U2852)+SUM(U2953:U2963)+O2971=0,"DELETE",IF(SUM(S2825:S2827)+SUM(U2825:U2827)+SUM(S2845:S2852)+SUM(U2845:U2852)+SUM(S2953:S2963)+SUM(U2953:U2963)+M2971+O2971=0,"DELETE"," "))</f>
        <v>DELETE</v>
      </c>
      <c r="T2813" s="334"/>
      <c r="V2813" s="335"/>
      <c r="W2813" s="335"/>
      <c r="X2813" s="335"/>
    </row>
    <row r="2814" spans="3:24" ht="36" customHeight="1" x14ac:dyDescent="0.5">
      <c r="C2814" s="353"/>
      <c r="D2814" s="433" t="s">
        <v>602</v>
      </c>
      <c r="E2814" s="434"/>
      <c r="F2814" s="434"/>
      <c r="G2814" s="434"/>
      <c r="H2814" s="434"/>
      <c r="I2814" s="434"/>
      <c r="J2814" s="434"/>
      <c r="M2814" s="351"/>
      <c r="N2814" s="351"/>
      <c r="O2814" s="351"/>
      <c r="R2814" s="348" t="str">
        <f>R$2813</f>
        <v>DELETE</v>
      </c>
      <c r="T2814" s="334"/>
      <c r="V2814" s="332"/>
      <c r="X2814" s="332"/>
    </row>
    <row r="2815" spans="3:24" ht="36" customHeight="1" x14ac:dyDescent="0.5">
      <c r="C2815" s="353"/>
      <c r="D2815" s="434"/>
      <c r="E2815" s="434"/>
      <c r="F2815" s="434"/>
      <c r="G2815" s="434"/>
      <c r="H2815" s="434"/>
      <c r="I2815" s="434"/>
      <c r="J2815" s="434"/>
      <c r="M2815" s="351"/>
      <c r="N2815" s="351"/>
      <c r="O2815" s="351"/>
      <c r="R2815" s="348" t="str">
        <f t="shared" ref="R2815:R2824" si="200">R$2813</f>
        <v>DELETE</v>
      </c>
      <c r="T2815" s="334"/>
    </row>
    <row r="2816" spans="3:24" ht="36" customHeight="1" x14ac:dyDescent="0.5">
      <c r="C2816" s="353"/>
      <c r="D2816" s="433" t="str">
        <f>Criteria!E15</f>
        <v>SUBSIDIARY TWO 15 (PTY) LTD</v>
      </c>
      <c r="E2816" s="434"/>
      <c r="F2816" s="434"/>
      <c r="G2816" s="434"/>
      <c r="H2816" s="434"/>
      <c r="I2816" s="434"/>
      <c r="J2816" s="434"/>
      <c r="M2816" s="351"/>
      <c r="N2816" s="351"/>
      <c r="O2816" s="347"/>
      <c r="R2816" s="348" t="str">
        <f t="shared" si="200"/>
        <v>DELETE</v>
      </c>
      <c r="T2816" s="334"/>
    </row>
    <row r="2817" spans="3:24" ht="36" customHeight="1" x14ac:dyDescent="0.5">
      <c r="C2817" s="353"/>
      <c r="D2817" s="438"/>
      <c r="E2817" s="434"/>
      <c r="F2817" s="434"/>
      <c r="G2817" s="434"/>
      <c r="H2817" s="434"/>
      <c r="I2817" s="434"/>
      <c r="J2817" s="434"/>
      <c r="M2817" s="351"/>
      <c r="N2817" s="351"/>
      <c r="O2817" s="351"/>
      <c r="R2817" s="348" t="str">
        <f t="shared" si="200"/>
        <v>DELETE</v>
      </c>
      <c r="T2817" s="334"/>
    </row>
    <row r="2818" spans="3:24" ht="36" customHeight="1" x14ac:dyDescent="0.5">
      <c r="C2818" s="353"/>
      <c r="D2818" s="434"/>
      <c r="E2818" s="434"/>
      <c r="F2818" s="434"/>
      <c r="G2818" s="434"/>
      <c r="H2818" s="434"/>
      <c r="I2818" s="434"/>
      <c r="J2818" s="434"/>
      <c r="M2818" s="351"/>
      <c r="N2818" s="351"/>
      <c r="O2818" s="351"/>
      <c r="R2818" s="348" t="str">
        <f t="shared" si="200"/>
        <v>DELETE</v>
      </c>
      <c r="T2818" s="334"/>
    </row>
    <row r="2819" spans="3:24" ht="36" customHeight="1" x14ac:dyDescent="0.5">
      <c r="C2819" s="353"/>
      <c r="D2819" s="433" t="s">
        <v>86</v>
      </c>
      <c r="E2819" s="434"/>
      <c r="F2819" s="434"/>
      <c r="G2819" s="434"/>
      <c r="H2819" s="434"/>
      <c r="I2819" s="434"/>
      <c r="J2819" s="434"/>
      <c r="M2819" s="351"/>
      <c r="N2819" s="351"/>
      <c r="O2819" s="351"/>
      <c r="R2819" s="348" t="str">
        <f t="shared" si="200"/>
        <v>DELETE</v>
      </c>
      <c r="T2819" s="334"/>
    </row>
    <row r="2820" spans="3:24" ht="36" customHeight="1" x14ac:dyDescent="0.5">
      <c r="C2820" s="353"/>
      <c r="D2820" s="433" t="str">
        <f>Criteria!E20</f>
        <v>28 FEBRUARY 2025</v>
      </c>
      <c r="E2820" s="434"/>
      <c r="F2820" s="434"/>
      <c r="G2820" s="434"/>
      <c r="H2820" s="434"/>
      <c r="I2820" s="434"/>
      <c r="J2820" s="434"/>
      <c r="M2820" s="351"/>
      <c r="N2820" s="351"/>
      <c r="O2820" s="351"/>
      <c r="R2820" s="348" t="str">
        <f t="shared" si="200"/>
        <v>DELETE</v>
      </c>
      <c r="T2820" s="334"/>
    </row>
    <row r="2821" spans="3:24" ht="36" customHeight="1" x14ac:dyDescent="0.5">
      <c r="C2821" s="353"/>
      <c r="D2821" s="434"/>
      <c r="E2821" s="434"/>
      <c r="F2821" s="434"/>
      <c r="G2821" s="434"/>
      <c r="H2821" s="434"/>
      <c r="I2821" s="434"/>
      <c r="J2821" s="434"/>
      <c r="M2821" s="351"/>
      <c r="N2821" s="351"/>
      <c r="O2821" s="351"/>
      <c r="R2821" s="348" t="str">
        <f t="shared" si="200"/>
        <v>DELETE</v>
      </c>
      <c r="T2821" s="334"/>
    </row>
    <row r="2822" spans="3:24" ht="36" customHeight="1" x14ac:dyDescent="0.5">
      <c r="C2822" s="353"/>
      <c r="D2822" s="444"/>
      <c r="E2822" s="444"/>
      <c r="F2822" s="444"/>
      <c r="G2822" s="444"/>
      <c r="H2822" s="444"/>
      <c r="I2822" s="444"/>
      <c r="J2822" s="444"/>
      <c r="K2822" s="364"/>
      <c r="L2822" s="364"/>
      <c r="M2822" s="378"/>
      <c r="N2822" s="378"/>
      <c r="O2822" s="378"/>
      <c r="P2822" s="367"/>
      <c r="Q2822" s="364"/>
      <c r="R2822" s="348" t="str">
        <f t="shared" si="200"/>
        <v>DELETE</v>
      </c>
      <c r="T2822" s="334"/>
    </row>
    <row r="2823" spans="3:24" ht="36" customHeight="1" x14ac:dyDescent="0.5">
      <c r="C2823" s="353"/>
      <c r="D2823" s="434"/>
      <c r="E2823" s="434"/>
      <c r="F2823" s="434"/>
      <c r="G2823" s="434"/>
      <c r="H2823" s="434"/>
      <c r="I2823" s="434"/>
      <c r="J2823" s="449"/>
      <c r="K2823" s="292" t="s">
        <v>1041</v>
      </c>
      <c r="L2823" s="292"/>
      <c r="M2823" s="294">
        <f>Criteria!E22</f>
        <v>2025</v>
      </c>
      <c r="N2823" s="294"/>
      <c r="O2823" s="294">
        <f>Criteria!E27</f>
        <v>2024</v>
      </c>
      <c r="P2823" s="295"/>
      <c r="R2823" s="348" t="str">
        <f t="shared" si="200"/>
        <v>DELETE</v>
      </c>
      <c r="T2823" s="334"/>
    </row>
    <row r="2824" spans="3:24" ht="36" customHeight="1" x14ac:dyDescent="0.5">
      <c r="C2824" s="353"/>
      <c r="D2824" s="434"/>
      <c r="E2824" s="434"/>
      <c r="F2824" s="434"/>
      <c r="G2824" s="434"/>
      <c r="H2824" s="434"/>
      <c r="I2824" s="434"/>
      <c r="J2824" s="449"/>
      <c r="K2824" s="292"/>
      <c r="L2824" s="292"/>
      <c r="M2824" s="296"/>
      <c r="N2824" s="296"/>
      <c r="O2824" s="296"/>
      <c r="P2824" s="295"/>
      <c r="R2824" s="348" t="str">
        <f t="shared" si="200"/>
        <v>DELETE</v>
      </c>
      <c r="T2824" s="334"/>
    </row>
    <row r="2825" spans="3:24" ht="36" customHeight="1" x14ac:dyDescent="0.45">
      <c r="D2825" s="433" t="s">
        <v>836</v>
      </c>
      <c r="E2825" s="434"/>
      <c r="F2825" s="434"/>
      <c r="G2825" s="434"/>
      <c r="H2825" s="434"/>
      <c r="I2825" s="434"/>
      <c r="J2825" s="449"/>
      <c r="K2825" s="292"/>
      <c r="L2825" s="292"/>
      <c r="M2825" s="296">
        <f>-SUM(TrialBalanceB!I5:I10)</f>
        <v>0</v>
      </c>
      <c r="N2825" s="296"/>
      <c r="O2825" s="296">
        <f>-SUM(TrialBalanceB!K5:K10)</f>
        <v>0</v>
      </c>
      <c r="P2825" s="295"/>
      <c r="R2825" s="348" t="str">
        <f>IF(R2813="DELETE","DELETE",IF(M2825+O2825=0,IF(M2827+O2827=0," ","DELETE")," "))</f>
        <v>DELETE</v>
      </c>
      <c r="S2825" s="333">
        <f>M2825</f>
        <v>0</v>
      </c>
      <c r="T2825" s="334"/>
      <c r="U2825" s="333">
        <f>O2825</f>
        <v>0</v>
      </c>
      <c r="V2825" s="333"/>
      <c r="W2825" s="333"/>
      <c r="X2825" s="333"/>
    </row>
    <row r="2826" spans="3:24" ht="36" customHeight="1" x14ac:dyDescent="0.45">
      <c r="D2826" s="433"/>
      <c r="E2826" s="434"/>
      <c r="F2826" s="434"/>
      <c r="G2826" s="434"/>
      <c r="H2826" s="434"/>
      <c r="I2826" s="434"/>
      <c r="J2826" s="449"/>
      <c r="K2826" s="292"/>
      <c r="L2826" s="292"/>
      <c r="M2826" s="296"/>
      <c r="N2826" s="296"/>
      <c r="O2826" s="296"/>
      <c r="P2826" s="295"/>
      <c r="R2826" s="348" t="str">
        <f>R2825</f>
        <v>DELETE</v>
      </c>
      <c r="S2826" s="333"/>
      <c r="T2826" s="334"/>
      <c r="U2826" s="333"/>
      <c r="V2826" s="333"/>
      <c r="W2826" s="333"/>
      <c r="X2826" s="333"/>
    </row>
    <row r="2827" spans="3:24" ht="36" customHeight="1" x14ac:dyDescent="0.45">
      <c r="D2827" s="433" t="s">
        <v>334</v>
      </c>
      <c r="E2827" s="434"/>
      <c r="F2827" s="434"/>
      <c r="G2827" s="434"/>
      <c r="H2827" s="434"/>
      <c r="I2827" s="434"/>
      <c r="J2827" s="449"/>
      <c r="K2827" s="292"/>
      <c r="L2827" s="292"/>
      <c r="M2827" s="296">
        <f>-TrialBalanceB!I11</f>
        <v>0</v>
      </c>
      <c r="N2827" s="296"/>
      <c r="O2827" s="296">
        <f>-TrialBalanceB!K11</f>
        <v>0</v>
      </c>
      <c r="P2827" s="295"/>
      <c r="R2827" s="348" t="str">
        <f>IF(R$2813="DELETE","DELETE",IF(M2827+O2827=0,"DELETE"," "))</f>
        <v>DELETE</v>
      </c>
      <c r="S2827" s="333">
        <f>M2827</f>
        <v>0</v>
      </c>
      <c r="T2827" s="334"/>
      <c r="U2827" s="333">
        <f>O2827</f>
        <v>0</v>
      </c>
      <c r="V2827" s="333"/>
      <c r="W2827" s="333"/>
      <c r="X2827" s="333"/>
    </row>
    <row r="2828" spans="3:24" ht="36" customHeight="1" x14ac:dyDescent="0.45">
      <c r="D2828" s="433"/>
      <c r="E2828" s="434"/>
      <c r="F2828" s="434"/>
      <c r="G2828" s="434"/>
      <c r="H2828" s="434"/>
      <c r="I2828" s="434"/>
      <c r="J2828" s="449"/>
      <c r="K2828" s="292"/>
      <c r="L2828" s="292"/>
      <c r="M2828" s="296"/>
      <c r="N2828" s="296"/>
      <c r="O2828" s="296"/>
      <c r="P2828" s="295"/>
      <c r="R2828" s="348" t="str">
        <f>R2827</f>
        <v>DELETE</v>
      </c>
      <c r="T2828" s="334"/>
    </row>
    <row r="2829" spans="3:24" ht="36" customHeight="1" x14ac:dyDescent="0.45">
      <c r="D2829" s="433" t="s">
        <v>1074</v>
      </c>
      <c r="E2829" s="434"/>
      <c r="F2829" s="434"/>
      <c r="G2829" s="434"/>
      <c r="H2829" s="434"/>
      <c r="I2829" s="434"/>
      <c r="J2829" s="449"/>
      <c r="K2829" s="292"/>
      <c r="L2829" s="292"/>
      <c r="M2829" s="296">
        <f>SUM(M2832:M2839)</f>
        <v>0</v>
      </c>
      <c r="N2829" s="296"/>
      <c r="O2829" s="296">
        <f>SUM(O2832:O2839)</f>
        <v>0</v>
      </c>
      <c r="P2829" s="295"/>
      <c r="R2829" s="348" t="str">
        <f>IF(R$2813="DELETE","DELETE",IF(M2829=0,IF(O2829=0,"DELETE"," ")," "))</f>
        <v>DELETE</v>
      </c>
      <c r="S2829" s="333">
        <f>-M2829</f>
        <v>0</v>
      </c>
      <c r="T2829" s="334"/>
      <c r="U2829" s="333">
        <f>-O2829</f>
        <v>0</v>
      </c>
      <c r="V2829" s="333"/>
      <c r="W2829" s="333"/>
      <c r="X2829" s="333"/>
    </row>
    <row r="2830" spans="3:24" ht="9" customHeight="1" x14ac:dyDescent="0.45">
      <c r="C2830" s="397"/>
      <c r="D2830" s="434"/>
      <c r="E2830" s="434"/>
      <c r="F2830" s="434"/>
      <c r="G2830" s="434"/>
      <c r="H2830" s="434"/>
      <c r="I2830" s="434"/>
      <c r="J2830" s="449"/>
      <c r="K2830" s="292"/>
      <c r="L2830" s="292"/>
      <c r="M2830" s="296"/>
      <c r="N2830" s="296"/>
      <c r="O2830" s="296"/>
      <c r="P2830" s="295"/>
      <c r="R2830" s="348" t="str">
        <f>R2829</f>
        <v>DELETE</v>
      </c>
      <c r="T2830" s="334"/>
    </row>
    <row r="2831" spans="3:24" ht="9" customHeight="1" x14ac:dyDescent="0.45">
      <c r="C2831" s="397"/>
      <c r="D2831" s="434"/>
      <c r="E2831" s="434"/>
      <c r="F2831" s="434"/>
      <c r="G2831" s="434"/>
      <c r="H2831" s="434"/>
      <c r="I2831" s="434"/>
      <c r="J2831" s="449"/>
      <c r="K2831" s="292"/>
      <c r="L2831" s="292"/>
      <c r="M2831" s="398"/>
      <c r="N2831" s="297"/>
      <c r="O2831" s="399"/>
      <c r="P2831" s="295"/>
      <c r="R2831" s="348" t="str">
        <f>R2830</f>
        <v>DELETE</v>
      </c>
      <c r="T2831" s="334"/>
    </row>
    <row r="2832" spans="3:24" ht="36" customHeight="1" x14ac:dyDescent="0.45">
      <c r="C2832" s="397"/>
      <c r="D2832" s="434" t="s">
        <v>492</v>
      </c>
      <c r="E2832" s="434"/>
      <c r="F2832" s="434"/>
      <c r="G2832" s="434"/>
      <c r="H2832" s="434"/>
      <c r="I2832" s="434"/>
      <c r="J2832" s="449"/>
      <c r="K2832" s="292"/>
      <c r="L2832" s="292"/>
      <c r="M2832" s="400">
        <f>SUM(TrialBalanceB!I13:I16)</f>
        <v>0</v>
      </c>
      <c r="N2832" s="296"/>
      <c r="O2832" s="401">
        <f>SUM(TrialBalanceB!K13:K16)</f>
        <v>0</v>
      </c>
      <c r="P2832" s="295"/>
      <c r="R2832" s="348" t="str">
        <f t="shared" ref="R2832:R2839" si="201">IF(R$2813="DELETE","DELETE",IF(M2832+O2832=0,"DELETE"," "))</f>
        <v>DELETE</v>
      </c>
      <c r="T2832" s="334"/>
    </row>
    <row r="2833" spans="3:26" ht="36" customHeight="1" x14ac:dyDescent="0.45">
      <c r="C2833" s="397"/>
      <c r="D2833" s="434" t="s">
        <v>249</v>
      </c>
      <c r="E2833" s="434"/>
      <c r="F2833" s="434"/>
      <c r="G2833" s="434"/>
      <c r="H2833" s="434"/>
      <c r="I2833" s="434"/>
      <c r="J2833" s="449"/>
      <c r="K2833" s="292"/>
      <c r="L2833" s="292"/>
      <c r="M2833" s="400">
        <f>TrialBalanceB!I17</f>
        <v>0</v>
      </c>
      <c r="N2833" s="296"/>
      <c r="O2833" s="401">
        <f>TrialBalanceB!K17</f>
        <v>0</v>
      </c>
      <c r="P2833" s="295"/>
      <c r="R2833" s="348" t="str">
        <f t="shared" si="201"/>
        <v>DELETE</v>
      </c>
      <c r="T2833" s="334"/>
    </row>
    <row r="2834" spans="3:26" ht="36" customHeight="1" x14ac:dyDescent="0.45">
      <c r="C2834" s="397"/>
      <c r="D2834" s="434">
        <f>TrialBalanceB!C18</f>
        <v>0</v>
      </c>
      <c r="E2834" s="434"/>
      <c r="F2834" s="434"/>
      <c r="G2834" s="434"/>
      <c r="H2834" s="434"/>
      <c r="I2834" s="434"/>
      <c r="J2834" s="449"/>
      <c r="K2834" s="292"/>
      <c r="L2834" s="292"/>
      <c r="M2834" s="400">
        <f>TrialBalanceB!I18</f>
        <v>0</v>
      </c>
      <c r="N2834" s="296"/>
      <c r="O2834" s="401">
        <f>TrialBalanceB!K18</f>
        <v>0</v>
      </c>
      <c r="P2834" s="295"/>
      <c r="R2834" s="348" t="str">
        <f t="shared" si="201"/>
        <v>DELETE</v>
      </c>
      <c r="T2834" s="334"/>
    </row>
    <row r="2835" spans="3:26" ht="36" customHeight="1" x14ac:dyDescent="0.45">
      <c r="C2835" s="397"/>
      <c r="D2835" s="434">
        <f>TrialBalanceB!C19</f>
        <v>0</v>
      </c>
      <c r="E2835" s="434"/>
      <c r="F2835" s="434"/>
      <c r="G2835" s="434"/>
      <c r="H2835" s="434"/>
      <c r="I2835" s="434"/>
      <c r="J2835" s="449"/>
      <c r="K2835" s="292"/>
      <c r="L2835" s="292"/>
      <c r="M2835" s="400">
        <f>TrialBalanceB!I19</f>
        <v>0</v>
      </c>
      <c r="N2835" s="296"/>
      <c r="O2835" s="401">
        <f>TrialBalanceB!K19</f>
        <v>0</v>
      </c>
      <c r="P2835" s="295"/>
      <c r="R2835" s="348" t="str">
        <f t="shared" si="201"/>
        <v>DELETE</v>
      </c>
      <c r="T2835" s="334"/>
    </row>
    <row r="2836" spans="3:26" ht="36" customHeight="1" x14ac:dyDescent="0.45">
      <c r="C2836" s="397"/>
      <c r="D2836" s="434">
        <f>TrialBalanceB!C20</f>
        <v>0</v>
      </c>
      <c r="E2836" s="434"/>
      <c r="F2836" s="434"/>
      <c r="G2836" s="434"/>
      <c r="H2836" s="434"/>
      <c r="I2836" s="434"/>
      <c r="J2836" s="449"/>
      <c r="K2836" s="292"/>
      <c r="L2836" s="292"/>
      <c r="M2836" s="400">
        <f>TrialBalanceB!I20</f>
        <v>0</v>
      </c>
      <c r="N2836" s="296"/>
      <c r="O2836" s="401">
        <f>TrialBalanceB!K20</f>
        <v>0</v>
      </c>
      <c r="P2836" s="295"/>
      <c r="R2836" s="348" t="str">
        <f t="shared" si="201"/>
        <v>DELETE</v>
      </c>
      <c r="T2836" s="334"/>
    </row>
    <row r="2837" spans="3:26" ht="36" customHeight="1" x14ac:dyDescent="0.45">
      <c r="C2837" s="397"/>
      <c r="D2837" s="434">
        <f>TrialBalanceB!C21</f>
        <v>0</v>
      </c>
      <c r="E2837" s="434"/>
      <c r="F2837" s="434"/>
      <c r="G2837" s="434"/>
      <c r="H2837" s="434"/>
      <c r="I2837" s="434"/>
      <c r="J2837" s="449"/>
      <c r="K2837" s="292"/>
      <c r="L2837" s="292"/>
      <c r="M2837" s="400">
        <f>TrialBalanceB!I21</f>
        <v>0</v>
      </c>
      <c r="N2837" s="296"/>
      <c r="O2837" s="401">
        <f>TrialBalanceB!K21</f>
        <v>0</v>
      </c>
      <c r="P2837" s="295"/>
      <c r="R2837" s="348" t="str">
        <f t="shared" si="201"/>
        <v>DELETE</v>
      </c>
      <c r="T2837" s="334"/>
    </row>
    <row r="2838" spans="3:26" ht="36" customHeight="1" x14ac:dyDescent="0.45">
      <c r="C2838" s="397"/>
      <c r="D2838" s="434">
        <f>TrialBalanceB!C22</f>
        <v>0</v>
      </c>
      <c r="E2838" s="434"/>
      <c r="F2838" s="434"/>
      <c r="G2838" s="434"/>
      <c r="H2838" s="434"/>
      <c r="I2838" s="434"/>
      <c r="J2838" s="449"/>
      <c r="K2838" s="292"/>
      <c r="L2838" s="292"/>
      <c r="M2838" s="400">
        <f>TrialBalanceB!I22</f>
        <v>0</v>
      </c>
      <c r="N2838" s="296"/>
      <c r="O2838" s="401">
        <f>TrialBalanceB!K22</f>
        <v>0</v>
      </c>
      <c r="P2838" s="295"/>
      <c r="R2838" s="348" t="str">
        <f t="shared" si="201"/>
        <v>DELETE</v>
      </c>
      <c r="T2838" s="334"/>
    </row>
    <row r="2839" spans="3:26" ht="36" customHeight="1" x14ac:dyDescent="0.45">
      <c r="C2839" s="397"/>
      <c r="D2839" s="434" t="s">
        <v>493</v>
      </c>
      <c r="E2839" s="434"/>
      <c r="F2839" s="434"/>
      <c r="G2839" s="434"/>
      <c r="H2839" s="434"/>
      <c r="I2839" s="434"/>
      <c r="J2839" s="449"/>
      <c r="K2839" s="292"/>
      <c r="L2839" s="292"/>
      <c r="M2839" s="400">
        <f>SUM(TrialBalanceB!I23:I26)</f>
        <v>0</v>
      </c>
      <c r="N2839" s="296"/>
      <c r="O2839" s="401">
        <f>SUM(TrialBalanceB!K23:K26)</f>
        <v>0</v>
      </c>
      <c r="P2839" s="295"/>
      <c r="R2839" s="348" t="str">
        <f t="shared" si="201"/>
        <v>DELETE</v>
      </c>
      <c r="T2839" s="334"/>
    </row>
    <row r="2840" spans="3:26" ht="9" customHeight="1" x14ac:dyDescent="0.45">
      <c r="C2840" s="397"/>
      <c r="D2840" s="434"/>
      <c r="E2840" s="434"/>
      <c r="F2840" s="434"/>
      <c r="G2840" s="434"/>
      <c r="H2840" s="434"/>
      <c r="I2840" s="434"/>
      <c r="J2840" s="449"/>
      <c r="K2840" s="292"/>
      <c r="L2840" s="292"/>
      <c r="M2840" s="402"/>
      <c r="N2840" s="298"/>
      <c r="O2840" s="403"/>
      <c r="P2840" s="295"/>
      <c r="R2840" s="348" t="str">
        <f>R2829</f>
        <v>DELETE</v>
      </c>
      <c r="T2840" s="334"/>
    </row>
    <row r="2841" spans="3:26" ht="9" customHeight="1" x14ac:dyDescent="0.45">
      <c r="C2841" s="397"/>
      <c r="D2841" s="434"/>
      <c r="E2841" s="434"/>
      <c r="F2841" s="434"/>
      <c r="G2841" s="434"/>
      <c r="H2841" s="434"/>
      <c r="I2841" s="434"/>
      <c r="J2841" s="449"/>
      <c r="K2841" s="292"/>
      <c r="L2841" s="292"/>
      <c r="M2841" s="298"/>
      <c r="N2841" s="298"/>
      <c r="O2841" s="298"/>
      <c r="P2841" s="295"/>
      <c r="R2841" s="348" t="str">
        <f>R2829</f>
        <v>DELETE</v>
      </c>
      <c r="T2841" s="334"/>
    </row>
    <row r="2842" spans="3:26" ht="9" customHeight="1" x14ac:dyDescent="0.45">
      <c r="C2842" s="397"/>
      <c r="D2842" s="434"/>
      <c r="E2842" s="434"/>
      <c r="F2842" s="434"/>
      <c r="G2842" s="434"/>
      <c r="H2842" s="434"/>
      <c r="I2842" s="434"/>
      <c r="J2842" s="449"/>
      <c r="K2842" s="292"/>
      <c r="L2842" s="292"/>
      <c r="M2842" s="296"/>
      <c r="N2842" s="296"/>
      <c r="O2842" s="296"/>
      <c r="P2842" s="295"/>
      <c r="R2842" s="348" t="str">
        <f>R2841</f>
        <v>DELETE</v>
      </c>
      <c r="T2842" s="334"/>
    </row>
    <row r="2843" spans="3:26" ht="36" customHeight="1" x14ac:dyDescent="0.45">
      <c r="D2843" s="446" t="str">
        <f>IF((Y2843+Z2843)=3,"Gross profit/(loss)",(IF((Y2843+Z2843=4),"Gross profit","Gross loss")))</f>
        <v>Gross profit</v>
      </c>
      <c r="E2843" s="434"/>
      <c r="F2843" s="434"/>
      <c r="G2843" s="434"/>
      <c r="H2843" s="434"/>
      <c r="I2843" s="434"/>
      <c r="J2843" s="449"/>
      <c r="K2843" s="292"/>
      <c r="L2843" s="292"/>
      <c r="M2843" s="296">
        <f>SUM(S2825:S2840)</f>
        <v>0</v>
      </c>
      <c r="N2843" s="296"/>
      <c r="O2843" s="296">
        <f>SUM(U2825:U2840)</f>
        <v>0</v>
      </c>
      <c r="P2843" s="295"/>
      <c r="R2843" s="348" t="str">
        <f>R2842</f>
        <v>DELETE</v>
      </c>
      <c r="T2843" s="334"/>
      <c r="Y2843" s="331">
        <f>IF(M2843&lt;0,1,IF(M2843=0,IF(O2843&lt;0,1,2),2))</f>
        <v>2</v>
      </c>
      <c r="Z2843" s="331">
        <f>IF(O2843&lt;0,1,IF(O2843=0,IF(M2843&lt;0,1,2),2))</f>
        <v>2</v>
      </c>
    </row>
    <row r="2844" spans="3:26" ht="36" customHeight="1" x14ac:dyDescent="0.45">
      <c r="C2844" s="397"/>
      <c r="D2844" s="434"/>
      <c r="E2844" s="434"/>
      <c r="F2844" s="434"/>
      <c r="G2844" s="434"/>
      <c r="H2844" s="434"/>
      <c r="I2844" s="434"/>
      <c r="J2844" s="449"/>
      <c r="K2844" s="292"/>
      <c r="L2844" s="292"/>
      <c r="M2844" s="296"/>
      <c r="N2844" s="296"/>
      <c r="O2844" s="296"/>
      <c r="P2844" s="295"/>
      <c r="R2844" s="348" t="str">
        <f>R2843</f>
        <v>DELETE</v>
      </c>
      <c r="T2844" s="334"/>
    </row>
    <row r="2845" spans="3:26" ht="36" customHeight="1" x14ac:dyDescent="0.45">
      <c r="D2845" s="433" t="s">
        <v>1037</v>
      </c>
      <c r="E2845" s="434"/>
      <c r="F2845" s="434"/>
      <c r="G2845" s="434"/>
      <c r="H2845" s="434"/>
      <c r="I2845" s="434"/>
      <c r="J2845" s="449"/>
      <c r="K2845" s="292"/>
      <c r="L2845" s="292"/>
      <c r="M2845" s="296">
        <f>SUM(M2847:M2854)</f>
        <v>0</v>
      </c>
      <c r="N2845" s="296"/>
      <c r="O2845" s="296">
        <f>SUM(O2847:O2854)</f>
        <v>0</v>
      </c>
      <c r="P2845" s="295"/>
      <c r="R2845" s="348" t="str">
        <f t="shared" ref="R2845" si="202">IF(R$2813="DELETE","DELETE",IF(M2845+O2845=0,"DELETE"," "))</f>
        <v>DELETE</v>
      </c>
      <c r="S2845" s="333">
        <f>M2845</f>
        <v>0</v>
      </c>
      <c r="T2845" s="334"/>
      <c r="U2845" s="333">
        <f>O2845</f>
        <v>0</v>
      </c>
    </row>
    <row r="2846" spans="3:26" ht="9" customHeight="1" x14ac:dyDescent="0.45">
      <c r="C2846" s="397"/>
      <c r="D2846" s="434"/>
      <c r="E2846" s="434"/>
      <c r="F2846" s="434"/>
      <c r="G2846" s="434"/>
      <c r="H2846" s="434"/>
      <c r="I2846" s="434"/>
      <c r="J2846" s="449"/>
      <c r="K2846" s="292"/>
      <c r="L2846" s="292"/>
      <c r="M2846" s="296"/>
      <c r="N2846" s="296"/>
      <c r="O2846" s="296"/>
      <c r="P2846" s="295"/>
      <c r="R2846" s="348" t="str">
        <f>R2845</f>
        <v>DELETE</v>
      </c>
      <c r="T2846" s="334"/>
    </row>
    <row r="2847" spans="3:26" ht="9" customHeight="1" x14ac:dyDescent="0.45">
      <c r="C2847" s="397"/>
      <c r="D2847" s="434"/>
      <c r="E2847" s="434"/>
      <c r="F2847" s="434"/>
      <c r="G2847" s="434"/>
      <c r="H2847" s="434"/>
      <c r="I2847" s="434"/>
      <c r="J2847" s="449"/>
      <c r="K2847" s="292"/>
      <c r="L2847" s="292"/>
      <c r="M2847" s="398"/>
      <c r="N2847" s="297"/>
      <c r="O2847" s="399"/>
      <c r="P2847" s="295"/>
      <c r="R2847" s="348" t="str">
        <f>R2845</f>
        <v>DELETE</v>
      </c>
      <c r="T2847" s="334"/>
    </row>
    <row r="2848" spans="3:26" ht="36" customHeight="1" x14ac:dyDescent="0.45">
      <c r="C2848" s="397"/>
      <c r="D2848" s="434" t="str">
        <f>TrialBalanceB!C28</f>
        <v>Insurance claims - Subsidiary Two 15 (Pty) Ltd</v>
      </c>
      <c r="E2848" s="434"/>
      <c r="F2848" s="434"/>
      <c r="G2848" s="434"/>
      <c r="H2848" s="434"/>
      <c r="I2848" s="434"/>
      <c r="J2848" s="449"/>
      <c r="K2848" s="292"/>
      <c r="L2848" s="292"/>
      <c r="M2848" s="400">
        <f>-TrialBalanceB!I28</f>
        <v>0</v>
      </c>
      <c r="N2848" s="296"/>
      <c r="O2848" s="401">
        <f>-TrialBalanceB!K28</f>
        <v>0</v>
      </c>
      <c r="P2848" s="295"/>
      <c r="R2848" s="348" t="str">
        <f t="shared" ref="R2848:R2852" si="203">IF(R$2813="DELETE","DELETE",IF(M2848+O2848=0,"DELETE"," "))</f>
        <v>DELETE</v>
      </c>
      <c r="T2848" s="334"/>
    </row>
    <row r="2849" spans="3:24" ht="36" customHeight="1" x14ac:dyDescent="0.45">
      <c r="C2849" s="397"/>
      <c r="D2849" s="434" t="str">
        <f>TrialBalanceB!C29</f>
        <v>Government grants received</v>
      </c>
      <c r="E2849" s="434"/>
      <c r="F2849" s="434"/>
      <c r="G2849" s="434"/>
      <c r="H2849" s="434"/>
      <c r="I2849" s="434"/>
      <c r="J2849" s="449"/>
      <c r="K2849" s="292"/>
      <c r="L2849" s="292"/>
      <c r="M2849" s="400">
        <f>-TrialBalanceB!I29</f>
        <v>0</v>
      </c>
      <c r="N2849" s="296"/>
      <c r="O2849" s="401">
        <f>-TrialBalanceB!K29</f>
        <v>0</v>
      </c>
      <c r="P2849" s="295"/>
      <c r="R2849" s="348" t="str">
        <f t="shared" si="203"/>
        <v>DELETE</v>
      </c>
      <c r="T2849" s="334"/>
    </row>
    <row r="2850" spans="3:24" ht="36" customHeight="1" x14ac:dyDescent="0.45">
      <c r="C2850" s="397"/>
      <c r="D2850" s="434">
        <f>TrialBalanceB!C30</f>
        <v>0</v>
      </c>
      <c r="E2850" s="434"/>
      <c r="F2850" s="434"/>
      <c r="G2850" s="434"/>
      <c r="H2850" s="434"/>
      <c r="I2850" s="434"/>
      <c r="J2850" s="449"/>
      <c r="K2850" s="292"/>
      <c r="L2850" s="292"/>
      <c r="M2850" s="400">
        <f>-TrialBalanceB!I30</f>
        <v>0</v>
      </c>
      <c r="N2850" s="296"/>
      <c r="O2850" s="401">
        <f>-TrialBalanceB!K30</f>
        <v>0</v>
      </c>
      <c r="P2850" s="295"/>
      <c r="R2850" s="348" t="str">
        <f t="shared" si="203"/>
        <v>DELETE</v>
      </c>
      <c r="T2850" s="334"/>
    </row>
    <row r="2851" spans="3:24" ht="36" customHeight="1" x14ac:dyDescent="0.45">
      <c r="C2851" s="397"/>
      <c r="D2851" s="434">
        <f>TrialBalanceB!C31</f>
        <v>0</v>
      </c>
      <c r="E2851" s="434"/>
      <c r="F2851" s="434"/>
      <c r="G2851" s="434"/>
      <c r="H2851" s="434"/>
      <c r="I2851" s="434"/>
      <c r="J2851" s="449"/>
      <c r="K2851" s="292"/>
      <c r="L2851" s="292"/>
      <c r="M2851" s="400">
        <f>-TrialBalanceB!I31</f>
        <v>0</v>
      </c>
      <c r="N2851" s="296"/>
      <c r="O2851" s="401">
        <f>-TrialBalanceB!K31</f>
        <v>0</v>
      </c>
      <c r="P2851" s="295"/>
      <c r="R2851" s="348" t="str">
        <f t="shared" si="203"/>
        <v>DELETE</v>
      </c>
      <c r="T2851" s="334"/>
    </row>
    <row r="2852" spans="3:24" ht="36" customHeight="1" x14ac:dyDescent="0.45">
      <c r="C2852" s="397"/>
      <c r="D2852" s="434">
        <f>TrialBalanceB!C32</f>
        <v>0</v>
      </c>
      <c r="E2852" s="434"/>
      <c r="F2852" s="434"/>
      <c r="G2852" s="434"/>
      <c r="H2852" s="434"/>
      <c r="I2852" s="434"/>
      <c r="J2852" s="449"/>
      <c r="K2852" s="292"/>
      <c r="L2852" s="292"/>
      <c r="M2852" s="400">
        <f>-TrialBalanceB!I32</f>
        <v>0</v>
      </c>
      <c r="N2852" s="296"/>
      <c r="O2852" s="401">
        <f>-TrialBalanceB!K32</f>
        <v>0</v>
      </c>
      <c r="P2852" s="295"/>
      <c r="R2852" s="348" t="str">
        <f t="shared" si="203"/>
        <v>DELETE</v>
      </c>
      <c r="T2852" s="334"/>
    </row>
    <row r="2853" spans="3:24" ht="36" customHeight="1" x14ac:dyDescent="0.45">
      <c r="C2853" s="397"/>
      <c r="D2853" s="434" t="str">
        <f>TrialBalanceB!C33</f>
        <v>Recoupment of depreciation</v>
      </c>
      <c r="E2853" s="434"/>
      <c r="F2853" s="434"/>
      <c r="G2853" s="434"/>
      <c r="H2853" s="434"/>
      <c r="I2853" s="434"/>
      <c r="J2853" s="449"/>
      <c r="K2853" s="292"/>
      <c r="L2853" s="292"/>
      <c r="M2853" s="400">
        <f>-TrialBalanceB!I33</f>
        <v>0</v>
      </c>
      <c r="N2853" s="296"/>
      <c r="O2853" s="401">
        <f>-TrialBalanceB!K33</f>
        <v>0</v>
      </c>
      <c r="P2853" s="295"/>
      <c r="R2853" s="348" t="str">
        <f t="shared" ref="R2853" si="204">IF(R$2813="DELETE","DELETE",IF(M2853+O2853=0,"DELETE"," "))</f>
        <v>DELETE</v>
      </c>
      <c r="T2853" s="334"/>
    </row>
    <row r="2854" spans="3:24" ht="9" customHeight="1" x14ac:dyDescent="0.45">
      <c r="C2854" s="397"/>
      <c r="D2854" s="434"/>
      <c r="E2854" s="434"/>
      <c r="F2854" s="434"/>
      <c r="G2854" s="434"/>
      <c r="H2854" s="434"/>
      <c r="I2854" s="434"/>
      <c r="J2854" s="449"/>
      <c r="K2854" s="292"/>
      <c r="L2854" s="292"/>
      <c r="M2854" s="402"/>
      <c r="N2854" s="298"/>
      <c r="O2854" s="403"/>
      <c r="P2854" s="295"/>
      <c r="R2854" s="348" t="str">
        <f>R2845</f>
        <v>DELETE</v>
      </c>
      <c r="T2854" s="334"/>
    </row>
    <row r="2855" spans="3:24" ht="9" customHeight="1" x14ac:dyDescent="0.45">
      <c r="C2855" s="397"/>
      <c r="D2855" s="434"/>
      <c r="E2855" s="434"/>
      <c r="F2855" s="434"/>
      <c r="G2855" s="434"/>
      <c r="H2855" s="434"/>
      <c r="I2855" s="434"/>
      <c r="J2855" s="449"/>
      <c r="K2855" s="292"/>
      <c r="L2855" s="292"/>
      <c r="M2855" s="314"/>
      <c r="N2855" s="314"/>
      <c r="O2855" s="314"/>
      <c r="P2855" s="295"/>
      <c r="R2855" s="348" t="str">
        <f>R2854</f>
        <v>DELETE</v>
      </c>
      <c r="T2855" s="334"/>
    </row>
    <row r="2856" spans="3:24" ht="9" customHeight="1" x14ac:dyDescent="0.45">
      <c r="C2856" s="397"/>
      <c r="D2856" s="434"/>
      <c r="E2856" s="434"/>
      <c r="F2856" s="434"/>
      <c r="G2856" s="434"/>
      <c r="H2856" s="434"/>
      <c r="I2856" s="434"/>
      <c r="J2856" s="449"/>
      <c r="K2856" s="292"/>
      <c r="L2856" s="292"/>
      <c r="M2856" s="296"/>
      <c r="N2856" s="296"/>
      <c r="O2856" s="296"/>
      <c r="P2856" s="295"/>
      <c r="R2856" s="348" t="str">
        <f>R2855</f>
        <v>DELETE</v>
      </c>
      <c r="T2856" s="334"/>
    </row>
    <row r="2857" spans="3:24" ht="36" customHeight="1" x14ac:dyDescent="0.45">
      <c r="C2857" s="397"/>
      <c r="D2857" s="434"/>
      <c r="E2857" s="434"/>
      <c r="F2857" s="434"/>
      <c r="G2857" s="434"/>
      <c r="H2857" s="434"/>
      <c r="I2857" s="434"/>
      <c r="J2857" s="449"/>
      <c r="K2857" s="292"/>
      <c r="L2857" s="292"/>
      <c r="M2857" s="296">
        <f>SUM(S2825:S2845)</f>
        <v>0</v>
      </c>
      <c r="N2857" s="296"/>
      <c r="O2857" s="296">
        <f>SUM(U2825:U2845)</f>
        <v>0</v>
      </c>
      <c r="P2857" s="295"/>
      <c r="R2857" s="348" t="str">
        <f>R2845</f>
        <v>DELETE</v>
      </c>
      <c r="T2857" s="334"/>
    </row>
    <row r="2858" spans="3:24" ht="36" customHeight="1" x14ac:dyDescent="0.45">
      <c r="C2858" s="397"/>
      <c r="D2858" s="434"/>
      <c r="E2858" s="434"/>
      <c r="F2858" s="434"/>
      <c r="G2858" s="434"/>
      <c r="H2858" s="434"/>
      <c r="I2858" s="434"/>
      <c r="J2858" s="449"/>
      <c r="K2858" s="292"/>
      <c r="L2858" s="292"/>
      <c r="M2858" s="296"/>
      <c r="N2858" s="296"/>
      <c r="O2858" s="296"/>
      <c r="P2858" s="295"/>
      <c r="R2858" s="348" t="str">
        <f>R2857</f>
        <v>DELETE</v>
      </c>
      <c r="T2858" s="334"/>
    </row>
    <row r="2859" spans="3:24" ht="36" customHeight="1" x14ac:dyDescent="0.45">
      <c r="D2859" s="433" t="s">
        <v>1075</v>
      </c>
      <c r="E2859" s="434"/>
      <c r="F2859" s="434"/>
      <c r="G2859" s="434"/>
      <c r="H2859" s="434"/>
      <c r="I2859" s="434"/>
      <c r="J2859" s="449"/>
      <c r="K2859" s="292"/>
      <c r="L2859" s="292"/>
      <c r="M2859" s="296">
        <f>SUM(M2861:M2890)</f>
        <v>0</v>
      </c>
      <c r="N2859" s="296"/>
      <c r="O2859" s="296">
        <f>SUM(O2861:O2890)</f>
        <v>0</v>
      </c>
      <c r="P2859" s="295"/>
      <c r="R2859" s="348" t="str">
        <f t="shared" ref="R2859" si="205">IF(R$2813="DELETE","DELETE",IF(M2859+O2859=0,"DELETE"," "))</f>
        <v>DELETE</v>
      </c>
      <c r="S2859" s="333">
        <f>-M2859</f>
        <v>0</v>
      </c>
      <c r="T2859" s="334"/>
      <c r="U2859" s="333">
        <f>-O2859</f>
        <v>0</v>
      </c>
      <c r="V2859" s="333"/>
      <c r="W2859" s="333"/>
      <c r="X2859" s="333"/>
    </row>
    <row r="2860" spans="3:24" ht="9" customHeight="1" x14ac:dyDescent="0.45">
      <c r="C2860" s="397"/>
      <c r="D2860" s="434"/>
      <c r="E2860" s="434"/>
      <c r="F2860" s="434"/>
      <c r="G2860" s="434"/>
      <c r="H2860" s="434"/>
      <c r="I2860" s="434"/>
      <c r="J2860" s="449"/>
      <c r="K2860" s="292"/>
      <c r="L2860" s="292"/>
      <c r="M2860" s="296"/>
      <c r="N2860" s="296"/>
      <c r="O2860" s="296"/>
      <c r="P2860" s="295"/>
      <c r="R2860" s="348" t="str">
        <f>R2859</f>
        <v>DELETE</v>
      </c>
      <c r="T2860" s="334"/>
    </row>
    <row r="2861" spans="3:24" ht="9" customHeight="1" x14ac:dyDescent="0.45">
      <c r="C2861" s="397"/>
      <c r="D2861" s="434"/>
      <c r="E2861" s="434"/>
      <c r="F2861" s="434"/>
      <c r="G2861" s="434"/>
      <c r="H2861" s="434"/>
      <c r="I2861" s="434"/>
      <c r="J2861" s="449"/>
      <c r="K2861" s="292"/>
      <c r="L2861" s="292"/>
      <c r="M2861" s="398"/>
      <c r="N2861" s="297"/>
      <c r="O2861" s="399"/>
      <c r="P2861" s="295"/>
      <c r="R2861" s="348" t="str">
        <f>R2860</f>
        <v>DELETE</v>
      </c>
      <c r="T2861" s="334"/>
    </row>
    <row r="2862" spans="3:24" ht="36" customHeight="1" x14ac:dyDescent="0.45">
      <c r="C2862" s="397"/>
      <c r="D2862" s="434" t="s">
        <v>250</v>
      </c>
      <c r="E2862" s="434"/>
      <c r="F2862" s="434"/>
      <c r="G2862" s="434"/>
      <c r="H2862" s="434"/>
      <c r="I2862" s="434"/>
      <c r="J2862" s="449"/>
      <c r="K2862" s="292"/>
      <c r="L2862" s="292"/>
      <c r="M2862" s="400">
        <f>TrialBalanceB!I40</f>
        <v>0</v>
      </c>
      <c r="N2862" s="296"/>
      <c r="O2862" s="401">
        <f>TrialBalanceB!K40</f>
        <v>0</v>
      </c>
      <c r="P2862" s="295"/>
      <c r="R2862" s="348" t="str">
        <f t="shared" ref="R2862:R2889" si="206">IF(R$2813="DELETE","DELETE",IF(M2862+O2862=0,"DELETE"," "))</f>
        <v>DELETE</v>
      </c>
      <c r="T2862" s="334"/>
    </row>
    <row r="2863" spans="3:24" ht="36" customHeight="1" x14ac:dyDescent="0.45">
      <c r="C2863" s="397"/>
      <c r="D2863" s="434" t="s">
        <v>658</v>
      </c>
      <c r="E2863" s="434"/>
      <c r="F2863" s="434"/>
      <c r="G2863" s="434"/>
      <c r="H2863" s="434"/>
      <c r="I2863" s="434"/>
      <c r="J2863" s="449"/>
      <c r="K2863" s="292"/>
      <c r="L2863" s="292"/>
      <c r="M2863" s="400">
        <f>TrialBalanceB!I41</f>
        <v>0</v>
      </c>
      <c r="N2863" s="296"/>
      <c r="O2863" s="401">
        <f>TrialBalanceB!K41</f>
        <v>0</v>
      </c>
      <c r="P2863" s="295"/>
      <c r="R2863" s="348" t="str">
        <f t="shared" si="206"/>
        <v>DELETE</v>
      </c>
      <c r="T2863" s="334"/>
    </row>
    <row r="2864" spans="3:24" ht="36" customHeight="1" x14ac:dyDescent="0.45">
      <c r="C2864" s="397"/>
      <c r="D2864" s="434" t="s">
        <v>251</v>
      </c>
      <c r="E2864" s="434"/>
      <c r="F2864" s="434"/>
      <c r="G2864" s="434"/>
      <c r="H2864" s="434"/>
      <c r="I2864" s="434"/>
      <c r="J2864" s="449"/>
      <c r="K2864" s="292"/>
      <c r="L2864" s="292"/>
      <c r="M2864" s="400">
        <f>TrialBalanceB!I42</f>
        <v>0</v>
      </c>
      <c r="N2864" s="296"/>
      <c r="O2864" s="401">
        <f>TrialBalanceB!K42</f>
        <v>0</v>
      </c>
      <c r="P2864" s="295"/>
      <c r="R2864" s="348" t="str">
        <f t="shared" si="206"/>
        <v>DELETE</v>
      </c>
      <c r="T2864" s="334"/>
    </row>
    <row r="2865" spans="3:24" ht="36" customHeight="1" x14ac:dyDescent="0.45">
      <c r="C2865" s="397"/>
      <c r="D2865" s="434" t="s">
        <v>252</v>
      </c>
      <c r="E2865" s="434"/>
      <c r="F2865" s="434"/>
      <c r="G2865" s="434"/>
      <c r="H2865" s="434"/>
      <c r="I2865" s="434"/>
      <c r="J2865" s="449"/>
      <c r="K2865" s="292">
        <f>B$958</f>
        <v>5</v>
      </c>
      <c r="L2865" s="292"/>
      <c r="M2865" s="400">
        <f>SUM(TrialBalanceB!I44:I46)</f>
        <v>0</v>
      </c>
      <c r="N2865" s="296"/>
      <c r="O2865" s="401">
        <f>SUM(TrialBalanceB!K44:K46)</f>
        <v>0</v>
      </c>
      <c r="P2865" s="295"/>
      <c r="R2865" s="348" t="str">
        <f t="shared" si="206"/>
        <v>DELETE</v>
      </c>
      <c r="T2865" s="334"/>
    </row>
    <row r="2866" spans="3:24" ht="36" customHeight="1" x14ac:dyDescent="0.45">
      <c r="C2866" s="397"/>
      <c r="D2866" s="434" t="s">
        <v>494</v>
      </c>
      <c r="E2866" s="434"/>
      <c r="F2866" s="434"/>
      <c r="G2866" s="434"/>
      <c r="H2866" s="434"/>
      <c r="I2866" s="434"/>
      <c r="J2866" s="449"/>
      <c r="K2866" s="292"/>
      <c r="L2866" s="292"/>
      <c r="M2866" s="400">
        <f>TrialBalanceB!I47</f>
        <v>0</v>
      </c>
      <c r="N2866" s="296"/>
      <c r="O2866" s="401">
        <f>TrialBalanceB!K47</f>
        <v>0</v>
      </c>
      <c r="P2866" s="295"/>
      <c r="R2866" s="348" t="str">
        <f t="shared" si="206"/>
        <v>DELETE</v>
      </c>
      <c r="S2866" s="336"/>
      <c r="T2866" s="334"/>
      <c r="U2866" s="336"/>
      <c r="V2866" s="336"/>
      <c r="W2866" s="336"/>
      <c r="X2866" s="336"/>
    </row>
    <row r="2867" spans="3:24" ht="36" customHeight="1" x14ac:dyDescent="0.45">
      <c r="C2867" s="397"/>
      <c r="D2867" s="434" t="s">
        <v>678</v>
      </c>
      <c r="E2867" s="434"/>
      <c r="F2867" s="434"/>
      <c r="G2867" s="434"/>
      <c r="H2867" s="434"/>
      <c r="I2867" s="434"/>
      <c r="J2867" s="449"/>
      <c r="K2867" s="292"/>
      <c r="L2867" s="292"/>
      <c r="M2867" s="400">
        <f>TrialBalanceB!I48</f>
        <v>0</v>
      </c>
      <c r="N2867" s="296"/>
      <c r="O2867" s="401">
        <f>TrialBalanceB!K48</f>
        <v>0</v>
      </c>
      <c r="P2867" s="295"/>
      <c r="R2867" s="348" t="str">
        <f t="shared" si="206"/>
        <v>DELETE</v>
      </c>
      <c r="T2867" s="334"/>
    </row>
    <row r="2868" spans="3:24" ht="36" customHeight="1" x14ac:dyDescent="0.45">
      <c r="C2868" s="397"/>
      <c r="D2868" s="434" t="s">
        <v>54</v>
      </c>
      <c r="E2868" s="434"/>
      <c r="F2868" s="434"/>
      <c r="G2868" s="434"/>
      <c r="H2868" s="434"/>
      <c r="I2868" s="434"/>
      <c r="J2868" s="449"/>
      <c r="K2868" s="292"/>
      <c r="L2868" s="292"/>
      <c r="M2868" s="400">
        <f>TrialBalanceB!I49</f>
        <v>0</v>
      </c>
      <c r="N2868" s="296"/>
      <c r="O2868" s="401">
        <f>TrialBalanceB!K49</f>
        <v>0</v>
      </c>
      <c r="P2868" s="295"/>
      <c r="R2868" s="348" t="str">
        <f t="shared" si="206"/>
        <v>DELETE</v>
      </c>
      <c r="T2868" s="334"/>
    </row>
    <row r="2869" spans="3:24" ht="36" customHeight="1" x14ac:dyDescent="0.45">
      <c r="C2869" s="397"/>
      <c r="D2869" s="434" t="s">
        <v>253</v>
      </c>
      <c r="E2869" s="434"/>
      <c r="F2869" s="434"/>
      <c r="G2869" s="434"/>
      <c r="H2869" s="434"/>
      <c r="I2869" s="434"/>
      <c r="J2869" s="449"/>
      <c r="K2869" s="292"/>
      <c r="L2869" s="292"/>
      <c r="M2869" s="400">
        <f>TrialBalanceB!I50</f>
        <v>0</v>
      </c>
      <c r="N2869" s="296"/>
      <c r="O2869" s="401">
        <f>TrialBalanceB!K50</f>
        <v>0</v>
      </c>
      <c r="P2869" s="295"/>
      <c r="R2869" s="348" t="str">
        <f t="shared" si="206"/>
        <v>DELETE</v>
      </c>
      <c r="T2869" s="334"/>
    </row>
    <row r="2870" spans="3:24" ht="36" customHeight="1" x14ac:dyDescent="0.45">
      <c r="C2870" s="397"/>
      <c r="D2870" s="434" t="s">
        <v>511</v>
      </c>
      <c r="E2870" s="434"/>
      <c r="F2870" s="434"/>
      <c r="G2870" s="434"/>
      <c r="H2870" s="434"/>
      <c r="I2870" s="434"/>
      <c r="J2870" s="449"/>
      <c r="K2870" s="292"/>
      <c r="L2870" s="292"/>
      <c r="M2870" s="400">
        <f>SUM(TrialBalanceB!I51:I52)</f>
        <v>0</v>
      </c>
      <c r="N2870" s="296"/>
      <c r="O2870" s="401">
        <f>SUM(TrialBalanceB!K51:K52)</f>
        <v>0</v>
      </c>
      <c r="P2870" s="295"/>
      <c r="R2870" s="348" t="str">
        <f t="shared" si="206"/>
        <v>DELETE</v>
      </c>
      <c r="T2870" s="334"/>
    </row>
    <row r="2871" spans="3:24" ht="36" customHeight="1" x14ac:dyDescent="0.45">
      <c r="C2871" s="397"/>
      <c r="D2871" s="434" t="s">
        <v>510</v>
      </c>
      <c r="E2871" s="434"/>
      <c r="F2871" s="434"/>
      <c r="G2871" s="434"/>
      <c r="H2871" s="434"/>
      <c r="I2871" s="434"/>
      <c r="J2871" s="449"/>
      <c r="K2871" s="292"/>
      <c r="L2871" s="292"/>
      <c r="M2871" s="400">
        <f>TrialBalanceB!I53</f>
        <v>0</v>
      </c>
      <c r="N2871" s="296"/>
      <c r="O2871" s="401">
        <f>TrialBalanceB!K53</f>
        <v>0</v>
      </c>
      <c r="P2871" s="295"/>
      <c r="R2871" s="348" t="str">
        <f t="shared" si="206"/>
        <v>DELETE</v>
      </c>
      <c r="T2871" s="334"/>
    </row>
    <row r="2872" spans="3:24" ht="36" customHeight="1" x14ac:dyDescent="0.45">
      <c r="C2872" s="397"/>
      <c r="D2872" s="434" t="s">
        <v>495</v>
      </c>
      <c r="E2872" s="434"/>
      <c r="F2872" s="434"/>
      <c r="G2872" s="434"/>
      <c r="H2872" s="434"/>
      <c r="I2872" s="434"/>
      <c r="J2872" s="449"/>
      <c r="K2872" s="292"/>
      <c r="L2872" s="292"/>
      <c r="M2872" s="400">
        <f>SUM(TrialBalanceB!I55:I59)</f>
        <v>0</v>
      </c>
      <c r="N2872" s="296"/>
      <c r="O2872" s="401">
        <f>SUM(TrialBalanceB!K55:K59)</f>
        <v>0</v>
      </c>
      <c r="P2872" s="295"/>
      <c r="R2872" s="348" t="str">
        <f t="shared" si="206"/>
        <v>DELETE</v>
      </c>
      <c r="T2872" s="334"/>
    </row>
    <row r="2873" spans="3:24" ht="36" customHeight="1" x14ac:dyDescent="0.45">
      <c r="C2873" s="397"/>
      <c r="D2873" s="434" t="s">
        <v>479</v>
      </c>
      <c r="E2873" s="434"/>
      <c r="F2873" s="434"/>
      <c r="G2873" s="434"/>
      <c r="H2873" s="434"/>
      <c r="I2873" s="434"/>
      <c r="J2873" s="449"/>
      <c r="K2873" s="292">
        <f>B$958</f>
        <v>5</v>
      </c>
      <c r="L2873" s="292"/>
      <c r="M2873" s="400">
        <f>SUM(TrialBalanceB!I61:I63)</f>
        <v>0</v>
      </c>
      <c r="N2873" s="296"/>
      <c r="O2873" s="401">
        <f>SUM(TrialBalanceB!K61:K63)</f>
        <v>0</v>
      </c>
      <c r="P2873" s="295"/>
      <c r="R2873" s="348" t="str">
        <f t="shared" si="206"/>
        <v>DELETE</v>
      </c>
      <c r="T2873" s="334"/>
    </row>
    <row r="2874" spans="3:24" ht="36" customHeight="1" x14ac:dyDescent="0.45">
      <c r="C2874" s="397"/>
      <c r="D2874" s="434" t="s">
        <v>57</v>
      </c>
      <c r="E2874" s="434"/>
      <c r="F2874" s="434"/>
      <c r="G2874" s="434"/>
      <c r="H2874" s="434"/>
      <c r="I2874" s="434"/>
      <c r="J2874" s="449"/>
      <c r="K2874" s="292"/>
      <c r="L2874" s="292"/>
      <c r="M2874" s="400">
        <f>TrialBalanceB!I64</f>
        <v>0</v>
      </c>
      <c r="N2874" s="296"/>
      <c r="O2874" s="401">
        <f>TrialBalanceB!K64</f>
        <v>0</v>
      </c>
      <c r="P2874" s="295"/>
      <c r="R2874" s="348" t="str">
        <f t="shared" si="206"/>
        <v>DELETE</v>
      </c>
      <c r="T2874" s="334"/>
    </row>
    <row r="2875" spans="3:24" ht="36" customHeight="1" x14ac:dyDescent="0.45">
      <c r="C2875" s="397"/>
      <c r="D2875" s="434" t="s">
        <v>1210</v>
      </c>
      <c r="E2875" s="434"/>
      <c r="F2875" s="434"/>
      <c r="G2875" s="434"/>
      <c r="H2875" s="434"/>
      <c r="I2875" s="434"/>
      <c r="J2875" s="449"/>
      <c r="K2875" s="292"/>
      <c r="L2875" s="292"/>
      <c r="M2875" s="400">
        <f>TrialBalanceB!I65</f>
        <v>0</v>
      </c>
      <c r="N2875" s="296"/>
      <c r="O2875" s="401">
        <f>TrialBalanceB!K65</f>
        <v>0</v>
      </c>
      <c r="P2875" s="295"/>
      <c r="R2875" s="348" t="str">
        <f t="shared" ref="R2875" si="207">IF(R$2813="DELETE","DELETE",IF(M2875+O2875=0,"DELETE"," "))</f>
        <v>DELETE</v>
      </c>
      <c r="T2875" s="334"/>
    </row>
    <row r="2876" spans="3:24" ht="36" customHeight="1" x14ac:dyDescent="0.45">
      <c r="C2876" s="397"/>
      <c r="D2876" s="434" t="s">
        <v>235</v>
      </c>
      <c r="E2876" s="434"/>
      <c r="F2876" s="434"/>
      <c r="G2876" s="434"/>
      <c r="H2876" s="434"/>
      <c r="I2876" s="434"/>
      <c r="J2876" s="449"/>
      <c r="K2876" s="292"/>
      <c r="L2876" s="292"/>
      <c r="M2876" s="400">
        <f>SUM(TrialBalanceB!I66:I68)</f>
        <v>0</v>
      </c>
      <c r="N2876" s="296"/>
      <c r="O2876" s="401">
        <f>SUM(TrialBalanceB!K66:K68)</f>
        <v>0</v>
      </c>
      <c r="P2876" s="295"/>
      <c r="R2876" s="348" t="str">
        <f t="shared" si="206"/>
        <v>DELETE</v>
      </c>
      <c r="T2876" s="334"/>
    </row>
    <row r="2877" spans="3:24" ht="36" customHeight="1" x14ac:dyDescent="0.45">
      <c r="C2877" s="397"/>
      <c r="D2877" s="434" t="s">
        <v>679</v>
      </c>
      <c r="E2877" s="434"/>
      <c r="F2877" s="434"/>
      <c r="G2877" s="434"/>
      <c r="H2877" s="434"/>
      <c r="I2877" s="434"/>
      <c r="J2877" s="449"/>
      <c r="K2877" s="292"/>
      <c r="L2877" s="292"/>
      <c r="M2877" s="400">
        <f>SUM(TrialBalanceB!I69:I70)</f>
        <v>0</v>
      </c>
      <c r="N2877" s="296"/>
      <c r="O2877" s="401">
        <f>SUM(TrialBalanceB!K69:K70)</f>
        <v>0</v>
      </c>
      <c r="P2877" s="295"/>
      <c r="R2877" s="348" t="str">
        <f t="shared" si="206"/>
        <v>DELETE</v>
      </c>
      <c r="T2877" s="334"/>
    </row>
    <row r="2878" spans="3:24" ht="36" customHeight="1" x14ac:dyDescent="0.45">
      <c r="C2878" s="397"/>
      <c r="D2878" s="434" t="s">
        <v>236</v>
      </c>
      <c r="E2878" s="434"/>
      <c r="F2878" s="434"/>
      <c r="G2878" s="434"/>
      <c r="H2878" s="434"/>
      <c r="I2878" s="434"/>
      <c r="J2878" s="449"/>
      <c r="K2878" s="292"/>
      <c r="L2878" s="292"/>
      <c r="M2878" s="400">
        <f>TrialBalanceB!I71</f>
        <v>0</v>
      </c>
      <c r="N2878" s="296"/>
      <c r="O2878" s="401">
        <f>TrialBalanceB!K71</f>
        <v>0</v>
      </c>
      <c r="P2878" s="295"/>
      <c r="R2878" s="348" t="str">
        <f t="shared" si="206"/>
        <v>DELETE</v>
      </c>
      <c r="T2878" s="334"/>
    </row>
    <row r="2879" spans="3:24" ht="36" customHeight="1" x14ac:dyDescent="0.45">
      <c r="C2879" s="397"/>
      <c r="D2879" s="434" t="s">
        <v>361</v>
      </c>
      <c r="E2879" s="434"/>
      <c r="F2879" s="434"/>
      <c r="G2879" s="434"/>
      <c r="H2879" s="434"/>
      <c r="I2879" s="434"/>
      <c r="J2879" s="449"/>
      <c r="K2879" s="292"/>
      <c r="L2879" s="292"/>
      <c r="M2879" s="400">
        <f>TrialBalanceB!I72</f>
        <v>0</v>
      </c>
      <c r="N2879" s="296"/>
      <c r="O2879" s="401">
        <f>TrialBalanceB!K72</f>
        <v>0</v>
      </c>
      <c r="P2879" s="295"/>
      <c r="R2879" s="348" t="str">
        <f t="shared" si="206"/>
        <v>DELETE</v>
      </c>
      <c r="T2879" s="334"/>
    </row>
    <row r="2880" spans="3:24" ht="36" customHeight="1" x14ac:dyDescent="0.45">
      <c r="C2880" s="397"/>
      <c r="D2880" s="434">
        <f>TrialBalanceB!C73</f>
        <v>0</v>
      </c>
      <c r="E2880" s="434"/>
      <c r="F2880" s="434"/>
      <c r="G2880" s="434"/>
      <c r="H2880" s="434"/>
      <c r="I2880" s="434"/>
      <c r="J2880" s="449"/>
      <c r="K2880" s="292"/>
      <c r="L2880" s="292"/>
      <c r="M2880" s="400">
        <f>TrialBalanceB!I73</f>
        <v>0</v>
      </c>
      <c r="N2880" s="296"/>
      <c r="O2880" s="401">
        <f>TrialBalanceB!K73</f>
        <v>0</v>
      </c>
      <c r="P2880" s="295"/>
      <c r="R2880" s="348" t="str">
        <f t="shared" si="206"/>
        <v>DELETE</v>
      </c>
      <c r="T2880" s="334"/>
    </row>
    <row r="2881" spans="3:26" ht="36" customHeight="1" x14ac:dyDescent="0.45">
      <c r="C2881" s="397"/>
      <c r="D2881" s="434">
        <f>TrialBalanceB!C74</f>
        <v>0</v>
      </c>
      <c r="E2881" s="434"/>
      <c r="F2881" s="434"/>
      <c r="G2881" s="434"/>
      <c r="H2881" s="434"/>
      <c r="I2881" s="434"/>
      <c r="J2881" s="449"/>
      <c r="K2881" s="292"/>
      <c r="L2881" s="292"/>
      <c r="M2881" s="400">
        <f>TrialBalanceB!I74</f>
        <v>0</v>
      </c>
      <c r="N2881" s="296"/>
      <c r="O2881" s="401">
        <f>TrialBalanceB!K74</f>
        <v>0</v>
      </c>
      <c r="P2881" s="295"/>
      <c r="R2881" s="348" t="str">
        <f t="shared" si="206"/>
        <v>DELETE</v>
      </c>
      <c r="T2881" s="334"/>
    </row>
    <row r="2882" spans="3:26" ht="36" customHeight="1" x14ac:dyDescent="0.45">
      <c r="C2882" s="397"/>
      <c r="D2882" s="434">
        <f>TrialBalanceB!C75</f>
        <v>0</v>
      </c>
      <c r="E2882" s="434"/>
      <c r="F2882" s="434"/>
      <c r="G2882" s="434"/>
      <c r="H2882" s="434"/>
      <c r="I2882" s="434"/>
      <c r="J2882" s="449"/>
      <c r="K2882" s="292"/>
      <c r="L2882" s="292"/>
      <c r="M2882" s="400">
        <f>TrialBalanceB!I75</f>
        <v>0</v>
      </c>
      <c r="N2882" s="296"/>
      <c r="O2882" s="401">
        <f>TrialBalanceB!K75</f>
        <v>0</v>
      </c>
      <c r="P2882" s="295"/>
      <c r="R2882" s="348" t="str">
        <f t="shared" si="206"/>
        <v>DELETE</v>
      </c>
      <c r="T2882" s="334"/>
    </row>
    <row r="2883" spans="3:26" ht="36" customHeight="1" x14ac:dyDescent="0.45">
      <c r="C2883" s="397"/>
      <c r="D2883" s="434">
        <f>TrialBalanceB!C76</f>
        <v>0</v>
      </c>
      <c r="E2883" s="434"/>
      <c r="F2883" s="434"/>
      <c r="G2883" s="434"/>
      <c r="H2883" s="434"/>
      <c r="I2883" s="434"/>
      <c r="J2883" s="449"/>
      <c r="K2883" s="292"/>
      <c r="L2883" s="292"/>
      <c r="M2883" s="400">
        <f>TrialBalanceB!I76</f>
        <v>0</v>
      </c>
      <c r="N2883" s="296"/>
      <c r="O2883" s="401">
        <f>TrialBalanceB!K76</f>
        <v>0</v>
      </c>
      <c r="P2883" s="295"/>
      <c r="R2883" s="348" t="str">
        <f t="shared" si="206"/>
        <v>DELETE</v>
      </c>
      <c r="T2883" s="334"/>
    </row>
    <row r="2884" spans="3:26" ht="36" customHeight="1" x14ac:dyDescent="0.45">
      <c r="C2884" s="397"/>
      <c r="D2884" s="434">
        <f>TrialBalanceB!C77</f>
        <v>0</v>
      </c>
      <c r="E2884" s="434"/>
      <c r="F2884" s="434"/>
      <c r="G2884" s="434"/>
      <c r="H2884" s="434"/>
      <c r="I2884" s="434"/>
      <c r="J2884" s="449"/>
      <c r="K2884" s="292"/>
      <c r="L2884" s="292"/>
      <c r="M2884" s="400">
        <f>TrialBalanceB!I77</f>
        <v>0</v>
      </c>
      <c r="N2884" s="296"/>
      <c r="O2884" s="401">
        <f>TrialBalanceB!K77</f>
        <v>0</v>
      </c>
      <c r="P2884" s="295"/>
      <c r="R2884" s="348" t="str">
        <f t="shared" si="206"/>
        <v>DELETE</v>
      </c>
      <c r="T2884" s="334"/>
    </row>
    <row r="2885" spans="3:26" ht="36" customHeight="1" x14ac:dyDescent="0.45">
      <c r="C2885" s="397"/>
      <c r="D2885" s="434">
        <f>TrialBalanceB!C78</f>
        <v>0</v>
      </c>
      <c r="E2885" s="434"/>
      <c r="F2885" s="434"/>
      <c r="G2885" s="434"/>
      <c r="H2885" s="434"/>
      <c r="I2885" s="434"/>
      <c r="J2885" s="449"/>
      <c r="K2885" s="292"/>
      <c r="L2885" s="292"/>
      <c r="M2885" s="400">
        <f>TrialBalanceB!I78</f>
        <v>0</v>
      </c>
      <c r="N2885" s="296"/>
      <c r="O2885" s="401">
        <f>TrialBalanceB!K78</f>
        <v>0</v>
      </c>
      <c r="P2885" s="295"/>
      <c r="R2885" s="348" t="str">
        <f t="shared" si="206"/>
        <v>DELETE</v>
      </c>
      <c r="T2885" s="334"/>
    </row>
    <row r="2886" spans="3:26" ht="36" customHeight="1" x14ac:dyDescent="0.45">
      <c r="C2886" s="397"/>
      <c r="D2886" s="434">
        <f>TrialBalanceB!C79</f>
        <v>0</v>
      </c>
      <c r="E2886" s="434"/>
      <c r="F2886" s="434"/>
      <c r="G2886" s="434"/>
      <c r="H2886" s="434"/>
      <c r="I2886" s="434"/>
      <c r="J2886" s="449"/>
      <c r="K2886" s="292"/>
      <c r="L2886" s="292"/>
      <c r="M2886" s="400">
        <f>TrialBalanceB!I79</f>
        <v>0</v>
      </c>
      <c r="N2886" s="296"/>
      <c r="O2886" s="401">
        <f>TrialBalanceB!K79</f>
        <v>0</v>
      </c>
      <c r="P2886" s="295"/>
      <c r="R2886" s="348" t="str">
        <f t="shared" si="206"/>
        <v>DELETE</v>
      </c>
      <c r="T2886" s="334"/>
    </row>
    <row r="2887" spans="3:26" ht="36" customHeight="1" x14ac:dyDescent="0.45">
      <c r="C2887" s="397"/>
      <c r="D2887" s="434">
        <f>TrialBalanceB!C80</f>
        <v>0</v>
      </c>
      <c r="E2887" s="434"/>
      <c r="F2887" s="434"/>
      <c r="G2887" s="434"/>
      <c r="H2887" s="434"/>
      <c r="I2887" s="434"/>
      <c r="J2887" s="449"/>
      <c r="K2887" s="292"/>
      <c r="L2887" s="292"/>
      <c r="M2887" s="400">
        <f>TrialBalanceB!I80</f>
        <v>0</v>
      </c>
      <c r="N2887" s="296"/>
      <c r="O2887" s="401">
        <f>TrialBalanceB!K80</f>
        <v>0</v>
      </c>
      <c r="P2887" s="295"/>
      <c r="R2887" s="348" t="str">
        <f t="shared" si="206"/>
        <v>DELETE</v>
      </c>
      <c r="T2887" s="334"/>
    </row>
    <row r="2888" spans="3:26" ht="36" customHeight="1" x14ac:dyDescent="0.45">
      <c r="C2888" s="397"/>
      <c r="D2888" s="434">
        <f>TrialBalanceB!C81</f>
        <v>0</v>
      </c>
      <c r="E2888" s="434"/>
      <c r="F2888" s="434"/>
      <c r="G2888" s="434"/>
      <c r="H2888" s="434"/>
      <c r="I2888" s="434"/>
      <c r="J2888" s="449"/>
      <c r="K2888" s="292"/>
      <c r="L2888" s="292"/>
      <c r="M2888" s="400">
        <f>TrialBalanceB!I81</f>
        <v>0</v>
      </c>
      <c r="N2888" s="296"/>
      <c r="O2888" s="401">
        <f>TrialBalanceB!K81</f>
        <v>0</v>
      </c>
      <c r="P2888" s="295"/>
      <c r="R2888" s="348" t="str">
        <f t="shared" si="206"/>
        <v>DELETE</v>
      </c>
      <c r="T2888" s="334"/>
    </row>
    <row r="2889" spans="3:26" ht="36" customHeight="1" x14ac:dyDescent="0.45">
      <c r="C2889" s="397"/>
      <c r="D2889" s="434">
        <f>TrialBalanceB!C82</f>
        <v>0</v>
      </c>
      <c r="E2889" s="434"/>
      <c r="F2889" s="434"/>
      <c r="G2889" s="434"/>
      <c r="H2889" s="434"/>
      <c r="I2889" s="434"/>
      <c r="J2889" s="449"/>
      <c r="K2889" s="292"/>
      <c r="L2889" s="292"/>
      <c r="M2889" s="400">
        <f>TrialBalanceB!I82</f>
        <v>0</v>
      </c>
      <c r="N2889" s="296"/>
      <c r="O2889" s="401">
        <f>TrialBalanceB!K82</f>
        <v>0</v>
      </c>
      <c r="P2889" s="295"/>
      <c r="R2889" s="348" t="str">
        <f t="shared" si="206"/>
        <v>DELETE</v>
      </c>
      <c r="T2889" s="334"/>
    </row>
    <row r="2890" spans="3:26" ht="9" customHeight="1" x14ac:dyDescent="0.45">
      <c r="C2890" s="397"/>
      <c r="D2890" s="434"/>
      <c r="E2890" s="434"/>
      <c r="F2890" s="434"/>
      <c r="G2890" s="434"/>
      <c r="H2890" s="434"/>
      <c r="I2890" s="434"/>
      <c r="J2890" s="449"/>
      <c r="K2890" s="292"/>
      <c r="L2890" s="292"/>
      <c r="M2890" s="402"/>
      <c r="N2890" s="298"/>
      <c r="O2890" s="403"/>
      <c r="P2890" s="295"/>
      <c r="R2890" s="348" t="str">
        <f>R2859</f>
        <v>DELETE</v>
      </c>
      <c r="T2890" s="334"/>
    </row>
    <row r="2891" spans="3:26" ht="9" customHeight="1" x14ac:dyDescent="0.45">
      <c r="C2891" s="397"/>
      <c r="D2891" s="434"/>
      <c r="E2891" s="434"/>
      <c r="F2891" s="434"/>
      <c r="G2891" s="434"/>
      <c r="H2891" s="434"/>
      <c r="I2891" s="434"/>
      <c r="J2891" s="449"/>
      <c r="K2891" s="292"/>
      <c r="L2891" s="292"/>
      <c r="M2891" s="298"/>
      <c r="N2891" s="298"/>
      <c r="O2891" s="298"/>
      <c r="P2891" s="295"/>
      <c r="R2891" s="348" t="str">
        <f t="shared" ref="R2891:R2911" si="208">R$2813</f>
        <v>DELETE</v>
      </c>
      <c r="T2891" s="334"/>
    </row>
    <row r="2892" spans="3:26" ht="9" customHeight="1" x14ac:dyDescent="0.45">
      <c r="C2892" s="397"/>
      <c r="D2892" s="434"/>
      <c r="E2892" s="434"/>
      <c r="F2892" s="434"/>
      <c r="G2892" s="434"/>
      <c r="H2892" s="434"/>
      <c r="I2892" s="434"/>
      <c r="J2892" s="449"/>
      <c r="K2892" s="292"/>
      <c r="L2892" s="292"/>
      <c r="M2892" s="296"/>
      <c r="N2892" s="296"/>
      <c r="O2892" s="296"/>
      <c r="P2892" s="295"/>
      <c r="R2892" s="348" t="str">
        <f t="shared" si="208"/>
        <v>DELETE</v>
      </c>
      <c r="T2892" s="334"/>
    </row>
    <row r="2893" spans="3:26" ht="36" customHeight="1" x14ac:dyDescent="0.45">
      <c r="D2893" s="446" t="str">
        <f>IF((Y2893+Z2893)=3,"Operating profit/(loss)",(IF((Y2893+Z2893=4),"Operating profit","Operating loss")))</f>
        <v>Operating profit</v>
      </c>
      <c r="E2893" s="434"/>
      <c r="F2893" s="434"/>
      <c r="G2893" s="434"/>
      <c r="H2893" s="434"/>
      <c r="I2893" s="434"/>
      <c r="J2893" s="449"/>
      <c r="K2893" s="292"/>
      <c r="L2893" s="292"/>
      <c r="M2893" s="296">
        <f>SUM(S2825:S2891)</f>
        <v>0</v>
      </c>
      <c r="N2893" s="296"/>
      <c r="O2893" s="296">
        <f>SUM(U2825:U2891)</f>
        <v>0</v>
      </c>
      <c r="P2893" s="295"/>
      <c r="R2893" s="348" t="str">
        <f t="shared" si="208"/>
        <v>DELETE</v>
      </c>
      <c r="T2893" s="334"/>
      <c r="Y2893" s="331">
        <f>IF(M2893&lt;0,1,IF(M2893=0,IF(O2893&lt;0,1,2),2))</f>
        <v>2</v>
      </c>
      <c r="Z2893" s="331">
        <f>IF(O2893&lt;0,1,IF(O2893=0,IF(M2893&lt;0,1,2),2))</f>
        <v>2</v>
      </c>
    </row>
    <row r="2894" spans="3:26" ht="36" customHeight="1" x14ac:dyDescent="0.45">
      <c r="C2894" s="397"/>
      <c r="D2894" s="434"/>
      <c r="E2894" s="434" t="s">
        <v>238</v>
      </c>
      <c r="F2894" s="434"/>
      <c r="G2894" s="434"/>
      <c r="H2894" s="434"/>
      <c r="I2894" s="434"/>
      <c r="J2894" s="449"/>
      <c r="K2894" s="292"/>
      <c r="L2894" s="292"/>
      <c r="M2894" s="296"/>
      <c r="N2894" s="296"/>
      <c r="O2894" s="296"/>
      <c r="P2894" s="295"/>
      <c r="R2894" s="348" t="str">
        <f t="shared" si="208"/>
        <v>DELETE</v>
      </c>
      <c r="T2894" s="334"/>
    </row>
    <row r="2895" spans="3:26" ht="36" customHeight="1" x14ac:dyDescent="0.45">
      <c r="C2895" s="397"/>
      <c r="D2895" s="434"/>
      <c r="E2895" s="434"/>
      <c r="F2895" s="434"/>
      <c r="G2895" s="434"/>
      <c r="H2895" s="434"/>
      <c r="I2895" s="434"/>
      <c r="J2895" s="449"/>
      <c r="K2895" s="292"/>
      <c r="L2895" s="292"/>
      <c r="M2895" s="296"/>
      <c r="N2895" s="296"/>
      <c r="O2895" s="296"/>
      <c r="P2895" s="295"/>
      <c r="R2895" s="348" t="str">
        <f t="shared" si="208"/>
        <v>DELETE</v>
      </c>
      <c r="T2895" s="334"/>
    </row>
    <row r="2896" spans="3:26" ht="36" customHeight="1" x14ac:dyDescent="0.45">
      <c r="C2896" s="397"/>
      <c r="D2896" s="434"/>
      <c r="E2896" s="434"/>
      <c r="F2896" s="434"/>
      <c r="G2896" s="434"/>
      <c r="H2896" s="434"/>
      <c r="I2896" s="434"/>
      <c r="J2896" s="449"/>
      <c r="K2896" s="292"/>
      <c r="L2896" s="292"/>
      <c r="M2896" s="296"/>
      <c r="N2896" s="296"/>
      <c r="O2896" s="296"/>
      <c r="P2896" s="295"/>
      <c r="R2896" s="348" t="str">
        <f t="shared" si="208"/>
        <v>DELETE</v>
      </c>
      <c r="T2896" s="334"/>
    </row>
    <row r="2897" spans="3:26" ht="36" customHeight="1" x14ac:dyDescent="0.45">
      <c r="C2897" s="397"/>
      <c r="D2897" s="434"/>
      <c r="E2897" s="434"/>
      <c r="F2897" s="434"/>
      <c r="G2897" s="434"/>
      <c r="H2897" s="434"/>
      <c r="I2897" s="434"/>
      <c r="J2897" s="449"/>
      <c r="K2897" s="292"/>
      <c r="L2897" s="292"/>
      <c r="M2897" s="310"/>
      <c r="N2897" s="310"/>
      <c r="O2897" s="310"/>
      <c r="P2897" s="330"/>
      <c r="R2897" s="348" t="str">
        <f t="shared" si="208"/>
        <v>DELETE</v>
      </c>
      <c r="T2897" s="334"/>
    </row>
    <row r="2898" spans="3:26" ht="36" customHeight="1" x14ac:dyDescent="0.45">
      <c r="C2898" s="397"/>
      <c r="D2898" s="434"/>
      <c r="E2898" s="434"/>
      <c r="F2898" s="434"/>
      <c r="G2898" s="434"/>
      <c r="H2898" s="434"/>
      <c r="I2898" s="434"/>
      <c r="J2898" s="449"/>
      <c r="K2898" s="292"/>
      <c r="L2898" s="292"/>
      <c r="M2898" s="296"/>
      <c r="N2898" s="296"/>
      <c r="O2898" s="296"/>
      <c r="P2898" s="295"/>
      <c r="R2898" s="348" t="str">
        <f t="shared" si="208"/>
        <v>DELETE</v>
      </c>
      <c r="T2898" s="334"/>
    </row>
    <row r="2899" spans="3:26" ht="36" customHeight="1" x14ac:dyDescent="0.45">
      <c r="C2899" s="397"/>
      <c r="D2899" s="434"/>
      <c r="E2899" s="434"/>
      <c r="F2899" s="434"/>
      <c r="G2899" s="434"/>
      <c r="H2899" s="434"/>
      <c r="I2899" s="434"/>
      <c r="J2899" s="449"/>
      <c r="K2899" s="292"/>
      <c r="L2899" s="292"/>
      <c r="M2899" s="296"/>
      <c r="N2899" s="296"/>
      <c r="O2899" s="296" t="s">
        <v>89</v>
      </c>
      <c r="P2899" s="295"/>
      <c r="Q2899" s="292">
        <f>MAX($Q$2813:Q2898)+1</f>
        <v>2</v>
      </c>
      <c r="R2899" s="348" t="str">
        <f t="shared" si="208"/>
        <v>DELETE</v>
      </c>
      <c r="T2899" s="334"/>
    </row>
    <row r="2900" spans="3:26" ht="36" customHeight="1" x14ac:dyDescent="0.45">
      <c r="C2900" s="397"/>
      <c r="D2900" s="433" t="str">
        <f>Criteria!E15</f>
        <v>SUBSIDIARY TWO 15 (PTY) LTD</v>
      </c>
      <c r="E2900" s="434"/>
      <c r="F2900" s="434"/>
      <c r="G2900" s="434"/>
      <c r="H2900" s="434"/>
      <c r="I2900" s="434"/>
      <c r="J2900" s="449"/>
      <c r="K2900" s="292"/>
      <c r="L2900" s="292"/>
      <c r="M2900" s="296"/>
      <c r="N2900" s="296"/>
      <c r="O2900" s="347"/>
      <c r="R2900" s="348" t="str">
        <f t="shared" si="208"/>
        <v>DELETE</v>
      </c>
      <c r="T2900" s="334"/>
    </row>
    <row r="2901" spans="3:26" ht="36" customHeight="1" x14ac:dyDescent="0.45">
      <c r="C2901" s="397"/>
      <c r="D2901" s="438"/>
      <c r="E2901" s="434"/>
      <c r="F2901" s="434"/>
      <c r="G2901" s="434"/>
      <c r="H2901" s="434"/>
      <c r="I2901" s="434"/>
      <c r="J2901" s="449"/>
      <c r="K2901" s="292"/>
      <c r="L2901" s="292"/>
      <c r="M2901" s="296"/>
      <c r="N2901" s="296"/>
      <c r="O2901" s="296"/>
      <c r="P2901" s="295"/>
      <c r="R2901" s="348" t="str">
        <f t="shared" si="208"/>
        <v>DELETE</v>
      </c>
      <c r="T2901" s="334"/>
    </row>
    <row r="2902" spans="3:26" ht="36" customHeight="1" x14ac:dyDescent="0.45">
      <c r="C2902" s="397"/>
      <c r="D2902" s="434"/>
      <c r="E2902" s="434"/>
      <c r="F2902" s="434"/>
      <c r="G2902" s="434"/>
      <c r="H2902" s="434"/>
      <c r="I2902" s="434"/>
      <c r="J2902" s="449"/>
      <c r="K2902" s="292"/>
      <c r="L2902" s="292"/>
      <c r="M2902" s="296"/>
      <c r="N2902" s="296"/>
      <c r="O2902" s="296"/>
      <c r="P2902" s="295"/>
      <c r="R2902" s="348" t="str">
        <f t="shared" si="208"/>
        <v>DELETE</v>
      </c>
      <c r="T2902" s="334"/>
    </row>
    <row r="2903" spans="3:26" ht="36" customHeight="1" x14ac:dyDescent="0.45">
      <c r="C2903" s="397"/>
      <c r="D2903" s="433" t="s">
        <v>86</v>
      </c>
      <c r="E2903" s="434"/>
      <c r="F2903" s="434"/>
      <c r="G2903" s="434"/>
      <c r="H2903" s="434"/>
      <c r="I2903" s="434"/>
      <c r="J2903" s="449"/>
      <c r="K2903" s="292"/>
      <c r="L2903" s="292"/>
      <c r="M2903" s="296"/>
      <c r="N2903" s="296"/>
      <c r="O2903" s="296"/>
      <c r="P2903" s="295"/>
      <c r="R2903" s="348" t="str">
        <f t="shared" si="208"/>
        <v>DELETE</v>
      </c>
      <c r="T2903" s="334"/>
    </row>
    <row r="2904" spans="3:26" ht="36" customHeight="1" x14ac:dyDescent="0.45">
      <c r="C2904" s="397"/>
      <c r="D2904" s="433" t="str">
        <f>D2820</f>
        <v>28 FEBRUARY 2025</v>
      </c>
      <c r="E2904" s="434"/>
      <c r="F2904" s="434"/>
      <c r="G2904" s="434"/>
      <c r="H2904" s="434"/>
      <c r="I2904" s="434"/>
      <c r="J2904" s="434" t="s">
        <v>95</v>
      </c>
      <c r="K2904" s="292"/>
      <c r="L2904" s="292"/>
      <c r="M2904" s="296"/>
      <c r="N2904" s="296"/>
      <c r="O2904" s="296"/>
      <c r="P2904" s="295"/>
      <c r="R2904" s="348" t="str">
        <f t="shared" si="208"/>
        <v>DELETE</v>
      </c>
      <c r="T2904" s="334"/>
    </row>
    <row r="2905" spans="3:26" ht="36" customHeight="1" x14ac:dyDescent="0.45">
      <c r="C2905" s="397"/>
      <c r="D2905" s="434"/>
      <c r="E2905" s="434"/>
      <c r="F2905" s="434"/>
      <c r="G2905" s="434"/>
      <c r="H2905" s="434"/>
      <c r="I2905" s="434"/>
      <c r="J2905" s="449"/>
      <c r="K2905" s="304"/>
      <c r="L2905" s="304"/>
      <c r="M2905" s="298"/>
      <c r="N2905" s="298"/>
      <c r="O2905" s="298"/>
      <c r="P2905" s="295"/>
      <c r="R2905" s="348" t="str">
        <f t="shared" si="208"/>
        <v>DELETE</v>
      </c>
      <c r="T2905" s="334"/>
    </row>
    <row r="2906" spans="3:26" ht="36" customHeight="1" x14ac:dyDescent="0.45">
      <c r="C2906" s="397"/>
      <c r="D2906" s="444"/>
      <c r="E2906" s="444"/>
      <c r="F2906" s="444"/>
      <c r="G2906" s="444"/>
      <c r="H2906" s="444"/>
      <c r="I2906" s="444"/>
      <c r="J2906" s="453"/>
      <c r="M2906" s="351"/>
      <c r="N2906" s="351"/>
      <c r="O2906" s="351"/>
      <c r="P2906" s="313"/>
      <c r="Q2906" s="364"/>
      <c r="R2906" s="348" t="str">
        <f t="shared" si="208"/>
        <v>DELETE</v>
      </c>
      <c r="T2906" s="334"/>
    </row>
    <row r="2907" spans="3:26" ht="36" customHeight="1" x14ac:dyDescent="0.45">
      <c r="C2907" s="397"/>
      <c r="D2907" s="434"/>
      <c r="E2907" s="434"/>
      <c r="F2907" s="434"/>
      <c r="G2907" s="434"/>
      <c r="H2907" s="434"/>
      <c r="I2907" s="434"/>
      <c r="J2907" s="449"/>
      <c r="K2907" s="292" t="s">
        <v>1041</v>
      </c>
      <c r="L2907" s="292"/>
      <c r="M2907" s="294">
        <f>Criteria!E22</f>
        <v>2025</v>
      </c>
      <c r="N2907" s="294"/>
      <c r="O2907" s="294">
        <f>Criteria!E27</f>
        <v>2024</v>
      </c>
      <c r="P2907" s="295"/>
      <c r="R2907" s="348" t="str">
        <f t="shared" si="208"/>
        <v>DELETE</v>
      </c>
      <c r="T2907" s="334"/>
    </row>
    <row r="2908" spans="3:26" ht="36" customHeight="1" x14ac:dyDescent="0.45">
      <c r="C2908" s="397"/>
      <c r="D2908" s="434"/>
      <c r="E2908" s="434"/>
      <c r="F2908" s="434"/>
      <c r="G2908" s="434"/>
      <c r="H2908" s="434"/>
      <c r="I2908" s="434"/>
      <c r="J2908" s="449"/>
      <c r="K2908" s="292"/>
      <c r="L2908" s="292"/>
      <c r="M2908" s="296"/>
      <c r="N2908" s="296"/>
      <c r="O2908" s="296"/>
      <c r="P2908" s="295"/>
      <c r="R2908" s="348" t="str">
        <f t="shared" si="208"/>
        <v>DELETE</v>
      </c>
      <c r="T2908" s="334"/>
    </row>
    <row r="2909" spans="3:26" ht="36" customHeight="1" x14ac:dyDescent="0.45">
      <c r="D2909" s="446" t="str">
        <f>IF((Y2909+Z2909)=3,"Operating profit/(loss)",(IF((Y2909+Z2909=4),"Operating profit","Operating loss")))</f>
        <v>Operating profit</v>
      </c>
      <c r="E2909" s="434"/>
      <c r="F2909" s="434"/>
      <c r="G2909" s="434"/>
      <c r="H2909" s="434"/>
      <c r="I2909" s="434"/>
      <c r="J2909" s="449"/>
      <c r="K2909" s="292"/>
      <c r="L2909" s="292"/>
      <c r="M2909" s="296">
        <f>SUM(S2825:S2890)</f>
        <v>0</v>
      </c>
      <c r="N2909" s="296"/>
      <c r="O2909" s="296">
        <f>SUM(U2825:U2890)</f>
        <v>0</v>
      </c>
      <c r="P2909" s="295"/>
      <c r="R2909" s="348" t="str">
        <f t="shared" si="208"/>
        <v>DELETE</v>
      </c>
      <c r="T2909" s="334"/>
      <c r="V2909" s="331" t="b">
        <f>M2909=M2893</f>
        <v>1</v>
      </c>
      <c r="X2909" s="331" t="b">
        <f>O2909=O2893</f>
        <v>1</v>
      </c>
      <c r="Y2909" s="331">
        <f>IF(M2909&lt;0,1,IF(M2909=0,IF(O2909&lt;0,1,2),2))</f>
        <v>2</v>
      </c>
      <c r="Z2909" s="331">
        <f>IF(O2909&lt;0,1,IF(O2909=0,IF(M2909&lt;0,1,2),2))</f>
        <v>2</v>
      </c>
    </row>
    <row r="2910" spans="3:26" ht="36" customHeight="1" x14ac:dyDescent="0.45">
      <c r="C2910" s="397"/>
      <c r="D2910" s="434"/>
      <c r="E2910" s="434" t="s">
        <v>239</v>
      </c>
      <c r="F2910" s="434"/>
      <c r="G2910" s="434"/>
      <c r="H2910" s="434"/>
      <c r="I2910" s="434"/>
      <c r="J2910" s="449"/>
      <c r="K2910" s="292"/>
      <c r="L2910" s="292"/>
      <c r="M2910" s="296"/>
      <c r="N2910" s="296"/>
      <c r="O2910" s="296"/>
      <c r="P2910" s="295"/>
      <c r="R2910" s="348" t="str">
        <f t="shared" si="208"/>
        <v>DELETE</v>
      </c>
      <c r="T2910" s="334"/>
    </row>
    <row r="2911" spans="3:26" ht="36" customHeight="1" x14ac:dyDescent="0.45">
      <c r="C2911" s="397"/>
      <c r="D2911" s="434"/>
      <c r="E2911" s="434"/>
      <c r="F2911" s="434"/>
      <c r="G2911" s="434"/>
      <c r="H2911" s="434"/>
      <c r="I2911" s="434"/>
      <c r="J2911" s="449"/>
      <c r="K2911" s="292"/>
      <c r="L2911" s="292"/>
      <c r="M2911" s="296"/>
      <c r="N2911" s="296"/>
      <c r="O2911" s="296"/>
      <c r="P2911" s="295"/>
      <c r="R2911" s="348" t="str">
        <f t="shared" si="208"/>
        <v>DELETE</v>
      </c>
      <c r="T2911" s="334"/>
    </row>
    <row r="2912" spans="3:26" ht="36" customHeight="1" x14ac:dyDescent="0.45">
      <c r="D2912" s="433" t="s">
        <v>1076</v>
      </c>
      <c r="E2912" s="434"/>
      <c r="F2912" s="434"/>
      <c r="G2912" s="434"/>
      <c r="H2912" s="434"/>
      <c r="I2912" s="434"/>
      <c r="J2912" s="449"/>
      <c r="K2912" s="292"/>
      <c r="L2912" s="292"/>
      <c r="M2912" s="296">
        <f>SUM(M2915:M2948)</f>
        <v>0</v>
      </c>
      <c r="N2912" s="296"/>
      <c r="O2912" s="296">
        <f>SUM(O2915:O2948)</f>
        <v>0</v>
      </c>
      <c r="P2912" s="295"/>
      <c r="R2912" s="348" t="str">
        <f t="shared" ref="R2912" si="209">IF(R$2813="DELETE","DELETE",IF(M2912+O2912=0,"DELETE"," "))</f>
        <v>DELETE</v>
      </c>
      <c r="S2912" s="333">
        <f>-M2912</f>
        <v>0</v>
      </c>
      <c r="T2912" s="334"/>
      <c r="U2912" s="333">
        <f>-O2912</f>
        <v>0</v>
      </c>
      <c r="V2912" s="333"/>
      <c r="W2912" s="333"/>
      <c r="X2912" s="333"/>
    </row>
    <row r="2913" spans="3:20" ht="9" customHeight="1" x14ac:dyDescent="0.45">
      <c r="C2913" s="397"/>
      <c r="D2913" s="434"/>
      <c r="E2913" s="434"/>
      <c r="F2913" s="434"/>
      <c r="G2913" s="434"/>
      <c r="H2913" s="434"/>
      <c r="I2913" s="434"/>
      <c r="J2913" s="449"/>
      <c r="K2913" s="292"/>
      <c r="L2913" s="292"/>
      <c r="M2913" s="296"/>
      <c r="N2913" s="296"/>
      <c r="O2913" s="296"/>
      <c r="P2913" s="295"/>
      <c r="R2913" s="348" t="str">
        <f>R2912</f>
        <v>DELETE</v>
      </c>
      <c r="T2913" s="334"/>
    </row>
    <row r="2914" spans="3:20" ht="9" customHeight="1" x14ac:dyDescent="0.45">
      <c r="C2914" s="397"/>
      <c r="D2914" s="434"/>
      <c r="E2914" s="434"/>
      <c r="F2914" s="434"/>
      <c r="G2914" s="434"/>
      <c r="H2914" s="434"/>
      <c r="I2914" s="434"/>
      <c r="J2914" s="449"/>
      <c r="K2914" s="292"/>
      <c r="L2914" s="292"/>
      <c r="M2914" s="398"/>
      <c r="N2914" s="297"/>
      <c r="O2914" s="399"/>
      <c r="P2914" s="295"/>
      <c r="R2914" s="348" t="str">
        <f>R2913</f>
        <v>DELETE</v>
      </c>
      <c r="T2914" s="334"/>
    </row>
    <row r="2915" spans="3:20" ht="36" customHeight="1" x14ac:dyDescent="0.45">
      <c r="C2915" s="397"/>
      <c r="D2915" s="434" t="s">
        <v>199</v>
      </c>
      <c r="E2915" s="434"/>
      <c r="F2915" s="434"/>
      <c r="G2915" s="434"/>
      <c r="H2915" s="434"/>
      <c r="I2915" s="434"/>
      <c r="J2915" s="449"/>
      <c r="K2915" s="292"/>
      <c r="L2915" s="292"/>
      <c r="M2915" s="400">
        <f>SUM(TrialBalanceB!I99:I102)</f>
        <v>0</v>
      </c>
      <c r="N2915" s="296"/>
      <c r="O2915" s="401">
        <f>SUM(TrialBalanceB!K99:K102)</f>
        <v>0</v>
      </c>
      <c r="P2915" s="295"/>
      <c r="R2915" s="348" t="str">
        <f t="shared" ref="R2915:R2946" si="210">IF(R$2813="DELETE","DELETE",IF(M2915+O2915=0,"DELETE"," "))</f>
        <v>DELETE</v>
      </c>
      <c r="T2915" s="334"/>
    </row>
    <row r="2916" spans="3:20" ht="36" customHeight="1" x14ac:dyDescent="0.45">
      <c r="C2916" s="397"/>
      <c r="D2916" s="434" t="s">
        <v>203</v>
      </c>
      <c r="E2916" s="434"/>
      <c r="F2916" s="434"/>
      <c r="G2916" s="434"/>
      <c r="H2916" s="434"/>
      <c r="I2916" s="434"/>
      <c r="J2916" s="449"/>
      <c r="K2916" s="292"/>
      <c r="L2916" s="292"/>
      <c r="M2916" s="400">
        <f>TrialBalanceB!I104</f>
        <v>0</v>
      </c>
      <c r="N2916" s="296"/>
      <c r="O2916" s="401">
        <f>TrialBalanceB!K104</f>
        <v>0</v>
      </c>
      <c r="P2916" s="295"/>
      <c r="R2916" s="348" t="str">
        <f>IF(R$2813="DELETE","DELETE",IF(M2916+O2916=0,"DELETE"," "))</f>
        <v>DELETE</v>
      </c>
      <c r="T2916" s="334"/>
    </row>
    <row r="2917" spans="3:20" ht="36" customHeight="1" x14ac:dyDescent="0.45">
      <c r="C2917" s="397"/>
      <c r="D2917" s="434" t="s">
        <v>201</v>
      </c>
      <c r="E2917" s="434"/>
      <c r="F2917" s="434"/>
      <c r="G2917" s="434"/>
      <c r="H2917" s="434"/>
      <c r="I2917" s="434"/>
      <c r="J2917" s="449"/>
      <c r="K2917" s="292"/>
      <c r="L2917" s="292"/>
      <c r="M2917" s="400">
        <f>TrialBalanceB!I103</f>
        <v>0</v>
      </c>
      <c r="N2917" s="296"/>
      <c r="O2917" s="401">
        <f>TrialBalanceB!K103</f>
        <v>0</v>
      </c>
      <c r="P2917" s="295"/>
      <c r="R2917" s="348" t="str">
        <f>IF(R$2813="DELETE","DELETE",IF(M2917+O2917=0,"DELETE"," "))</f>
        <v>DELETE</v>
      </c>
      <c r="T2917" s="334"/>
    </row>
    <row r="2918" spans="3:20" ht="36" customHeight="1" x14ac:dyDescent="0.45">
      <c r="C2918" s="397"/>
      <c r="D2918" s="434" t="s">
        <v>240</v>
      </c>
      <c r="E2918" s="434"/>
      <c r="F2918" s="434"/>
      <c r="G2918" s="434"/>
      <c r="H2918" s="434"/>
      <c r="I2918" s="434"/>
      <c r="J2918" s="449"/>
      <c r="K2918" s="292"/>
      <c r="L2918" s="292"/>
      <c r="M2918" s="400">
        <f>TrialBalanceB!I105</f>
        <v>0</v>
      </c>
      <c r="N2918" s="296"/>
      <c r="O2918" s="401">
        <f>TrialBalanceB!K105</f>
        <v>0</v>
      </c>
      <c r="P2918" s="295"/>
      <c r="R2918" s="348" t="str">
        <f t="shared" si="210"/>
        <v>DELETE</v>
      </c>
      <c r="T2918" s="334"/>
    </row>
    <row r="2919" spans="3:20" ht="36" customHeight="1" x14ac:dyDescent="0.45">
      <c r="C2919" s="397"/>
      <c r="D2919" s="434" t="s">
        <v>206</v>
      </c>
      <c r="E2919" s="434"/>
      <c r="F2919" s="434"/>
      <c r="G2919" s="434"/>
      <c r="H2919" s="434"/>
      <c r="I2919" s="434"/>
      <c r="J2919" s="449"/>
      <c r="K2919" s="292"/>
      <c r="L2919" s="292"/>
      <c r="M2919" s="400">
        <f>TrialBalanceB!I106</f>
        <v>0</v>
      </c>
      <c r="N2919" s="296"/>
      <c r="O2919" s="401">
        <f>TrialBalanceB!K106</f>
        <v>0</v>
      </c>
      <c r="P2919" s="295"/>
      <c r="R2919" s="348" t="str">
        <f t="shared" si="210"/>
        <v>DELETE</v>
      </c>
      <c r="T2919" s="334"/>
    </row>
    <row r="2920" spans="3:20" ht="36" customHeight="1" x14ac:dyDescent="0.45">
      <c r="C2920" s="397"/>
      <c r="D2920" s="434" t="s">
        <v>680</v>
      </c>
      <c r="E2920" s="434"/>
      <c r="F2920" s="434"/>
      <c r="G2920" s="434"/>
      <c r="H2920" s="434"/>
      <c r="I2920" s="434"/>
      <c r="J2920" s="449"/>
      <c r="K2920" s="292"/>
      <c r="L2920" s="292"/>
      <c r="M2920" s="400">
        <f>TrialBalanceB!I107</f>
        <v>0</v>
      </c>
      <c r="N2920" s="296"/>
      <c r="O2920" s="401">
        <f>TrialBalanceB!K107</f>
        <v>0</v>
      </c>
      <c r="P2920" s="295"/>
      <c r="R2920" s="348" t="str">
        <f t="shared" si="210"/>
        <v>DELETE</v>
      </c>
      <c r="T2920" s="334"/>
    </row>
    <row r="2921" spans="3:20" ht="36" customHeight="1" x14ac:dyDescent="0.45">
      <c r="C2921" s="397"/>
      <c r="D2921" s="434" t="s">
        <v>1212</v>
      </c>
      <c r="E2921" s="434"/>
      <c r="F2921" s="434"/>
      <c r="G2921" s="434"/>
      <c r="H2921" s="434"/>
      <c r="I2921" s="434"/>
      <c r="J2921" s="449"/>
      <c r="K2921" s="292"/>
      <c r="L2921" s="292"/>
      <c r="M2921" s="400">
        <f>TrialBalanceB!I108</f>
        <v>0</v>
      </c>
      <c r="N2921" s="296"/>
      <c r="O2921" s="401">
        <f>TrialBalanceB!K108</f>
        <v>0</v>
      </c>
      <c r="P2921" s="295"/>
      <c r="R2921" s="348" t="str">
        <f t="shared" ref="R2921" si="211">IF(R$2813="DELETE","DELETE",IF(M2921+O2921=0,"DELETE"," "))</f>
        <v>DELETE</v>
      </c>
      <c r="T2921" s="334"/>
    </row>
    <row r="2922" spans="3:20" ht="36" customHeight="1" x14ac:dyDescent="0.45">
      <c r="C2922" s="397"/>
      <c r="D2922" s="434" t="s">
        <v>252</v>
      </c>
      <c r="E2922" s="434"/>
      <c r="F2922" s="434"/>
      <c r="G2922" s="434"/>
      <c r="H2922" s="434"/>
      <c r="I2922" s="434"/>
      <c r="J2922" s="449"/>
      <c r="K2922" s="292">
        <f>B$958</f>
        <v>5</v>
      </c>
      <c r="L2922" s="292"/>
      <c r="M2922" s="400">
        <f>SUM(TrialBalanceB!I110:I111)</f>
        <v>0</v>
      </c>
      <c r="N2922" s="296"/>
      <c r="O2922" s="401">
        <f>SUM(TrialBalanceB!K110:K111)</f>
        <v>0</v>
      </c>
      <c r="P2922" s="295"/>
      <c r="R2922" s="348" t="str">
        <f t="shared" si="210"/>
        <v>DELETE</v>
      </c>
      <c r="T2922" s="334"/>
    </row>
    <row r="2923" spans="3:20" ht="36" customHeight="1" x14ac:dyDescent="0.45">
      <c r="C2923" s="397"/>
      <c r="D2923" s="434" t="str">
        <f>IF(MAX(Criteria!I38:I42)&gt;1,"Directors' remuneration","Director's remuneration")</f>
        <v>Directors' remuneration</v>
      </c>
      <c r="E2923" s="434"/>
      <c r="F2923" s="434"/>
      <c r="G2923" s="434"/>
      <c r="H2923" s="434"/>
      <c r="I2923" s="434"/>
      <c r="J2923" s="449"/>
      <c r="K2923" s="292">
        <f>B$958</f>
        <v>5</v>
      </c>
      <c r="L2923" s="292"/>
      <c r="M2923" s="400">
        <f>SUM(TrialBalanceB!I113:I117)</f>
        <v>0</v>
      </c>
      <c r="N2923" s="296"/>
      <c r="O2923" s="401">
        <f>SUM(TrialBalanceB!K113:K117)</f>
        <v>0</v>
      </c>
      <c r="P2923" s="295"/>
      <c r="R2923" s="348" t="str">
        <f t="shared" si="210"/>
        <v>DELETE</v>
      </c>
      <c r="T2923" s="334"/>
    </row>
    <row r="2924" spans="3:20" ht="36" customHeight="1" x14ac:dyDescent="0.45">
      <c r="C2924" s="397"/>
      <c r="D2924" s="434" t="s">
        <v>241</v>
      </c>
      <c r="E2924" s="434"/>
      <c r="F2924" s="434"/>
      <c r="G2924" s="434"/>
      <c r="H2924" s="434"/>
      <c r="I2924" s="434"/>
      <c r="J2924" s="449"/>
      <c r="K2924" s="292"/>
      <c r="L2924" s="292"/>
      <c r="M2924" s="400">
        <f>TrialBalanceB!I118</f>
        <v>0</v>
      </c>
      <c r="N2924" s="296"/>
      <c r="O2924" s="401">
        <f>TrialBalanceB!K118</f>
        <v>0</v>
      </c>
      <c r="P2924" s="295"/>
      <c r="R2924" s="348" t="str">
        <f t="shared" si="210"/>
        <v>DELETE</v>
      </c>
      <c r="T2924" s="334"/>
    </row>
    <row r="2925" spans="3:20" ht="36" customHeight="1" x14ac:dyDescent="0.45">
      <c r="C2925" s="397"/>
      <c r="D2925" s="434" t="s">
        <v>344</v>
      </c>
      <c r="E2925" s="434"/>
      <c r="F2925" s="434"/>
      <c r="G2925" s="434"/>
      <c r="H2925" s="434"/>
      <c r="I2925" s="434"/>
      <c r="J2925" s="449"/>
      <c r="K2925" s="292"/>
      <c r="L2925" s="292"/>
      <c r="M2925" s="400">
        <f>TrialBalanceB!I119</f>
        <v>0</v>
      </c>
      <c r="N2925" s="296"/>
      <c r="O2925" s="401">
        <f>TrialBalanceB!K119</f>
        <v>0</v>
      </c>
      <c r="P2925" s="295"/>
      <c r="R2925" s="348" t="str">
        <f t="shared" si="210"/>
        <v>DELETE</v>
      </c>
      <c r="T2925" s="334"/>
    </row>
    <row r="2926" spans="3:20" ht="36" customHeight="1" x14ac:dyDescent="0.45">
      <c r="C2926" s="397"/>
      <c r="D2926" s="434" t="s">
        <v>305</v>
      </c>
      <c r="E2926" s="434"/>
      <c r="F2926" s="434"/>
      <c r="G2926" s="434"/>
      <c r="H2926" s="434"/>
      <c r="I2926" s="434"/>
      <c r="J2926" s="449"/>
      <c r="K2926" s="292"/>
      <c r="L2926" s="292"/>
      <c r="M2926" s="400">
        <f>TrialBalanceB!I120</f>
        <v>0</v>
      </c>
      <c r="N2926" s="296"/>
      <c r="O2926" s="401">
        <f>TrialBalanceB!K120</f>
        <v>0</v>
      </c>
      <c r="P2926" s="295"/>
      <c r="R2926" s="348" t="str">
        <f t="shared" si="210"/>
        <v>DELETE</v>
      </c>
      <c r="T2926" s="334"/>
    </row>
    <row r="2927" spans="3:20" ht="36" customHeight="1" x14ac:dyDescent="0.45">
      <c r="C2927" s="397"/>
      <c r="D2927" s="434" t="s">
        <v>346</v>
      </c>
      <c r="E2927" s="434"/>
      <c r="F2927" s="434"/>
      <c r="G2927" s="434"/>
      <c r="H2927" s="434"/>
      <c r="I2927" s="434"/>
      <c r="J2927" s="449"/>
      <c r="K2927" s="292"/>
      <c r="L2927" s="292"/>
      <c r="M2927" s="400">
        <f>TrialBalanceB!I121</f>
        <v>0</v>
      </c>
      <c r="N2927" s="296"/>
      <c r="O2927" s="401">
        <f>TrialBalanceB!K121</f>
        <v>0</v>
      </c>
      <c r="P2927" s="295"/>
      <c r="R2927" s="348" t="str">
        <f t="shared" si="210"/>
        <v>DELETE</v>
      </c>
      <c r="T2927" s="334"/>
    </row>
    <row r="2928" spans="3:20" ht="36" customHeight="1" x14ac:dyDescent="0.45">
      <c r="C2928" s="397"/>
      <c r="D2928" s="434" t="s">
        <v>921</v>
      </c>
      <c r="E2928" s="434"/>
      <c r="F2928" s="434"/>
      <c r="G2928" s="434"/>
      <c r="H2928" s="434"/>
      <c r="I2928" s="434"/>
      <c r="J2928" s="449"/>
      <c r="K2928" s="292"/>
      <c r="L2928" s="292"/>
      <c r="M2928" s="400">
        <f>TrialBalanceB!I156</f>
        <v>0</v>
      </c>
      <c r="N2928" s="296"/>
      <c r="O2928" s="401">
        <f>TrialBalanceB!K156</f>
        <v>0</v>
      </c>
      <c r="P2928" s="295"/>
      <c r="R2928" s="348" t="str">
        <f>IF(R$2813="DELETE","DELETE",IF(M2928+O2928=0,"DELETE"," "))</f>
        <v>DELETE</v>
      </c>
      <c r="T2928" s="334"/>
    </row>
    <row r="2929" spans="3:20" ht="36" customHeight="1" x14ac:dyDescent="0.45">
      <c r="C2929" s="397"/>
      <c r="D2929" s="434" t="s">
        <v>490</v>
      </c>
      <c r="E2929" s="434"/>
      <c r="F2929" s="434"/>
      <c r="G2929" s="434"/>
      <c r="H2929" s="434"/>
      <c r="I2929" s="434"/>
      <c r="J2929" s="449"/>
      <c r="K2929" s="292"/>
      <c r="L2929" s="292"/>
      <c r="M2929" s="400">
        <f>TrialBalanceB!I122+TrialBalanceB!I123</f>
        <v>0</v>
      </c>
      <c r="N2929" s="296"/>
      <c r="O2929" s="401">
        <f>TrialBalanceB!K122+TrialBalanceB!K123</f>
        <v>0</v>
      </c>
      <c r="P2929" s="295"/>
      <c r="R2929" s="348" t="str">
        <f t="shared" si="210"/>
        <v>DELETE</v>
      </c>
      <c r="T2929" s="334"/>
    </row>
    <row r="2930" spans="3:20" ht="36" customHeight="1" x14ac:dyDescent="0.45">
      <c r="C2930" s="397"/>
      <c r="D2930" s="434" t="s">
        <v>512</v>
      </c>
      <c r="E2930" s="434"/>
      <c r="F2930" s="434"/>
      <c r="G2930" s="434"/>
      <c r="H2930" s="434"/>
      <c r="I2930" s="434"/>
      <c r="J2930" s="449"/>
      <c r="K2930" s="292"/>
      <c r="L2930" s="292"/>
      <c r="M2930" s="400">
        <f>IF(TrialBalanceB!I94&gt;0,TrialBalanceB!I94,0)</f>
        <v>0</v>
      </c>
      <c r="N2930" s="296"/>
      <c r="O2930" s="401">
        <f>IF(TrialBalanceB!K94&gt;0,TrialBalanceB!K94,0)</f>
        <v>0</v>
      </c>
      <c r="P2930" s="295"/>
      <c r="R2930" s="348" t="str">
        <f>IF(R$2813="DELETE","DELETE",IF(M2930+O2930=0,"DELETE"," "))</f>
        <v>DELETE</v>
      </c>
      <c r="T2930" s="334"/>
    </row>
    <row r="2931" spans="3:20" ht="36" customHeight="1" x14ac:dyDescent="0.45">
      <c r="C2931" s="397"/>
      <c r="D2931" s="434" t="s">
        <v>681</v>
      </c>
      <c r="E2931" s="434"/>
      <c r="F2931" s="434"/>
      <c r="G2931" s="434"/>
      <c r="H2931" s="434"/>
      <c r="I2931" s="434"/>
      <c r="J2931" s="449"/>
      <c r="K2931" s="292"/>
      <c r="L2931" s="292"/>
      <c r="M2931" s="400">
        <f>TrialBalanceB!I124</f>
        <v>0</v>
      </c>
      <c r="N2931" s="296"/>
      <c r="O2931" s="401">
        <f>TrialBalanceB!K124</f>
        <v>0</v>
      </c>
      <c r="P2931" s="295"/>
      <c r="R2931" s="348" t="str">
        <f>IF(R$2813="DELETE","DELETE",IF(M2931+O2931=0,"DELETE"," "))</f>
        <v>DELETE</v>
      </c>
      <c r="T2931" s="334"/>
    </row>
    <row r="2932" spans="3:20" ht="36" customHeight="1" x14ac:dyDescent="0.45">
      <c r="C2932" s="397"/>
      <c r="D2932" s="434" t="s">
        <v>242</v>
      </c>
      <c r="E2932" s="434"/>
      <c r="F2932" s="434"/>
      <c r="G2932" s="434"/>
      <c r="H2932" s="434"/>
      <c r="I2932" s="434"/>
      <c r="J2932" s="449"/>
      <c r="K2932" s="292"/>
      <c r="L2932" s="292"/>
      <c r="M2932" s="400">
        <f>TrialBalanceB!I125</f>
        <v>0</v>
      </c>
      <c r="N2932" s="296"/>
      <c r="O2932" s="401">
        <f>TrialBalanceB!K125</f>
        <v>0</v>
      </c>
      <c r="P2932" s="295"/>
      <c r="R2932" s="348" t="str">
        <f t="shared" si="210"/>
        <v>DELETE</v>
      </c>
      <c r="T2932" s="334"/>
    </row>
    <row r="2933" spans="3:20" ht="36" customHeight="1" x14ac:dyDescent="0.45">
      <c r="C2933" s="397"/>
      <c r="D2933" s="434" t="s">
        <v>235</v>
      </c>
      <c r="E2933" s="434"/>
      <c r="F2933" s="434"/>
      <c r="G2933" s="434"/>
      <c r="H2933" s="434"/>
      <c r="I2933" s="434"/>
      <c r="J2933" s="449"/>
      <c r="K2933" s="292"/>
      <c r="L2933" s="292"/>
      <c r="M2933" s="400">
        <f>SUM(TrialBalanceB!I126:I127)</f>
        <v>0</v>
      </c>
      <c r="N2933" s="296"/>
      <c r="O2933" s="401">
        <f>SUM(TrialBalanceB!K126:K127)</f>
        <v>0</v>
      </c>
      <c r="P2933" s="295"/>
      <c r="R2933" s="348" t="str">
        <f t="shared" si="210"/>
        <v>DELETE</v>
      </c>
      <c r="T2933" s="334"/>
    </row>
    <row r="2934" spans="3:20" ht="36" customHeight="1" x14ac:dyDescent="0.45">
      <c r="C2934" s="397"/>
      <c r="D2934" s="434" t="s">
        <v>243</v>
      </c>
      <c r="E2934" s="434"/>
      <c r="F2934" s="434"/>
      <c r="G2934" s="434"/>
      <c r="H2934" s="434"/>
      <c r="I2934" s="434"/>
      <c r="J2934" s="449"/>
      <c r="K2934" s="292"/>
      <c r="L2934" s="292"/>
      <c r="M2934" s="400">
        <f>TrialBalanceB!I128</f>
        <v>0</v>
      </c>
      <c r="N2934" s="296"/>
      <c r="O2934" s="401">
        <f>TrialBalanceB!K128</f>
        <v>0</v>
      </c>
      <c r="P2934" s="295"/>
      <c r="R2934" s="348" t="str">
        <f t="shared" si="210"/>
        <v>DELETE</v>
      </c>
      <c r="T2934" s="334"/>
    </row>
    <row r="2935" spans="3:20" ht="36" customHeight="1" x14ac:dyDescent="0.45">
      <c r="C2935" s="397"/>
      <c r="D2935" s="434" t="s">
        <v>682</v>
      </c>
      <c r="E2935" s="434"/>
      <c r="F2935" s="434"/>
      <c r="G2935" s="434"/>
      <c r="H2935" s="434"/>
      <c r="I2935" s="434"/>
      <c r="J2935" s="449"/>
      <c r="K2935" s="292"/>
      <c r="L2935" s="292"/>
      <c r="M2935" s="400">
        <f>TrialBalanceB!I129</f>
        <v>0</v>
      </c>
      <c r="N2935" s="296"/>
      <c r="O2935" s="401">
        <f>TrialBalanceB!K129</f>
        <v>0</v>
      </c>
      <c r="P2935" s="295"/>
      <c r="R2935" s="348" t="str">
        <f t="shared" si="210"/>
        <v>DELETE</v>
      </c>
      <c r="T2935" s="334"/>
    </row>
    <row r="2936" spans="3:20" ht="36" customHeight="1" x14ac:dyDescent="0.45">
      <c r="C2936" s="397"/>
      <c r="D2936" s="434" t="s">
        <v>74</v>
      </c>
      <c r="E2936" s="434"/>
      <c r="F2936" s="434"/>
      <c r="G2936" s="434"/>
      <c r="H2936" s="434"/>
      <c r="I2936" s="434"/>
      <c r="J2936" s="449"/>
      <c r="K2936" s="292"/>
      <c r="L2936" s="292"/>
      <c r="M2936" s="400">
        <f>TrialBalanceB!I130</f>
        <v>0</v>
      </c>
      <c r="N2936" s="296"/>
      <c r="O2936" s="401">
        <f>TrialBalanceB!K130</f>
        <v>0</v>
      </c>
      <c r="P2936" s="295"/>
      <c r="R2936" s="348" t="str">
        <f t="shared" si="210"/>
        <v>DELETE</v>
      </c>
      <c r="T2936" s="334"/>
    </row>
    <row r="2937" spans="3:20" ht="36" customHeight="1" x14ac:dyDescent="0.45">
      <c r="C2937" s="397"/>
      <c r="D2937" s="434">
        <f>TrialBalanceB!C131</f>
        <v>0</v>
      </c>
      <c r="E2937" s="434"/>
      <c r="F2937" s="434"/>
      <c r="G2937" s="434"/>
      <c r="H2937" s="434"/>
      <c r="I2937" s="434"/>
      <c r="J2937" s="449"/>
      <c r="K2937" s="292"/>
      <c r="L2937" s="292"/>
      <c r="M2937" s="400">
        <f>TrialBalanceB!I131</f>
        <v>0</v>
      </c>
      <c r="N2937" s="296"/>
      <c r="O2937" s="401">
        <f>TrialBalanceB!K131</f>
        <v>0</v>
      </c>
      <c r="P2937" s="295"/>
      <c r="R2937" s="348" t="str">
        <f t="shared" si="210"/>
        <v>DELETE</v>
      </c>
      <c r="T2937" s="334"/>
    </row>
    <row r="2938" spans="3:20" ht="36" customHeight="1" x14ac:dyDescent="0.45">
      <c r="C2938" s="397"/>
      <c r="D2938" s="434">
        <f>TrialBalanceB!C132</f>
        <v>0</v>
      </c>
      <c r="E2938" s="434"/>
      <c r="F2938" s="434"/>
      <c r="G2938" s="434"/>
      <c r="H2938" s="434"/>
      <c r="I2938" s="434"/>
      <c r="J2938" s="449"/>
      <c r="K2938" s="292"/>
      <c r="L2938" s="292"/>
      <c r="M2938" s="400">
        <f>TrialBalanceB!I132</f>
        <v>0</v>
      </c>
      <c r="N2938" s="296"/>
      <c r="O2938" s="401">
        <f>TrialBalanceB!K132</f>
        <v>0</v>
      </c>
      <c r="P2938" s="295"/>
      <c r="R2938" s="348" t="str">
        <f t="shared" si="210"/>
        <v>DELETE</v>
      </c>
      <c r="T2938" s="334"/>
    </row>
    <row r="2939" spans="3:20" ht="36" customHeight="1" x14ac:dyDescent="0.45">
      <c r="C2939" s="397"/>
      <c r="D2939" s="434">
        <f>TrialBalanceB!C133</f>
        <v>0</v>
      </c>
      <c r="E2939" s="434"/>
      <c r="F2939" s="434"/>
      <c r="G2939" s="434"/>
      <c r="H2939" s="434"/>
      <c r="I2939" s="434"/>
      <c r="J2939" s="449"/>
      <c r="K2939" s="292"/>
      <c r="L2939" s="292"/>
      <c r="M2939" s="400">
        <f>TrialBalanceB!I133</f>
        <v>0</v>
      </c>
      <c r="N2939" s="296"/>
      <c r="O2939" s="401">
        <f>TrialBalanceB!K133</f>
        <v>0</v>
      </c>
      <c r="P2939" s="295"/>
      <c r="R2939" s="348" t="str">
        <f t="shared" si="210"/>
        <v>DELETE</v>
      </c>
      <c r="T2939" s="334"/>
    </row>
    <row r="2940" spans="3:20" ht="36" customHeight="1" x14ac:dyDescent="0.45">
      <c r="C2940" s="397"/>
      <c r="D2940" s="434">
        <f>TrialBalanceB!C134</f>
        <v>0</v>
      </c>
      <c r="E2940" s="434"/>
      <c r="F2940" s="434"/>
      <c r="G2940" s="434"/>
      <c r="H2940" s="434"/>
      <c r="I2940" s="434"/>
      <c r="J2940" s="449"/>
      <c r="K2940" s="292"/>
      <c r="L2940" s="292"/>
      <c r="M2940" s="400">
        <f>TrialBalanceB!I134</f>
        <v>0</v>
      </c>
      <c r="N2940" s="296"/>
      <c r="O2940" s="401">
        <f>TrialBalanceB!K134</f>
        <v>0</v>
      </c>
      <c r="P2940" s="295"/>
      <c r="R2940" s="348" t="str">
        <f t="shared" si="210"/>
        <v>DELETE</v>
      </c>
      <c r="T2940" s="334"/>
    </row>
    <row r="2941" spans="3:20" ht="36" customHeight="1" x14ac:dyDescent="0.45">
      <c r="C2941" s="397"/>
      <c r="D2941" s="434">
        <f>TrialBalanceB!C135</f>
        <v>0</v>
      </c>
      <c r="E2941" s="434"/>
      <c r="F2941" s="434"/>
      <c r="G2941" s="434"/>
      <c r="H2941" s="434"/>
      <c r="I2941" s="434"/>
      <c r="J2941" s="449"/>
      <c r="K2941" s="292"/>
      <c r="L2941" s="292"/>
      <c r="M2941" s="400">
        <f>TrialBalanceB!I135</f>
        <v>0</v>
      </c>
      <c r="N2941" s="296"/>
      <c r="O2941" s="401">
        <f>TrialBalanceB!K135</f>
        <v>0</v>
      </c>
      <c r="P2941" s="295"/>
      <c r="R2941" s="348" t="str">
        <f t="shared" si="210"/>
        <v>DELETE</v>
      </c>
      <c r="T2941" s="334"/>
    </row>
    <row r="2942" spans="3:20" ht="36" customHeight="1" x14ac:dyDescent="0.45">
      <c r="C2942" s="397"/>
      <c r="D2942" s="434">
        <f>TrialBalanceB!C136</f>
        <v>0</v>
      </c>
      <c r="E2942" s="434"/>
      <c r="F2942" s="434"/>
      <c r="G2942" s="434"/>
      <c r="H2942" s="434"/>
      <c r="I2942" s="434"/>
      <c r="J2942" s="449"/>
      <c r="K2942" s="292"/>
      <c r="L2942" s="292"/>
      <c r="M2942" s="400">
        <f>TrialBalanceB!I136</f>
        <v>0</v>
      </c>
      <c r="N2942" s="296"/>
      <c r="O2942" s="401">
        <f>TrialBalanceB!K136</f>
        <v>0</v>
      </c>
      <c r="P2942" s="295"/>
      <c r="R2942" s="348" t="str">
        <f t="shared" si="210"/>
        <v>DELETE</v>
      </c>
      <c r="T2942" s="334"/>
    </row>
    <row r="2943" spans="3:20" ht="36" customHeight="1" x14ac:dyDescent="0.45">
      <c r="C2943" s="397"/>
      <c r="D2943" s="434">
        <f>TrialBalanceB!C137</f>
        <v>0</v>
      </c>
      <c r="E2943" s="434"/>
      <c r="F2943" s="434"/>
      <c r="G2943" s="434"/>
      <c r="H2943" s="434"/>
      <c r="I2943" s="434"/>
      <c r="J2943" s="449"/>
      <c r="K2943" s="292"/>
      <c r="L2943" s="292"/>
      <c r="M2943" s="400">
        <f>TrialBalanceB!I137</f>
        <v>0</v>
      </c>
      <c r="N2943" s="296"/>
      <c r="O2943" s="401">
        <f>TrialBalanceB!K137</f>
        <v>0</v>
      </c>
      <c r="P2943" s="295"/>
      <c r="R2943" s="348" t="str">
        <f t="shared" si="210"/>
        <v>DELETE</v>
      </c>
      <c r="T2943" s="334"/>
    </row>
    <row r="2944" spans="3:20" ht="36" customHeight="1" x14ac:dyDescent="0.45">
      <c r="C2944" s="397"/>
      <c r="D2944" s="434">
        <f>TrialBalanceB!C138</f>
        <v>0</v>
      </c>
      <c r="E2944" s="434"/>
      <c r="F2944" s="434"/>
      <c r="G2944" s="434"/>
      <c r="H2944" s="434"/>
      <c r="I2944" s="434"/>
      <c r="J2944" s="449"/>
      <c r="K2944" s="292"/>
      <c r="L2944" s="292"/>
      <c r="M2944" s="400">
        <f>TrialBalanceB!I138</f>
        <v>0</v>
      </c>
      <c r="N2944" s="296"/>
      <c r="O2944" s="401">
        <f>TrialBalanceB!K138</f>
        <v>0</v>
      </c>
      <c r="P2944" s="295"/>
      <c r="R2944" s="348" t="str">
        <f t="shared" si="210"/>
        <v>DELETE</v>
      </c>
      <c r="T2944" s="334"/>
    </row>
    <row r="2945" spans="3:26" ht="36" customHeight="1" x14ac:dyDescent="0.45">
      <c r="C2945" s="397"/>
      <c r="D2945" s="434">
        <f>TrialBalanceB!C139</f>
        <v>0</v>
      </c>
      <c r="E2945" s="434"/>
      <c r="F2945" s="434"/>
      <c r="G2945" s="434"/>
      <c r="H2945" s="434"/>
      <c r="I2945" s="434"/>
      <c r="J2945" s="449"/>
      <c r="K2945" s="292"/>
      <c r="L2945" s="292"/>
      <c r="M2945" s="400">
        <f>TrialBalanceB!I139</f>
        <v>0</v>
      </c>
      <c r="N2945" s="296"/>
      <c r="O2945" s="401">
        <f>TrialBalanceB!K139</f>
        <v>0</v>
      </c>
      <c r="P2945" s="295"/>
      <c r="R2945" s="348" t="str">
        <f t="shared" si="210"/>
        <v>DELETE</v>
      </c>
      <c r="T2945" s="334"/>
    </row>
    <row r="2946" spans="3:26" ht="36" customHeight="1" x14ac:dyDescent="0.45">
      <c r="C2946" s="397"/>
      <c r="D2946" s="434" t="str">
        <f>TrialBalanceB!C140</f>
        <v>Amortisation of prepaid lease agreement</v>
      </c>
      <c r="E2946" s="434"/>
      <c r="F2946" s="434"/>
      <c r="G2946" s="434"/>
      <c r="H2946" s="434"/>
      <c r="I2946" s="434"/>
      <c r="J2946" s="449"/>
      <c r="K2946" s="292"/>
      <c r="L2946" s="292"/>
      <c r="M2946" s="400">
        <f>TrialBalanceB!I140</f>
        <v>0</v>
      </c>
      <c r="N2946" s="296"/>
      <c r="O2946" s="401">
        <f>TrialBalanceB!K140</f>
        <v>0</v>
      </c>
      <c r="P2946" s="295"/>
      <c r="R2946" s="348" t="str">
        <f t="shared" si="210"/>
        <v>DELETE</v>
      </c>
      <c r="T2946" s="334"/>
    </row>
    <row r="2947" spans="3:26" ht="36" customHeight="1" x14ac:dyDescent="0.45">
      <c r="C2947" s="397"/>
      <c r="D2947" s="434" t="str">
        <f>TrialBalanceB!C141</f>
        <v>Amortisation of goodwill</v>
      </c>
      <c r="E2947" s="434"/>
      <c r="F2947" s="434"/>
      <c r="G2947" s="434"/>
      <c r="H2947" s="434"/>
      <c r="I2947" s="434"/>
      <c r="J2947" s="449"/>
      <c r="K2947" s="292"/>
      <c r="L2947" s="292"/>
      <c r="M2947" s="400">
        <f>TrialBalanceB!I141</f>
        <v>0</v>
      </c>
      <c r="N2947" s="296"/>
      <c r="O2947" s="401">
        <f>TrialBalanceB!K141</f>
        <v>0</v>
      </c>
      <c r="P2947" s="295"/>
      <c r="R2947" s="348" t="str">
        <f t="shared" ref="R2947" si="212">IF(R$2813="DELETE","DELETE",IF(M2947+O2947=0,"DELETE"," "))</f>
        <v>DELETE</v>
      </c>
      <c r="T2947" s="334"/>
    </row>
    <row r="2948" spans="3:26" ht="9" customHeight="1" x14ac:dyDescent="0.45">
      <c r="C2948" s="397"/>
      <c r="D2948" s="434"/>
      <c r="E2948" s="434"/>
      <c r="F2948" s="434"/>
      <c r="G2948" s="434"/>
      <c r="H2948" s="434"/>
      <c r="I2948" s="434"/>
      <c r="J2948" s="449"/>
      <c r="K2948" s="292"/>
      <c r="L2948" s="292"/>
      <c r="M2948" s="402"/>
      <c r="N2948" s="298"/>
      <c r="O2948" s="403"/>
      <c r="P2948" s="295"/>
      <c r="R2948" s="348" t="str">
        <f>R2912</f>
        <v>DELETE</v>
      </c>
      <c r="T2948" s="334"/>
    </row>
    <row r="2949" spans="3:26" ht="9" customHeight="1" x14ac:dyDescent="0.45">
      <c r="C2949" s="397"/>
      <c r="D2949" s="434"/>
      <c r="E2949" s="434"/>
      <c r="F2949" s="434"/>
      <c r="G2949" s="434"/>
      <c r="H2949" s="434"/>
      <c r="I2949" s="434"/>
      <c r="J2949" s="449"/>
      <c r="K2949" s="292"/>
      <c r="L2949" s="292"/>
      <c r="M2949" s="298"/>
      <c r="N2949" s="298"/>
      <c r="O2949" s="298"/>
      <c r="P2949" s="295"/>
      <c r="R2949" s="348" t="str">
        <f t="shared" ref="R2949:R2952" si="213">R$2813</f>
        <v>DELETE</v>
      </c>
      <c r="T2949" s="334"/>
    </row>
    <row r="2950" spans="3:26" ht="9" customHeight="1" x14ac:dyDescent="0.45">
      <c r="C2950" s="397"/>
      <c r="D2950" s="434"/>
      <c r="E2950" s="434"/>
      <c r="F2950" s="434"/>
      <c r="G2950" s="434"/>
      <c r="H2950" s="434"/>
      <c r="I2950" s="434"/>
      <c r="J2950" s="449"/>
      <c r="K2950" s="292"/>
      <c r="L2950" s="292"/>
      <c r="M2950" s="296"/>
      <c r="N2950" s="296"/>
      <c r="O2950" s="296"/>
      <c r="P2950" s="295"/>
      <c r="R2950" s="348" t="str">
        <f t="shared" si="213"/>
        <v>DELETE</v>
      </c>
      <c r="T2950" s="334"/>
    </row>
    <row r="2951" spans="3:26" ht="36" customHeight="1" x14ac:dyDescent="0.45">
      <c r="D2951" s="446" t="str">
        <f>IF((Y2951+Z2951)=3,"Operating profit/(loss) for the year",(IF((Y2951+Z2951=4),"Operating profit for the year","Operating loss for the year")))</f>
        <v>Operating profit for the year</v>
      </c>
      <c r="E2951" s="434"/>
      <c r="F2951" s="434"/>
      <c r="G2951" s="434"/>
      <c r="H2951" s="434"/>
      <c r="I2951" s="434"/>
      <c r="J2951" s="449"/>
      <c r="K2951" s="292">
        <f>FS!B958</f>
        <v>5</v>
      </c>
      <c r="L2951" s="292"/>
      <c r="M2951" s="296">
        <f>SUM(S2825:S2948)</f>
        <v>0</v>
      </c>
      <c r="N2951" s="296"/>
      <c r="O2951" s="296">
        <f>SUM(U2825:U2948)</f>
        <v>0</v>
      </c>
      <c r="P2951" s="295"/>
      <c r="R2951" s="348" t="str">
        <f t="shared" si="213"/>
        <v>DELETE</v>
      </c>
      <c r="T2951" s="334"/>
      <c r="Y2951" s="331">
        <f>IF(M2951&lt;0,1,IF(M2951=0,IF(O2951&lt;0,1,2),2))</f>
        <v>2</v>
      </c>
      <c r="Z2951" s="331">
        <f>IF(O2951&lt;0,1,IF(O2951=0,IF(M2951&lt;0,1,2),2))</f>
        <v>2</v>
      </c>
    </row>
    <row r="2952" spans="3:26" ht="36" customHeight="1" x14ac:dyDescent="0.45">
      <c r="C2952" s="397"/>
      <c r="D2952" s="434"/>
      <c r="E2952" s="434"/>
      <c r="F2952" s="434"/>
      <c r="G2952" s="434"/>
      <c r="H2952" s="434"/>
      <c r="I2952" s="434"/>
      <c r="J2952" s="449"/>
      <c r="K2952" s="292"/>
      <c r="L2952" s="292"/>
      <c r="M2952" s="296"/>
      <c r="N2952" s="296"/>
      <c r="O2952" s="296"/>
      <c r="P2952" s="295"/>
      <c r="R2952" s="348" t="str">
        <f t="shared" si="213"/>
        <v>DELETE</v>
      </c>
      <c r="T2952" s="334"/>
    </row>
    <row r="2953" spans="3:26" ht="36" customHeight="1" x14ac:dyDescent="0.45">
      <c r="D2953" s="433" t="s">
        <v>191</v>
      </c>
      <c r="E2953" s="434"/>
      <c r="F2953" s="434"/>
      <c r="G2953" s="434"/>
      <c r="H2953" s="434"/>
      <c r="I2953" s="434"/>
      <c r="J2953" s="449"/>
      <c r="K2953" s="292">
        <f>FS!B1072</f>
        <v>6</v>
      </c>
      <c r="L2953" s="292"/>
      <c r="M2953" s="296">
        <f>SUM(M2956:M2963)</f>
        <v>0</v>
      </c>
      <c r="N2953" s="296"/>
      <c r="O2953" s="296">
        <f>SUM(O2956:O2963)</f>
        <v>0</v>
      </c>
      <c r="P2953" s="295"/>
      <c r="R2953" s="348" t="str">
        <f t="shared" ref="R2953" si="214">IF(R$2813="DELETE","DELETE",IF(M2953+O2953=0,"DELETE"," "))</f>
        <v>DELETE</v>
      </c>
      <c r="S2953" s="333">
        <f>M2953</f>
        <v>0</v>
      </c>
      <c r="T2953" s="334"/>
      <c r="U2953" s="333">
        <f>O2953</f>
        <v>0</v>
      </c>
      <c r="V2953" s="333"/>
      <c r="W2953" s="333"/>
      <c r="X2953" s="333"/>
    </row>
    <row r="2954" spans="3:26" ht="9" customHeight="1" x14ac:dyDescent="0.45">
      <c r="C2954" s="397"/>
      <c r="D2954" s="434"/>
      <c r="E2954" s="434"/>
      <c r="F2954" s="434"/>
      <c r="G2954" s="434"/>
      <c r="H2954" s="434"/>
      <c r="I2954" s="434"/>
      <c r="J2954" s="449"/>
      <c r="K2954" s="292"/>
      <c r="L2954" s="292"/>
      <c r="M2954" s="296"/>
      <c r="N2954" s="296"/>
      <c r="O2954" s="296"/>
      <c r="P2954" s="295"/>
      <c r="R2954" s="348" t="str">
        <f>R2953</f>
        <v>DELETE</v>
      </c>
      <c r="T2954" s="334"/>
    </row>
    <row r="2955" spans="3:26" ht="9" customHeight="1" x14ac:dyDescent="0.45">
      <c r="C2955" s="397"/>
      <c r="D2955" s="434"/>
      <c r="E2955" s="434"/>
      <c r="F2955" s="434"/>
      <c r="G2955" s="434"/>
      <c r="H2955" s="434"/>
      <c r="I2955" s="434"/>
      <c r="J2955" s="449"/>
      <c r="K2955" s="292"/>
      <c r="L2955" s="292"/>
      <c r="M2955" s="398"/>
      <c r="N2955" s="297"/>
      <c r="O2955" s="399"/>
      <c r="P2955" s="295"/>
      <c r="R2955" s="348" t="str">
        <f>R2954</f>
        <v>DELETE</v>
      </c>
      <c r="T2955" s="334"/>
    </row>
    <row r="2956" spans="3:26" ht="36" customHeight="1" x14ac:dyDescent="0.45">
      <c r="C2956" s="397"/>
      <c r="D2956" s="434" t="s">
        <v>189</v>
      </c>
      <c r="E2956" s="434"/>
      <c r="F2956" s="434"/>
      <c r="G2956" s="434"/>
      <c r="H2956" s="434"/>
      <c r="I2956" s="434"/>
      <c r="J2956" s="449"/>
      <c r="K2956" s="292"/>
      <c r="L2956" s="292"/>
      <c r="M2956" s="400">
        <f>-TrialBalanceB!I95</f>
        <v>0</v>
      </c>
      <c r="N2956" s="296"/>
      <c r="O2956" s="401">
        <f>-TrialBalanceB!K95</f>
        <v>0</v>
      </c>
      <c r="P2956" s="295"/>
      <c r="R2956" s="348" t="str">
        <f t="shared" ref="R2956:R2961" si="215">IF(R$2813="DELETE","DELETE",IF(M2956+O2956=0,"DELETE"," "))</f>
        <v>DELETE</v>
      </c>
      <c r="T2956" s="334"/>
    </row>
    <row r="2957" spans="3:26" ht="36" customHeight="1" x14ac:dyDescent="0.45">
      <c r="C2957" s="397"/>
      <c r="D2957" s="434" t="s">
        <v>496</v>
      </c>
      <c r="E2957" s="434"/>
      <c r="F2957" s="434"/>
      <c r="G2957" s="434"/>
      <c r="H2957" s="434"/>
      <c r="I2957" s="434"/>
      <c r="J2957" s="449"/>
      <c r="K2957" s="292"/>
      <c r="L2957" s="292"/>
      <c r="M2957" s="400">
        <f>-SUM(TrialBalanceB!I91:I93)</f>
        <v>0</v>
      </c>
      <c r="N2957" s="296"/>
      <c r="O2957" s="401">
        <f>-SUM(TrialBalanceB!K91:K93)</f>
        <v>0</v>
      </c>
      <c r="P2957" s="295"/>
      <c r="R2957" s="348" t="str">
        <f t="shared" si="215"/>
        <v>DELETE</v>
      </c>
      <c r="T2957" s="334"/>
    </row>
    <row r="2958" spans="3:26" ht="36" customHeight="1" x14ac:dyDescent="0.45">
      <c r="C2958" s="397"/>
      <c r="D2958" s="434" t="s">
        <v>497</v>
      </c>
      <c r="E2958" s="434"/>
      <c r="F2958" s="434"/>
      <c r="G2958" s="434"/>
      <c r="H2958" s="434"/>
      <c r="I2958" s="434"/>
      <c r="J2958" s="449"/>
      <c r="K2958" s="292"/>
      <c r="L2958" s="292"/>
      <c r="M2958" s="417">
        <f>-SUM(TrialBalanceB!I86:I89)</f>
        <v>0</v>
      </c>
      <c r="N2958" s="302"/>
      <c r="O2958" s="418">
        <f>-SUM(TrialBalanceB!K86:K89)</f>
        <v>0</v>
      </c>
      <c r="P2958" s="295"/>
      <c r="R2958" s="348" t="str">
        <f t="shared" si="215"/>
        <v>DELETE</v>
      </c>
      <c r="T2958" s="334"/>
    </row>
    <row r="2959" spans="3:26" ht="36" customHeight="1" x14ac:dyDescent="0.45">
      <c r="C2959" s="397"/>
      <c r="D2959" s="434" t="s">
        <v>191</v>
      </c>
      <c r="E2959" s="434"/>
      <c r="F2959" s="434"/>
      <c r="G2959" s="434"/>
      <c r="H2959" s="434"/>
      <c r="I2959" s="434"/>
      <c r="J2959" s="449"/>
      <c r="K2959" s="292"/>
      <c r="L2959" s="292"/>
      <c r="M2959" s="417">
        <f>-SUM(TrialBalanceB!I96)</f>
        <v>0</v>
      </c>
      <c r="N2959" s="302"/>
      <c r="O2959" s="418">
        <f>-TrialBalanceB!K96</f>
        <v>0</v>
      </c>
      <c r="P2959" s="295"/>
      <c r="R2959" s="348" t="str">
        <f t="shared" si="215"/>
        <v>DELETE</v>
      </c>
      <c r="T2959" s="334"/>
    </row>
    <row r="2960" spans="3:26" ht="36" customHeight="1" x14ac:dyDescent="0.45">
      <c r="C2960" s="397"/>
      <c r="D2960" s="434" t="s">
        <v>513</v>
      </c>
      <c r="E2960" s="434"/>
      <c r="F2960" s="434"/>
      <c r="G2960" s="434"/>
      <c r="H2960" s="434"/>
      <c r="I2960" s="434"/>
      <c r="J2960" s="449"/>
      <c r="K2960" s="292"/>
      <c r="L2960" s="292"/>
      <c r="M2960" s="400">
        <f>IF(TrialBalanceB!I94&lt;0,-TrialBalanceB!I94,0)</f>
        <v>0</v>
      </c>
      <c r="N2960" s="296"/>
      <c r="O2960" s="401">
        <f>IF(TrialBalanceB!K94&lt;0,-TrialBalanceB!K94,0)</f>
        <v>0</v>
      </c>
      <c r="P2960" s="295"/>
      <c r="R2960" s="348" t="str">
        <f t="shared" si="215"/>
        <v>DELETE</v>
      </c>
      <c r="T2960" s="334"/>
    </row>
    <row r="2961" spans="3:26" ht="36" customHeight="1" x14ac:dyDescent="0.45">
      <c r="C2961" s="397"/>
      <c r="D2961" s="434" t="s">
        <v>334</v>
      </c>
      <c r="E2961" s="434"/>
      <c r="F2961" s="434"/>
      <c r="G2961" s="434"/>
      <c r="H2961" s="434"/>
      <c r="I2961" s="434"/>
      <c r="J2961" s="449"/>
      <c r="K2961" s="292"/>
      <c r="L2961" s="292"/>
      <c r="M2961" s="400">
        <f>-TrialBalanceB!I84</f>
        <v>0</v>
      </c>
      <c r="N2961" s="296"/>
      <c r="O2961" s="401">
        <f>-TrialBalanceB!K84</f>
        <v>0</v>
      </c>
      <c r="P2961" s="295"/>
      <c r="R2961" s="348" t="str">
        <f t="shared" si="215"/>
        <v>DELETE</v>
      </c>
      <c r="T2961" s="334"/>
    </row>
    <row r="2962" spans="3:26" ht="36" customHeight="1" x14ac:dyDescent="0.45">
      <c r="C2962" s="397"/>
      <c r="D2962" s="434" t="str">
        <f>TrialBalance!C97</f>
        <v>Revaluation of investment property</v>
      </c>
      <c r="E2962" s="434"/>
      <c r="F2962" s="434"/>
      <c r="G2962" s="434"/>
      <c r="H2962" s="434"/>
      <c r="I2962" s="434"/>
      <c r="J2962" s="449"/>
      <c r="K2962" s="292"/>
      <c r="L2962" s="292"/>
      <c r="M2962" s="400">
        <f>-TrialBalanceB!I97</f>
        <v>0</v>
      </c>
      <c r="N2962" s="296"/>
      <c r="O2962" s="401">
        <f>-TrialBalanceB!K97</f>
        <v>0</v>
      </c>
      <c r="P2962" s="295"/>
      <c r="R2962" s="348" t="str">
        <f>IF(R$2813="DELETE","DELETE",IF(M2962+O2962=0,"DELETE"," "))</f>
        <v>DELETE</v>
      </c>
      <c r="T2962" s="334"/>
    </row>
    <row r="2963" spans="3:26" ht="9" customHeight="1" x14ac:dyDescent="0.45">
      <c r="C2963" s="397"/>
      <c r="D2963" s="434"/>
      <c r="E2963" s="434"/>
      <c r="F2963" s="434"/>
      <c r="G2963" s="434"/>
      <c r="H2963" s="434"/>
      <c r="I2963" s="434"/>
      <c r="J2963" s="449"/>
      <c r="K2963" s="292"/>
      <c r="L2963" s="292"/>
      <c r="M2963" s="402"/>
      <c r="N2963" s="298"/>
      <c r="O2963" s="403"/>
      <c r="P2963" s="295"/>
      <c r="R2963" s="348" t="str">
        <f>R2953</f>
        <v>DELETE</v>
      </c>
      <c r="T2963" s="334"/>
    </row>
    <row r="2964" spans="3:26" ht="9" customHeight="1" x14ac:dyDescent="0.45">
      <c r="C2964" s="397"/>
      <c r="D2964" s="434"/>
      <c r="E2964" s="434"/>
      <c r="F2964" s="434"/>
      <c r="G2964" s="434"/>
      <c r="H2964" s="434"/>
      <c r="I2964" s="434"/>
      <c r="J2964" s="449"/>
      <c r="K2964" s="292"/>
      <c r="L2964" s="292"/>
      <c r="M2964" s="298"/>
      <c r="N2964" s="298"/>
      <c r="O2964" s="298"/>
      <c r="P2964" s="295"/>
      <c r="R2964" s="348" t="str">
        <f>R2963</f>
        <v>DELETE</v>
      </c>
      <c r="T2964" s="334"/>
    </row>
    <row r="2965" spans="3:26" ht="9" customHeight="1" x14ac:dyDescent="0.45">
      <c r="C2965" s="397"/>
      <c r="D2965" s="434"/>
      <c r="E2965" s="434"/>
      <c r="F2965" s="434"/>
      <c r="G2965" s="434"/>
      <c r="H2965" s="434"/>
      <c r="I2965" s="434"/>
      <c r="J2965" s="449"/>
      <c r="K2965" s="292"/>
      <c r="L2965" s="292"/>
      <c r="M2965" s="296"/>
      <c r="N2965" s="296"/>
      <c r="O2965" s="296"/>
      <c r="P2965" s="295"/>
      <c r="R2965" s="348" t="str">
        <f>R2964</f>
        <v>DELETE</v>
      </c>
      <c r="T2965" s="334"/>
    </row>
    <row r="2966" spans="3:26" ht="36" customHeight="1" x14ac:dyDescent="0.45">
      <c r="C2966" s="397"/>
      <c r="D2966" s="434"/>
      <c r="E2966" s="434"/>
      <c r="F2966" s="434"/>
      <c r="G2966" s="434"/>
      <c r="H2966" s="434"/>
      <c r="I2966" s="434"/>
      <c r="J2966" s="449"/>
      <c r="K2966" s="292"/>
      <c r="L2966" s="292"/>
      <c r="M2966" s="296">
        <f>SUM(S2825:S2963)</f>
        <v>0</v>
      </c>
      <c r="N2966" s="296"/>
      <c r="O2966" s="296">
        <f>SUM(U2825:U2963)</f>
        <v>0</v>
      </c>
      <c r="P2966" s="295"/>
      <c r="R2966" s="348" t="str">
        <f>R2965</f>
        <v>DELETE</v>
      </c>
      <c r="T2966" s="334"/>
    </row>
    <row r="2967" spans="3:26" ht="36" customHeight="1" x14ac:dyDescent="0.45">
      <c r="C2967" s="397"/>
      <c r="D2967" s="434"/>
      <c r="E2967" s="434"/>
      <c r="F2967" s="434"/>
      <c r="G2967" s="434"/>
      <c r="H2967" s="434"/>
      <c r="I2967" s="434"/>
      <c r="J2967" s="449"/>
      <c r="K2967" s="292"/>
      <c r="L2967" s="292"/>
      <c r="M2967" s="296"/>
      <c r="N2967" s="296"/>
      <c r="O2967" s="296"/>
      <c r="P2967" s="295"/>
      <c r="R2967" s="348" t="str">
        <f>R2966</f>
        <v>DELETE</v>
      </c>
      <c r="T2967" s="334"/>
    </row>
    <row r="2968" spans="3:26" ht="36" customHeight="1" x14ac:dyDescent="0.45">
      <c r="D2968" s="434" t="s">
        <v>1077</v>
      </c>
      <c r="E2968" s="434"/>
      <c r="F2968" s="434"/>
      <c r="G2968" s="434"/>
      <c r="H2968" s="434"/>
      <c r="I2968" s="434"/>
      <c r="J2968" s="449"/>
      <c r="K2968" s="292">
        <f>FS!B1132</f>
        <v>7</v>
      </c>
      <c r="L2968" s="292"/>
      <c r="M2968" s="296">
        <f>SUM(TrialBalanceB!I144:I154)</f>
        <v>0</v>
      </c>
      <c r="N2968" s="296"/>
      <c r="O2968" s="296">
        <f>SUM(TrialBalanceB!K144:K154)</f>
        <v>0</v>
      </c>
      <c r="P2968" s="295"/>
      <c r="R2968" s="348" t="str">
        <f t="shared" ref="R2968" si="216">IF(R$2813="DELETE","DELETE",IF(M2968+O2968=0,"DELETE"," "))</f>
        <v>DELETE</v>
      </c>
      <c r="S2968" s="333">
        <f>-M2968</f>
        <v>0</v>
      </c>
      <c r="T2968" s="334"/>
      <c r="U2968" s="333">
        <f>-O2968</f>
        <v>0</v>
      </c>
      <c r="V2968" s="333"/>
      <c r="W2968" s="333"/>
      <c r="X2968" s="333"/>
    </row>
    <row r="2969" spans="3:26" ht="9" customHeight="1" x14ac:dyDescent="0.45">
      <c r="C2969" s="397"/>
      <c r="D2969" s="434"/>
      <c r="E2969" s="434"/>
      <c r="F2969" s="434"/>
      <c r="G2969" s="434"/>
      <c r="H2969" s="434"/>
      <c r="I2969" s="434"/>
      <c r="J2969" s="449"/>
      <c r="K2969" s="292"/>
      <c r="L2969" s="292"/>
      <c r="M2969" s="298"/>
      <c r="N2969" s="298"/>
      <c r="O2969" s="298"/>
      <c r="P2969" s="295"/>
      <c r="R2969" s="348" t="str">
        <f t="shared" ref="R2969:R2977" si="217">R$2813</f>
        <v>DELETE</v>
      </c>
      <c r="T2969" s="334"/>
    </row>
    <row r="2970" spans="3:26" ht="9" customHeight="1" x14ac:dyDescent="0.45">
      <c r="C2970" s="397"/>
      <c r="D2970" s="434"/>
      <c r="E2970" s="434"/>
      <c r="F2970" s="434"/>
      <c r="G2970" s="434"/>
      <c r="H2970" s="434"/>
      <c r="I2970" s="434"/>
      <c r="J2970" s="449"/>
      <c r="K2970" s="292"/>
      <c r="L2970" s="292"/>
      <c r="M2970" s="296"/>
      <c r="N2970" s="296"/>
      <c r="O2970" s="296"/>
      <c r="P2970" s="295"/>
      <c r="R2970" s="348" t="str">
        <f t="shared" si="217"/>
        <v>DELETE</v>
      </c>
      <c r="T2970" s="334"/>
    </row>
    <row r="2971" spans="3:26" ht="36.75" customHeight="1" x14ac:dyDescent="0.45">
      <c r="D2971" s="446" t="str">
        <f>IF((Y2971+Z2971)=3,"Profit/(Loss) before taxation",(IF((Y2971+Z2971=4),"Profit before taxation","Loss before taxation")))</f>
        <v>Profit before taxation</v>
      </c>
      <c r="E2971" s="434"/>
      <c r="F2971" s="434"/>
      <c r="G2971" s="434"/>
      <c r="H2971" s="434"/>
      <c r="I2971" s="434"/>
      <c r="J2971" s="449"/>
      <c r="K2971" s="292"/>
      <c r="L2971" s="292"/>
      <c r="M2971" s="296">
        <f>SUM(S2825:S2970)</f>
        <v>0</v>
      </c>
      <c r="N2971" s="296"/>
      <c r="O2971" s="296">
        <f>SUM(U2825:U2970)</f>
        <v>0</v>
      </c>
      <c r="P2971" s="295"/>
      <c r="R2971" s="348" t="str">
        <f t="shared" si="217"/>
        <v>DELETE</v>
      </c>
      <c r="T2971" s="334"/>
      <c r="V2971" s="331" t="b">
        <f>M2971=FS!M2468</f>
        <v>1</v>
      </c>
      <c r="X2971" s="331" t="b">
        <f>O2971=FS!O2468</f>
        <v>1</v>
      </c>
      <c r="Y2971" s="331">
        <f>IF(M2971&lt;0,1,IF(M2971=0,IF(O2971&lt;0,1,2),2))</f>
        <v>2</v>
      </c>
      <c r="Z2971" s="331">
        <f>IF(O2971&lt;0,1,IF(O2971=0,IF(M2971&lt;0,1,2),2))</f>
        <v>2</v>
      </c>
    </row>
    <row r="2972" spans="3:26" ht="9" customHeight="1" thickBot="1" x14ac:dyDescent="0.5">
      <c r="C2972" s="397"/>
      <c r="D2972" s="434"/>
      <c r="E2972" s="434"/>
      <c r="F2972" s="434"/>
      <c r="G2972" s="434"/>
      <c r="H2972" s="434"/>
      <c r="I2972" s="434"/>
      <c r="J2972" s="449"/>
      <c r="K2972" s="292"/>
      <c r="L2972" s="292"/>
      <c r="M2972" s="299"/>
      <c r="N2972" s="299"/>
      <c r="O2972" s="299"/>
      <c r="P2972" s="295"/>
      <c r="R2972" s="348" t="str">
        <f t="shared" si="217"/>
        <v>DELETE</v>
      </c>
      <c r="T2972" s="334"/>
    </row>
    <row r="2973" spans="3:26" ht="9" customHeight="1" thickTop="1" x14ac:dyDescent="0.45">
      <c r="C2973" s="397"/>
      <c r="D2973" s="434"/>
      <c r="E2973" s="434"/>
      <c r="F2973" s="434"/>
      <c r="G2973" s="434"/>
      <c r="H2973" s="434"/>
      <c r="I2973" s="434"/>
      <c r="J2973" s="449"/>
      <c r="K2973" s="292"/>
      <c r="L2973" s="292"/>
      <c r="M2973" s="296"/>
      <c r="N2973" s="296"/>
      <c r="O2973" s="296"/>
      <c r="P2973" s="295"/>
      <c r="R2973" s="348" t="str">
        <f t="shared" si="217"/>
        <v>DELETE</v>
      </c>
      <c r="T2973" s="334"/>
    </row>
    <row r="2974" spans="3:26" ht="36" customHeight="1" x14ac:dyDescent="0.45">
      <c r="C2974" s="397"/>
      <c r="D2974" s="434"/>
      <c r="E2974" s="434"/>
      <c r="F2974" s="434"/>
      <c r="G2974" s="434"/>
      <c r="H2974" s="434"/>
      <c r="I2974" s="434"/>
      <c r="J2974" s="449"/>
      <c r="K2974" s="292"/>
      <c r="L2974" s="292"/>
      <c r="M2974" s="296"/>
      <c r="N2974" s="296"/>
      <c r="O2974" s="296"/>
      <c r="P2974" s="295"/>
      <c r="R2974" s="348" t="str">
        <f t="shared" si="217"/>
        <v>DELETE</v>
      </c>
      <c r="T2974" s="334"/>
    </row>
    <row r="2975" spans="3:26" ht="36" customHeight="1" x14ac:dyDescent="0.45">
      <c r="C2975" s="397"/>
      <c r="D2975" s="434"/>
      <c r="E2975" s="434"/>
      <c r="F2975" s="434"/>
      <c r="G2975" s="434"/>
      <c r="H2975" s="434"/>
      <c r="I2975" s="434"/>
      <c r="J2975" s="449"/>
      <c r="K2975" s="292"/>
      <c r="L2975" s="292"/>
      <c r="M2975" s="296"/>
      <c r="N2975" s="296"/>
      <c r="O2975" s="296"/>
      <c r="P2975" s="295"/>
      <c r="R2975" s="348" t="str">
        <f t="shared" si="217"/>
        <v>DELETE</v>
      </c>
      <c r="T2975" s="334"/>
    </row>
    <row r="2976" spans="3:26" ht="36" customHeight="1" x14ac:dyDescent="0.5">
      <c r="C2976" s="353"/>
      <c r="D2976" s="434"/>
      <c r="E2976" s="434"/>
      <c r="F2976" s="434"/>
      <c r="G2976" s="434"/>
      <c r="H2976" s="434"/>
      <c r="I2976" s="434"/>
      <c r="J2976" s="434"/>
      <c r="M2976" s="371"/>
      <c r="N2976" s="371"/>
      <c r="O2976" s="371"/>
      <c r="P2976" s="356"/>
      <c r="R2976" s="348" t="str">
        <f t="shared" si="217"/>
        <v>DELETE</v>
      </c>
      <c r="T2976" s="334"/>
    </row>
    <row r="2977" spans="3:24" ht="36" customHeight="1" x14ac:dyDescent="0.5">
      <c r="C2977" s="353"/>
      <c r="D2977" s="434"/>
      <c r="E2977" s="434"/>
      <c r="F2977" s="434"/>
      <c r="G2977" s="434"/>
      <c r="H2977" s="434"/>
      <c r="I2977" s="434"/>
      <c r="J2977" s="434"/>
      <c r="M2977" s="351"/>
      <c r="N2977" s="351"/>
      <c r="O2977" s="351"/>
      <c r="R2977" s="348" t="str">
        <f t="shared" si="217"/>
        <v>DELETE</v>
      </c>
      <c r="T2977" s="334"/>
    </row>
    <row r="2978" spans="3:24" ht="36" customHeight="1" x14ac:dyDescent="0.5">
      <c r="C2978" s="353"/>
      <c r="D2978" s="434"/>
      <c r="E2978" s="434"/>
      <c r="F2978" s="434"/>
      <c r="G2978" s="434"/>
      <c r="H2978" s="434"/>
      <c r="I2978" s="434"/>
      <c r="J2978" s="434"/>
      <c r="M2978" s="351"/>
      <c r="N2978" s="351"/>
      <c r="O2978" s="296" t="s">
        <v>89</v>
      </c>
      <c r="Q2978" s="292">
        <v>1</v>
      </c>
      <c r="R2978" s="348" t="str">
        <f>IF(SUM(U2825:U2829)+SUM(U2845:U2854)+SUM(U2953:U2963)+O2971=0,IF(SUM(S2990:S2992)+SUM(S3010:S3017)+SUM(S3118:S3128)+O3136=0,"DELETE"," "),"DELETE")</f>
        <v>DELETE</v>
      </c>
      <c r="T2978" s="334"/>
      <c r="V2978" s="335"/>
      <c r="W2978" s="335"/>
      <c r="X2978" s="335"/>
    </row>
    <row r="2979" spans="3:24" ht="36" customHeight="1" x14ac:dyDescent="0.5">
      <c r="C2979" s="353"/>
      <c r="D2979" s="433" t="s">
        <v>602</v>
      </c>
      <c r="E2979" s="434"/>
      <c r="F2979" s="434"/>
      <c r="G2979" s="434"/>
      <c r="H2979" s="434"/>
      <c r="I2979" s="434"/>
      <c r="J2979" s="434"/>
      <c r="M2979" s="351"/>
      <c r="N2979" s="351"/>
      <c r="O2979" s="351"/>
      <c r="R2979" s="348" t="str">
        <f>R$2978</f>
        <v>DELETE</v>
      </c>
      <c r="T2979" s="334"/>
      <c r="V2979" s="332"/>
      <c r="X2979" s="332"/>
    </row>
    <row r="2980" spans="3:24" ht="36" customHeight="1" x14ac:dyDescent="0.5">
      <c r="C2980" s="353"/>
      <c r="D2980" s="434"/>
      <c r="E2980" s="434"/>
      <c r="F2980" s="434"/>
      <c r="G2980" s="434"/>
      <c r="H2980" s="434"/>
      <c r="I2980" s="434"/>
      <c r="J2980" s="434"/>
      <c r="M2980" s="351"/>
      <c r="N2980" s="351"/>
      <c r="O2980" s="351"/>
      <c r="R2980" s="348" t="str">
        <f t="shared" ref="R2980:R2989" si="218">R$2978</f>
        <v>DELETE</v>
      </c>
      <c r="T2980" s="334"/>
    </row>
    <row r="2981" spans="3:24" ht="36" customHeight="1" x14ac:dyDescent="0.5">
      <c r="C2981" s="353"/>
      <c r="D2981" s="433" t="str">
        <f>Criteria!E15</f>
        <v>SUBSIDIARY TWO 15 (PTY) LTD</v>
      </c>
      <c r="E2981" s="434"/>
      <c r="F2981" s="434"/>
      <c r="G2981" s="434"/>
      <c r="H2981" s="434"/>
      <c r="I2981" s="434"/>
      <c r="J2981" s="434"/>
      <c r="M2981" s="351"/>
      <c r="N2981" s="351"/>
      <c r="O2981" s="347"/>
      <c r="R2981" s="348" t="str">
        <f t="shared" si="218"/>
        <v>DELETE</v>
      </c>
      <c r="T2981" s="334"/>
    </row>
    <row r="2982" spans="3:24" ht="36" customHeight="1" x14ac:dyDescent="0.5">
      <c r="C2982" s="353"/>
      <c r="D2982" s="438"/>
      <c r="E2982" s="434"/>
      <c r="F2982" s="434"/>
      <c r="G2982" s="434"/>
      <c r="H2982" s="434"/>
      <c r="I2982" s="434"/>
      <c r="J2982" s="434"/>
      <c r="M2982" s="351"/>
      <c r="N2982" s="351"/>
      <c r="O2982" s="351"/>
      <c r="R2982" s="348" t="str">
        <f t="shared" si="218"/>
        <v>DELETE</v>
      </c>
      <c r="T2982" s="334"/>
    </row>
    <row r="2983" spans="3:24" ht="36" customHeight="1" x14ac:dyDescent="0.5">
      <c r="C2983" s="353"/>
      <c r="D2983" s="434"/>
      <c r="E2983" s="434"/>
      <c r="F2983" s="434"/>
      <c r="G2983" s="434"/>
      <c r="H2983" s="434"/>
      <c r="I2983" s="434"/>
      <c r="J2983" s="434"/>
      <c r="M2983" s="351"/>
      <c r="N2983" s="351"/>
      <c r="O2983" s="351"/>
      <c r="R2983" s="348" t="str">
        <f t="shared" si="218"/>
        <v>DELETE</v>
      </c>
      <c r="T2983" s="334"/>
    </row>
    <row r="2984" spans="3:24" ht="36" customHeight="1" x14ac:dyDescent="0.5">
      <c r="C2984" s="353"/>
      <c r="D2984" s="433" t="s">
        <v>86</v>
      </c>
      <c r="E2984" s="434"/>
      <c r="F2984" s="434"/>
      <c r="G2984" s="434"/>
      <c r="H2984" s="434"/>
      <c r="I2984" s="434"/>
      <c r="J2984" s="434"/>
      <c r="M2984" s="351"/>
      <c r="N2984" s="351"/>
      <c r="O2984" s="351"/>
      <c r="R2984" s="348" t="str">
        <f t="shared" si="218"/>
        <v>DELETE</v>
      </c>
      <c r="T2984" s="334"/>
    </row>
    <row r="2985" spans="3:24" ht="36" customHeight="1" x14ac:dyDescent="0.5">
      <c r="C2985" s="353"/>
      <c r="D2985" s="433" t="str">
        <f>Criteria!E20</f>
        <v>28 FEBRUARY 2025</v>
      </c>
      <c r="E2985" s="434"/>
      <c r="F2985" s="434"/>
      <c r="G2985" s="434"/>
      <c r="H2985" s="434"/>
      <c r="I2985" s="434"/>
      <c r="J2985" s="434"/>
      <c r="M2985" s="351"/>
      <c r="N2985" s="351"/>
      <c r="O2985" s="351"/>
      <c r="R2985" s="348" t="str">
        <f t="shared" si="218"/>
        <v>DELETE</v>
      </c>
      <c r="T2985" s="334"/>
    </row>
    <row r="2986" spans="3:24" ht="36" customHeight="1" x14ac:dyDescent="0.5">
      <c r="C2986" s="353"/>
      <c r="D2986" s="434"/>
      <c r="E2986" s="434"/>
      <c r="F2986" s="434"/>
      <c r="G2986" s="434"/>
      <c r="H2986" s="434"/>
      <c r="I2986" s="434"/>
      <c r="J2986" s="434"/>
      <c r="M2986" s="351"/>
      <c r="N2986" s="351"/>
      <c r="O2986" s="351"/>
      <c r="R2986" s="348" t="str">
        <f t="shared" si="218"/>
        <v>DELETE</v>
      </c>
      <c r="T2986" s="334"/>
    </row>
    <row r="2987" spans="3:24" ht="36" customHeight="1" x14ac:dyDescent="0.5">
      <c r="C2987" s="353"/>
      <c r="D2987" s="444"/>
      <c r="E2987" s="444"/>
      <c r="F2987" s="444"/>
      <c r="G2987" s="444"/>
      <c r="H2987" s="444"/>
      <c r="I2987" s="444"/>
      <c r="J2987" s="444"/>
      <c r="K2987" s="364"/>
      <c r="L2987" s="364"/>
      <c r="M2987" s="378"/>
      <c r="N2987" s="378"/>
      <c r="O2987" s="378"/>
      <c r="P2987" s="367"/>
      <c r="Q2987" s="364"/>
      <c r="R2987" s="348" t="str">
        <f t="shared" si="218"/>
        <v>DELETE</v>
      </c>
      <c r="T2987" s="334"/>
    </row>
    <row r="2988" spans="3:24" ht="36" customHeight="1" x14ac:dyDescent="0.5">
      <c r="C2988" s="353"/>
      <c r="D2988" s="434"/>
      <c r="E2988" s="434"/>
      <c r="F2988" s="434"/>
      <c r="G2988" s="434"/>
      <c r="H2988" s="434"/>
      <c r="I2988" s="434"/>
      <c r="J2988" s="449"/>
      <c r="K2988" s="292" t="s">
        <v>1041</v>
      </c>
      <c r="L2988" s="350"/>
      <c r="M2988" s="350"/>
      <c r="N2988" s="292"/>
      <c r="O2988" s="294">
        <f>Criteria!E22</f>
        <v>2025</v>
      </c>
      <c r="P2988" s="295"/>
      <c r="R2988" s="348" t="str">
        <f t="shared" si="218"/>
        <v>DELETE</v>
      </c>
      <c r="T2988" s="334"/>
    </row>
    <row r="2989" spans="3:24" ht="36" customHeight="1" x14ac:dyDescent="0.5">
      <c r="C2989" s="353"/>
      <c r="D2989" s="434"/>
      <c r="E2989" s="434"/>
      <c r="F2989" s="434"/>
      <c r="G2989" s="434"/>
      <c r="H2989" s="434"/>
      <c r="I2989" s="434"/>
      <c r="J2989" s="449"/>
      <c r="K2989" s="292"/>
      <c r="L2989" s="350"/>
      <c r="M2989" s="350"/>
      <c r="N2989" s="292"/>
      <c r="O2989" s="296"/>
      <c r="P2989" s="295"/>
      <c r="R2989" s="348" t="str">
        <f t="shared" si="218"/>
        <v>DELETE</v>
      </c>
      <c r="T2989" s="334"/>
    </row>
    <row r="2990" spans="3:24" ht="36" customHeight="1" x14ac:dyDescent="0.45">
      <c r="D2990" s="433" t="s">
        <v>836</v>
      </c>
      <c r="E2990" s="434"/>
      <c r="F2990" s="434"/>
      <c r="G2990" s="434"/>
      <c r="H2990" s="434"/>
      <c r="I2990" s="434"/>
      <c r="J2990" s="449"/>
      <c r="K2990" s="292"/>
      <c r="L2990" s="350"/>
      <c r="M2990" s="350"/>
      <c r="N2990" s="292"/>
      <c r="O2990" s="296">
        <f>-SUM(TrialBalanceB!I5:I10)</f>
        <v>0</v>
      </c>
      <c r="P2990" s="295"/>
      <c r="R2990" s="348" t="str">
        <f>IF(R2978="DELETE","DELETE",IF(O2990=0,IF(O2992=0," ","DELETE")," "))</f>
        <v>DELETE</v>
      </c>
      <c r="S2990" s="333">
        <f>O2990</f>
        <v>0</v>
      </c>
      <c r="T2990" s="334"/>
      <c r="U2990" s="333"/>
      <c r="V2990" s="333"/>
      <c r="W2990" s="333"/>
      <c r="X2990" s="333"/>
    </row>
    <row r="2991" spans="3:24" ht="36" customHeight="1" x14ac:dyDescent="0.45">
      <c r="D2991" s="433"/>
      <c r="E2991" s="434"/>
      <c r="F2991" s="434"/>
      <c r="G2991" s="434"/>
      <c r="H2991" s="434"/>
      <c r="I2991" s="434"/>
      <c r="J2991" s="449"/>
      <c r="K2991" s="292"/>
      <c r="L2991" s="350"/>
      <c r="M2991" s="350"/>
      <c r="N2991" s="292"/>
      <c r="O2991" s="296"/>
      <c r="P2991" s="295"/>
      <c r="R2991" s="348" t="str">
        <f>R2990</f>
        <v>DELETE</v>
      </c>
      <c r="S2991" s="333"/>
      <c r="T2991" s="334"/>
      <c r="U2991" s="333"/>
      <c r="V2991" s="333"/>
      <c r="W2991" s="333"/>
      <c r="X2991" s="333"/>
    </row>
    <row r="2992" spans="3:24" ht="36" customHeight="1" x14ac:dyDescent="0.45">
      <c r="D2992" s="433" t="s">
        <v>334</v>
      </c>
      <c r="E2992" s="434"/>
      <c r="F2992" s="434"/>
      <c r="G2992" s="434"/>
      <c r="H2992" s="434"/>
      <c r="I2992" s="434"/>
      <c r="J2992" s="449"/>
      <c r="K2992" s="292"/>
      <c r="L2992" s="350"/>
      <c r="M2992" s="350"/>
      <c r="N2992" s="292"/>
      <c r="O2992" s="296">
        <f>-TrialBalanceB!I11</f>
        <v>0</v>
      </c>
      <c r="P2992" s="295"/>
      <c r="R2992" s="348" t="str">
        <f>IF(R2978="DELETE","DELETE",IF(O2992=0,"DELETE"," "))</f>
        <v>DELETE</v>
      </c>
      <c r="S2992" s="333">
        <f>O2992</f>
        <v>0</v>
      </c>
      <c r="T2992" s="334"/>
      <c r="U2992" s="333"/>
      <c r="V2992" s="333"/>
      <c r="W2992" s="333"/>
      <c r="X2992" s="333"/>
    </row>
    <row r="2993" spans="3:24" ht="36" customHeight="1" x14ac:dyDescent="0.45">
      <c r="D2993" s="433"/>
      <c r="E2993" s="434"/>
      <c r="F2993" s="434"/>
      <c r="G2993" s="434"/>
      <c r="H2993" s="434"/>
      <c r="I2993" s="434"/>
      <c r="J2993" s="449"/>
      <c r="K2993" s="292"/>
      <c r="L2993" s="350"/>
      <c r="M2993" s="350"/>
      <c r="N2993" s="292"/>
      <c r="O2993" s="296"/>
      <c r="P2993" s="295"/>
      <c r="R2993" s="348" t="str">
        <f>R2992</f>
        <v>DELETE</v>
      </c>
      <c r="T2993" s="334"/>
    </row>
    <row r="2994" spans="3:24" ht="36" customHeight="1" x14ac:dyDescent="0.45">
      <c r="D2994" s="433" t="s">
        <v>1074</v>
      </c>
      <c r="E2994" s="434"/>
      <c r="F2994" s="434"/>
      <c r="G2994" s="434"/>
      <c r="H2994" s="434"/>
      <c r="I2994" s="434"/>
      <c r="J2994" s="449"/>
      <c r="K2994" s="292"/>
      <c r="L2994" s="350"/>
      <c r="M2994" s="350"/>
      <c r="N2994" s="292"/>
      <c r="O2994" s="296">
        <f>SUM(O2997:O3004)</f>
        <v>0</v>
      </c>
      <c r="P2994" s="295"/>
      <c r="R2994" s="348" t="str">
        <f>IF(R$2978="DELETE","DELETE",IF(O2994=0,"DELETE"," "))</f>
        <v>DELETE</v>
      </c>
      <c r="S2994" s="333">
        <f>-O2994</f>
        <v>0</v>
      </c>
      <c r="T2994" s="334"/>
      <c r="U2994" s="333"/>
      <c r="V2994" s="333"/>
      <c r="W2994" s="333"/>
      <c r="X2994" s="333"/>
    </row>
    <row r="2995" spans="3:24" ht="9" customHeight="1" x14ac:dyDescent="0.45">
      <c r="C2995" s="397"/>
      <c r="D2995" s="434"/>
      <c r="E2995" s="434"/>
      <c r="F2995" s="434"/>
      <c r="G2995" s="434"/>
      <c r="H2995" s="434"/>
      <c r="I2995" s="434"/>
      <c r="J2995" s="449"/>
      <c r="K2995" s="292"/>
      <c r="L2995" s="350"/>
      <c r="M2995" s="350"/>
      <c r="N2995" s="292"/>
      <c r="O2995" s="296"/>
      <c r="P2995" s="295"/>
      <c r="R2995" s="348" t="str">
        <f>R2994</f>
        <v>DELETE</v>
      </c>
      <c r="T2995" s="334"/>
    </row>
    <row r="2996" spans="3:24" ht="9" customHeight="1" x14ac:dyDescent="0.45">
      <c r="C2996" s="397"/>
      <c r="D2996" s="434"/>
      <c r="E2996" s="434"/>
      <c r="F2996" s="434"/>
      <c r="G2996" s="434"/>
      <c r="H2996" s="434"/>
      <c r="I2996" s="434"/>
      <c r="J2996" s="449"/>
      <c r="K2996" s="292"/>
      <c r="L2996" s="350"/>
      <c r="M2996" s="350"/>
      <c r="N2996" s="292"/>
      <c r="O2996" s="407"/>
      <c r="P2996" s="295"/>
      <c r="R2996" s="348" t="str">
        <f>R2995</f>
        <v>DELETE</v>
      </c>
      <c r="T2996" s="334"/>
    </row>
    <row r="2997" spans="3:24" ht="36" customHeight="1" x14ac:dyDescent="0.45">
      <c r="C2997" s="397"/>
      <c r="D2997" s="434" t="s">
        <v>492</v>
      </c>
      <c r="E2997" s="434"/>
      <c r="F2997" s="434"/>
      <c r="G2997" s="434"/>
      <c r="H2997" s="434"/>
      <c r="I2997" s="434"/>
      <c r="J2997" s="449"/>
      <c r="K2997" s="292"/>
      <c r="L2997" s="350"/>
      <c r="M2997" s="350"/>
      <c r="N2997" s="292"/>
      <c r="O2997" s="408">
        <f>SUM(TrialBalanceB!I13:I16)</f>
        <v>0</v>
      </c>
      <c r="P2997" s="295"/>
      <c r="R2997" s="348" t="str">
        <f t="shared" ref="R2997:R3004" si="219">IF(R$2978="DELETE","DELETE",IF(O2997=0,"DELETE"," "))</f>
        <v>DELETE</v>
      </c>
      <c r="T2997" s="334"/>
    </row>
    <row r="2998" spans="3:24" ht="36" customHeight="1" x14ac:dyDescent="0.45">
      <c r="C2998" s="397"/>
      <c r="D2998" s="434" t="s">
        <v>249</v>
      </c>
      <c r="E2998" s="434"/>
      <c r="F2998" s="434"/>
      <c r="G2998" s="434"/>
      <c r="H2998" s="434"/>
      <c r="I2998" s="434"/>
      <c r="J2998" s="449"/>
      <c r="K2998" s="292"/>
      <c r="L2998" s="350"/>
      <c r="M2998" s="350"/>
      <c r="N2998" s="292"/>
      <c r="O2998" s="408">
        <f>TrialBalanceB!I17</f>
        <v>0</v>
      </c>
      <c r="P2998" s="295"/>
      <c r="R2998" s="348" t="str">
        <f t="shared" si="219"/>
        <v>DELETE</v>
      </c>
      <c r="T2998" s="334"/>
    </row>
    <row r="2999" spans="3:24" ht="36" customHeight="1" x14ac:dyDescent="0.45">
      <c r="C2999" s="397"/>
      <c r="D2999" s="434">
        <f>TrialBalanceB!C18</f>
        <v>0</v>
      </c>
      <c r="E2999" s="434"/>
      <c r="F2999" s="434"/>
      <c r="G2999" s="434"/>
      <c r="H2999" s="434"/>
      <c r="I2999" s="434"/>
      <c r="J2999" s="449"/>
      <c r="K2999" s="292"/>
      <c r="L2999" s="350"/>
      <c r="M2999" s="350"/>
      <c r="N2999" s="292"/>
      <c r="O2999" s="408">
        <f>TrialBalanceB!I18</f>
        <v>0</v>
      </c>
      <c r="P2999" s="295"/>
      <c r="R2999" s="348" t="str">
        <f t="shared" si="219"/>
        <v>DELETE</v>
      </c>
      <c r="T2999" s="334"/>
    </row>
    <row r="3000" spans="3:24" ht="36" customHeight="1" x14ac:dyDescent="0.45">
      <c r="C3000" s="397"/>
      <c r="D3000" s="434">
        <f>TrialBalanceB!C19</f>
        <v>0</v>
      </c>
      <c r="E3000" s="434"/>
      <c r="F3000" s="434"/>
      <c r="G3000" s="434"/>
      <c r="H3000" s="434"/>
      <c r="I3000" s="434"/>
      <c r="J3000" s="449"/>
      <c r="K3000" s="292"/>
      <c r="L3000" s="350"/>
      <c r="M3000" s="350"/>
      <c r="N3000" s="292"/>
      <c r="O3000" s="408">
        <f>TrialBalanceB!I19</f>
        <v>0</v>
      </c>
      <c r="P3000" s="295"/>
      <c r="R3000" s="348" t="str">
        <f t="shared" si="219"/>
        <v>DELETE</v>
      </c>
      <c r="T3000" s="334"/>
    </row>
    <row r="3001" spans="3:24" ht="36" customHeight="1" x14ac:dyDescent="0.45">
      <c r="C3001" s="397"/>
      <c r="D3001" s="434">
        <f>TrialBalanceB!C20</f>
        <v>0</v>
      </c>
      <c r="E3001" s="434"/>
      <c r="F3001" s="434"/>
      <c r="G3001" s="434"/>
      <c r="H3001" s="434"/>
      <c r="I3001" s="434"/>
      <c r="J3001" s="449"/>
      <c r="K3001" s="292"/>
      <c r="L3001" s="350"/>
      <c r="M3001" s="350"/>
      <c r="N3001" s="292"/>
      <c r="O3001" s="408">
        <f>TrialBalanceB!I20</f>
        <v>0</v>
      </c>
      <c r="P3001" s="295"/>
      <c r="R3001" s="348" t="str">
        <f t="shared" si="219"/>
        <v>DELETE</v>
      </c>
      <c r="T3001" s="334"/>
    </row>
    <row r="3002" spans="3:24" ht="36" customHeight="1" x14ac:dyDescent="0.45">
      <c r="C3002" s="397"/>
      <c r="D3002" s="434">
        <f>TrialBalanceB!C21</f>
        <v>0</v>
      </c>
      <c r="E3002" s="434"/>
      <c r="F3002" s="434"/>
      <c r="G3002" s="434"/>
      <c r="H3002" s="434"/>
      <c r="I3002" s="434"/>
      <c r="J3002" s="449"/>
      <c r="K3002" s="292"/>
      <c r="L3002" s="350"/>
      <c r="M3002" s="350"/>
      <c r="N3002" s="292"/>
      <c r="O3002" s="408">
        <f>TrialBalanceB!I21</f>
        <v>0</v>
      </c>
      <c r="P3002" s="295"/>
      <c r="R3002" s="348" t="str">
        <f t="shared" si="219"/>
        <v>DELETE</v>
      </c>
      <c r="T3002" s="334"/>
    </row>
    <row r="3003" spans="3:24" ht="36" customHeight="1" x14ac:dyDescent="0.45">
      <c r="C3003" s="397"/>
      <c r="D3003" s="434">
        <f>TrialBalanceB!C22</f>
        <v>0</v>
      </c>
      <c r="E3003" s="434"/>
      <c r="F3003" s="434"/>
      <c r="G3003" s="434"/>
      <c r="H3003" s="434"/>
      <c r="I3003" s="434"/>
      <c r="J3003" s="449"/>
      <c r="K3003" s="292"/>
      <c r="L3003" s="350"/>
      <c r="M3003" s="350"/>
      <c r="N3003" s="292"/>
      <c r="O3003" s="408">
        <f>TrialBalanceB!I22</f>
        <v>0</v>
      </c>
      <c r="P3003" s="295"/>
      <c r="R3003" s="348" t="str">
        <f t="shared" si="219"/>
        <v>DELETE</v>
      </c>
      <c r="T3003" s="334"/>
    </row>
    <row r="3004" spans="3:24" ht="36" customHeight="1" x14ac:dyDescent="0.45">
      <c r="C3004" s="397"/>
      <c r="D3004" s="434" t="s">
        <v>493</v>
      </c>
      <c r="E3004" s="434"/>
      <c r="F3004" s="434"/>
      <c r="G3004" s="434"/>
      <c r="H3004" s="434"/>
      <c r="I3004" s="434"/>
      <c r="J3004" s="449"/>
      <c r="K3004" s="292"/>
      <c r="L3004" s="350"/>
      <c r="M3004" s="350"/>
      <c r="N3004" s="292"/>
      <c r="O3004" s="408">
        <f>SUM(TrialBalanceB!I23:I26)</f>
        <v>0</v>
      </c>
      <c r="P3004" s="295"/>
      <c r="R3004" s="348" t="str">
        <f t="shared" si="219"/>
        <v>DELETE</v>
      </c>
      <c r="T3004" s="334"/>
    </row>
    <row r="3005" spans="3:24" ht="9" customHeight="1" x14ac:dyDescent="0.45">
      <c r="C3005" s="397"/>
      <c r="D3005" s="434"/>
      <c r="E3005" s="434"/>
      <c r="F3005" s="434"/>
      <c r="G3005" s="434"/>
      <c r="H3005" s="434"/>
      <c r="I3005" s="434"/>
      <c r="J3005" s="449"/>
      <c r="K3005" s="292"/>
      <c r="L3005" s="350"/>
      <c r="M3005" s="350"/>
      <c r="N3005" s="292"/>
      <c r="O3005" s="409"/>
      <c r="P3005" s="295"/>
      <c r="R3005" s="348" t="str">
        <f>R2994</f>
        <v>DELETE</v>
      </c>
      <c r="T3005" s="334"/>
    </row>
    <row r="3006" spans="3:24" ht="9" customHeight="1" x14ac:dyDescent="0.45">
      <c r="C3006" s="397"/>
      <c r="D3006" s="434"/>
      <c r="E3006" s="434"/>
      <c r="F3006" s="434"/>
      <c r="G3006" s="434"/>
      <c r="H3006" s="434"/>
      <c r="I3006" s="434"/>
      <c r="J3006" s="449"/>
      <c r="K3006" s="292"/>
      <c r="L3006" s="350"/>
      <c r="M3006" s="350"/>
      <c r="N3006" s="292"/>
      <c r="O3006" s="298"/>
      <c r="P3006" s="295"/>
      <c r="R3006" s="348" t="str">
        <f>R2994</f>
        <v>DELETE</v>
      </c>
      <c r="T3006" s="334"/>
    </row>
    <row r="3007" spans="3:24" ht="9" customHeight="1" x14ac:dyDescent="0.45">
      <c r="C3007" s="397"/>
      <c r="D3007" s="434"/>
      <c r="E3007" s="434"/>
      <c r="F3007" s="434"/>
      <c r="G3007" s="434"/>
      <c r="H3007" s="434"/>
      <c r="I3007" s="434"/>
      <c r="J3007" s="449"/>
      <c r="K3007" s="292"/>
      <c r="L3007" s="350"/>
      <c r="M3007" s="350"/>
      <c r="N3007" s="292"/>
      <c r="O3007" s="296"/>
      <c r="P3007" s="295"/>
      <c r="R3007" s="348" t="str">
        <f>R3006</f>
        <v>DELETE</v>
      </c>
      <c r="T3007" s="334"/>
    </row>
    <row r="3008" spans="3:24" ht="36" customHeight="1" x14ac:dyDescent="0.45">
      <c r="D3008" s="446" t="str">
        <f>IF(O3008&lt;0,"Gross loss","Gross profit")</f>
        <v>Gross profit</v>
      </c>
      <c r="E3008" s="434"/>
      <c r="F3008" s="434"/>
      <c r="G3008" s="434"/>
      <c r="H3008" s="434"/>
      <c r="I3008" s="434"/>
      <c r="J3008" s="449"/>
      <c r="K3008" s="292"/>
      <c r="L3008" s="350"/>
      <c r="M3008" s="350"/>
      <c r="N3008" s="292"/>
      <c r="O3008" s="296">
        <f>SUM(S2990:S3005)</f>
        <v>0</v>
      </c>
      <c r="P3008" s="295"/>
      <c r="R3008" s="348" t="str">
        <f>R3007</f>
        <v>DELETE</v>
      </c>
      <c r="T3008" s="334"/>
    </row>
    <row r="3009" spans="3:24" ht="36" customHeight="1" x14ac:dyDescent="0.45">
      <c r="C3009" s="397"/>
      <c r="D3009" s="434"/>
      <c r="E3009" s="434"/>
      <c r="F3009" s="434"/>
      <c r="G3009" s="434"/>
      <c r="H3009" s="434"/>
      <c r="I3009" s="434"/>
      <c r="J3009" s="449"/>
      <c r="K3009" s="292"/>
      <c r="L3009" s="350"/>
      <c r="M3009" s="350"/>
      <c r="N3009" s="292"/>
      <c r="O3009" s="296"/>
      <c r="P3009" s="295"/>
      <c r="R3009" s="348" t="str">
        <f>R3008</f>
        <v>DELETE</v>
      </c>
      <c r="T3009" s="334"/>
    </row>
    <row r="3010" spans="3:24" ht="36" customHeight="1" x14ac:dyDescent="0.45">
      <c r="D3010" s="433" t="s">
        <v>1037</v>
      </c>
      <c r="E3010" s="434"/>
      <c r="F3010" s="434"/>
      <c r="G3010" s="434"/>
      <c r="H3010" s="434"/>
      <c r="I3010" s="434"/>
      <c r="J3010" s="449"/>
      <c r="K3010" s="292"/>
      <c r="L3010" s="350"/>
      <c r="M3010" s="350"/>
      <c r="N3010" s="292"/>
      <c r="O3010" s="296">
        <f>SUM(O3012:O3019)</f>
        <v>0</v>
      </c>
      <c r="P3010" s="295"/>
      <c r="R3010" s="348" t="str">
        <f t="shared" ref="R3010" si="220">IF(R$2978="DELETE","DELETE",IF(O3010=0,"DELETE"," "))</f>
        <v>DELETE</v>
      </c>
      <c r="S3010" s="333">
        <f>O3010</f>
        <v>0</v>
      </c>
      <c r="T3010" s="334"/>
      <c r="U3010" s="333"/>
    </row>
    <row r="3011" spans="3:24" ht="9" customHeight="1" x14ac:dyDescent="0.45">
      <c r="C3011" s="397"/>
      <c r="D3011" s="434"/>
      <c r="E3011" s="434"/>
      <c r="F3011" s="434"/>
      <c r="G3011" s="434"/>
      <c r="H3011" s="434"/>
      <c r="I3011" s="434"/>
      <c r="J3011" s="449"/>
      <c r="K3011" s="292"/>
      <c r="L3011" s="350"/>
      <c r="M3011" s="350"/>
      <c r="N3011" s="292"/>
      <c r="O3011" s="296"/>
      <c r="P3011" s="295"/>
      <c r="R3011" s="348" t="str">
        <f>R3010</f>
        <v>DELETE</v>
      </c>
      <c r="T3011" s="334"/>
    </row>
    <row r="3012" spans="3:24" ht="9" customHeight="1" x14ac:dyDescent="0.45">
      <c r="C3012" s="397"/>
      <c r="D3012" s="434"/>
      <c r="E3012" s="434"/>
      <c r="F3012" s="434"/>
      <c r="G3012" s="434"/>
      <c r="H3012" s="434"/>
      <c r="I3012" s="434"/>
      <c r="J3012" s="449"/>
      <c r="K3012" s="292"/>
      <c r="L3012" s="350"/>
      <c r="M3012" s="350"/>
      <c r="N3012" s="292"/>
      <c r="O3012" s="407"/>
      <c r="P3012" s="295"/>
      <c r="R3012" s="348" t="str">
        <f>R3010</f>
        <v>DELETE</v>
      </c>
      <c r="T3012" s="334"/>
    </row>
    <row r="3013" spans="3:24" ht="36" customHeight="1" x14ac:dyDescent="0.45">
      <c r="C3013" s="397"/>
      <c r="D3013" s="434" t="str">
        <f>TrialBalanceB!C28</f>
        <v>Insurance claims - Subsidiary Two 15 (Pty) Ltd</v>
      </c>
      <c r="E3013" s="434"/>
      <c r="F3013" s="434"/>
      <c r="G3013" s="434"/>
      <c r="H3013" s="434"/>
      <c r="I3013" s="434"/>
      <c r="J3013" s="449"/>
      <c r="K3013" s="292"/>
      <c r="L3013" s="350"/>
      <c r="M3013" s="350"/>
      <c r="N3013" s="292"/>
      <c r="O3013" s="408">
        <f>-TrialBalanceB!I28</f>
        <v>0</v>
      </c>
      <c r="P3013" s="295"/>
      <c r="R3013" s="348" t="str">
        <f t="shared" ref="R3013:R3017" si="221">IF(R$2978="DELETE","DELETE",IF(O3013=0,"DELETE"," "))</f>
        <v>DELETE</v>
      </c>
      <c r="T3013" s="334"/>
    </row>
    <row r="3014" spans="3:24" ht="36" customHeight="1" x14ac:dyDescent="0.45">
      <c r="C3014" s="397"/>
      <c r="D3014" s="434" t="str">
        <f>TrialBalanceB!C29</f>
        <v>Government grants received</v>
      </c>
      <c r="E3014" s="434"/>
      <c r="F3014" s="434"/>
      <c r="G3014" s="434"/>
      <c r="H3014" s="434"/>
      <c r="I3014" s="434"/>
      <c r="J3014" s="449"/>
      <c r="K3014" s="292"/>
      <c r="L3014" s="350"/>
      <c r="M3014" s="350"/>
      <c r="N3014" s="292"/>
      <c r="O3014" s="408">
        <f>-TrialBalanceB!I29</f>
        <v>0</v>
      </c>
      <c r="P3014" s="295"/>
      <c r="R3014" s="348" t="str">
        <f t="shared" si="221"/>
        <v>DELETE</v>
      </c>
      <c r="T3014" s="334"/>
    </row>
    <row r="3015" spans="3:24" ht="36" customHeight="1" x14ac:dyDescent="0.45">
      <c r="C3015" s="397"/>
      <c r="D3015" s="434">
        <f>TrialBalanceB!C30</f>
        <v>0</v>
      </c>
      <c r="E3015" s="434"/>
      <c r="F3015" s="434"/>
      <c r="G3015" s="434"/>
      <c r="H3015" s="434"/>
      <c r="I3015" s="434"/>
      <c r="J3015" s="449"/>
      <c r="K3015" s="292"/>
      <c r="L3015" s="350"/>
      <c r="M3015" s="350"/>
      <c r="N3015" s="292"/>
      <c r="O3015" s="408">
        <f>-TrialBalanceB!I30</f>
        <v>0</v>
      </c>
      <c r="P3015" s="295"/>
      <c r="R3015" s="348" t="str">
        <f t="shared" si="221"/>
        <v>DELETE</v>
      </c>
      <c r="T3015" s="334"/>
    </row>
    <row r="3016" spans="3:24" ht="36" customHeight="1" x14ac:dyDescent="0.45">
      <c r="C3016" s="397"/>
      <c r="D3016" s="434">
        <f>TrialBalanceB!C31</f>
        <v>0</v>
      </c>
      <c r="E3016" s="434"/>
      <c r="F3016" s="434"/>
      <c r="G3016" s="434"/>
      <c r="H3016" s="434"/>
      <c r="I3016" s="434"/>
      <c r="J3016" s="449"/>
      <c r="K3016" s="292"/>
      <c r="L3016" s="350"/>
      <c r="M3016" s="350"/>
      <c r="N3016" s="292"/>
      <c r="O3016" s="408">
        <f>-TrialBalanceB!I31</f>
        <v>0</v>
      </c>
      <c r="P3016" s="295"/>
      <c r="R3016" s="348" t="str">
        <f t="shared" si="221"/>
        <v>DELETE</v>
      </c>
      <c r="T3016" s="334"/>
    </row>
    <row r="3017" spans="3:24" ht="36" customHeight="1" x14ac:dyDescent="0.45">
      <c r="C3017" s="397"/>
      <c r="D3017" s="434">
        <f>TrialBalanceB!C32</f>
        <v>0</v>
      </c>
      <c r="E3017" s="434"/>
      <c r="F3017" s="434"/>
      <c r="G3017" s="434"/>
      <c r="H3017" s="434"/>
      <c r="I3017" s="434"/>
      <c r="J3017" s="449"/>
      <c r="K3017" s="292"/>
      <c r="L3017" s="350"/>
      <c r="M3017" s="350"/>
      <c r="N3017" s="292"/>
      <c r="O3017" s="408">
        <f>-TrialBalanceB!I32</f>
        <v>0</v>
      </c>
      <c r="P3017" s="295"/>
      <c r="R3017" s="348" t="str">
        <f t="shared" si="221"/>
        <v>DELETE</v>
      </c>
      <c r="T3017" s="334"/>
    </row>
    <row r="3018" spans="3:24" ht="36" customHeight="1" x14ac:dyDescent="0.45">
      <c r="C3018" s="397"/>
      <c r="D3018" s="434" t="str">
        <f>TrialBalanceB!C33</f>
        <v>Recoupment of depreciation</v>
      </c>
      <c r="E3018" s="434"/>
      <c r="F3018" s="434"/>
      <c r="G3018" s="434"/>
      <c r="H3018" s="434"/>
      <c r="I3018" s="434"/>
      <c r="J3018" s="449"/>
      <c r="K3018" s="292"/>
      <c r="L3018" s="350"/>
      <c r="M3018" s="350"/>
      <c r="N3018" s="292"/>
      <c r="O3018" s="408">
        <f>-TrialBalanceB!I33</f>
        <v>0</v>
      </c>
      <c r="P3018" s="295"/>
      <c r="R3018" s="348" t="str">
        <f t="shared" ref="R3018" si="222">IF(R$2978="DELETE","DELETE",IF(O3018=0,"DELETE"," "))</f>
        <v>DELETE</v>
      </c>
      <c r="T3018" s="334"/>
    </row>
    <row r="3019" spans="3:24" ht="9" customHeight="1" x14ac:dyDescent="0.45">
      <c r="C3019" s="397"/>
      <c r="D3019" s="434"/>
      <c r="E3019" s="434"/>
      <c r="F3019" s="434"/>
      <c r="G3019" s="434"/>
      <c r="H3019" s="434"/>
      <c r="I3019" s="434"/>
      <c r="J3019" s="449"/>
      <c r="K3019" s="292"/>
      <c r="L3019" s="350"/>
      <c r="M3019" s="350"/>
      <c r="N3019" s="292"/>
      <c r="O3019" s="409"/>
      <c r="P3019" s="295"/>
      <c r="R3019" s="348" t="str">
        <f>R3010</f>
        <v>DELETE</v>
      </c>
      <c r="T3019" s="334"/>
    </row>
    <row r="3020" spans="3:24" ht="9" customHeight="1" x14ac:dyDescent="0.45">
      <c r="C3020" s="397"/>
      <c r="D3020" s="434"/>
      <c r="E3020" s="434"/>
      <c r="F3020" s="434"/>
      <c r="G3020" s="434"/>
      <c r="H3020" s="434"/>
      <c r="I3020" s="434"/>
      <c r="J3020" s="449"/>
      <c r="K3020" s="292"/>
      <c r="L3020" s="350"/>
      <c r="M3020" s="350"/>
      <c r="N3020" s="292"/>
      <c r="O3020" s="314"/>
      <c r="P3020" s="295"/>
      <c r="R3020" s="348" t="str">
        <f>R3019</f>
        <v>DELETE</v>
      </c>
      <c r="T3020" s="334"/>
    </row>
    <row r="3021" spans="3:24" ht="9" customHeight="1" x14ac:dyDescent="0.45">
      <c r="C3021" s="397"/>
      <c r="D3021" s="434"/>
      <c r="E3021" s="434"/>
      <c r="F3021" s="434"/>
      <c r="G3021" s="434"/>
      <c r="H3021" s="434"/>
      <c r="I3021" s="434"/>
      <c r="J3021" s="449"/>
      <c r="K3021" s="292"/>
      <c r="L3021" s="350"/>
      <c r="M3021" s="350"/>
      <c r="N3021" s="292"/>
      <c r="O3021" s="296"/>
      <c r="P3021" s="295"/>
      <c r="R3021" s="348" t="str">
        <f>R3020</f>
        <v>DELETE</v>
      </c>
      <c r="T3021" s="334"/>
    </row>
    <row r="3022" spans="3:24" ht="36" customHeight="1" x14ac:dyDescent="0.45">
      <c r="C3022" s="397"/>
      <c r="D3022" s="434"/>
      <c r="E3022" s="434"/>
      <c r="F3022" s="434"/>
      <c r="G3022" s="434"/>
      <c r="H3022" s="434"/>
      <c r="I3022" s="434"/>
      <c r="J3022" s="449"/>
      <c r="K3022" s="292"/>
      <c r="L3022" s="350"/>
      <c r="M3022" s="350"/>
      <c r="N3022" s="292"/>
      <c r="O3022" s="296">
        <f>SUM(S2990:S3010)</f>
        <v>0</v>
      </c>
      <c r="P3022" s="295"/>
      <c r="R3022" s="348" t="str">
        <f>R3010</f>
        <v>DELETE</v>
      </c>
      <c r="T3022" s="334"/>
    </row>
    <row r="3023" spans="3:24" ht="36" customHeight="1" x14ac:dyDescent="0.45">
      <c r="C3023" s="397"/>
      <c r="D3023" s="434"/>
      <c r="E3023" s="434"/>
      <c r="F3023" s="434"/>
      <c r="G3023" s="434"/>
      <c r="H3023" s="434"/>
      <c r="I3023" s="434"/>
      <c r="J3023" s="449"/>
      <c r="K3023" s="292"/>
      <c r="L3023" s="350"/>
      <c r="M3023" s="350"/>
      <c r="N3023" s="292"/>
      <c r="O3023" s="296"/>
      <c r="P3023" s="295"/>
      <c r="R3023" s="348" t="str">
        <f>R3022</f>
        <v>DELETE</v>
      </c>
      <c r="T3023" s="334"/>
    </row>
    <row r="3024" spans="3:24" ht="36" customHeight="1" x14ac:dyDescent="0.45">
      <c r="D3024" s="433" t="s">
        <v>1075</v>
      </c>
      <c r="E3024" s="434"/>
      <c r="F3024" s="434"/>
      <c r="G3024" s="434"/>
      <c r="H3024" s="434"/>
      <c r="I3024" s="434"/>
      <c r="J3024" s="449"/>
      <c r="K3024" s="292"/>
      <c r="L3024" s="350"/>
      <c r="M3024" s="350"/>
      <c r="N3024" s="292"/>
      <c r="O3024" s="296">
        <f>SUM(O3026:O3055)</f>
        <v>0</v>
      </c>
      <c r="P3024" s="295"/>
      <c r="R3024" s="348" t="str">
        <f t="shared" ref="R3024" si="223">IF(R$2978="DELETE","DELETE",IF(O3024=0,"DELETE"," "))</f>
        <v>DELETE</v>
      </c>
      <c r="S3024" s="333">
        <f>-O3024</f>
        <v>0</v>
      </c>
      <c r="T3024" s="334"/>
      <c r="U3024" s="333"/>
      <c r="V3024" s="333"/>
      <c r="W3024" s="333"/>
      <c r="X3024" s="333"/>
    </row>
    <row r="3025" spans="3:24" ht="9" customHeight="1" x14ac:dyDescent="0.45">
      <c r="C3025" s="397"/>
      <c r="D3025" s="434"/>
      <c r="E3025" s="434"/>
      <c r="F3025" s="434"/>
      <c r="G3025" s="434"/>
      <c r="H3025" s="434"/>
      <c r="I3025" s="434"/>
      <c r="J3025" s="449"/>
      <c r="K3025" s="292"/>
      <c r="L3025" s="350"/>
      <c r="M3025" s="350"/>
      <c r="N3025" s="292"/>
      <c r="O3025" s="296"/>
      <c r="P3025" s="295"/>
      <c r="R3025" s="348" t="str">
        <f>R3024</f>
        <v>DELETE</v>
      </c>
      <c r="T3025" s="334"/>
    </row>
    <row r="3026" spans="3:24" ht="9" customHeight="1" x14ac:dyDescent="0.45">
      <c r="C3026" s="397"/>
      <c r="D3026" s="434"/>
      <c r="E3026" s="434"/>
      <c r="F3026" s="434"/>
      <c r="G3026" s="434"/>
      <c r="H3026" s="434"/>
      <c r="I3026" s="434"/>
      <c r="J3026" s="449"/>
      <c r="K3026" s="292"/>
      <c r="L3026" s="350"/>
      <c r="M3026" s="350"/>
      <c r="N3026" s="292"/>
      <c r="O3026" s="407"/>
      <c r="P3026" s="295"/>
      <c r="R3026" s="348" t="str">
        <f>R3025</f>
        <v>DELETE</v>
      </c>
      <c r="T3026" s="334"/>
    </row>
    <row r="3027" spans="3:24" ht="36" customHeight="1" x14ac:dyDescent="0.45">
      <c r="C3027" s="397"/>
      <c r="D3027" s="434" t="s">
        <v>250</v>
      </c>
      <c r="E3027" s="434"/>
      <c r="F3027" s="434"/>
      <c r="G3027" s="434"/>
      <c r="H3027" s="434"/>
      <c r="I3027" s="434"/>
      <c r="J3027" s="449"/>
      <c r="K3027" s="292"/>
      <c r="L3027" s="350"/>
      <c r="M3027" s="350"/>
      <c r="N3027" s="292"/>
      <c r="O3027" s="408">
        <f>TrialBalanceB!I40</f>
        <v>0</v>
      </c>
      <c r="P3027" s="295"/>
      <c r="R3027" s="348" t="str">
        <f t="shared" ref="R3027:R3054" si="224">IF(R$2978="DELETE","DELETE",IF(O3027=0,"DELETE"," "))</f>
        <v>DELETE</v>
      </c>
      <c r="T3027" s="334"/>
    </row>
    <row r="3028" spans="3:24" ht="36" customHeight="1" x14ac:dyDescent="0.45">
      <c r="C3028" s="397"/>
      <c r="D3028" s="434" t="s">
        <v>658</v>
      </c>
      <c r="E3028" s="434"/>
      <c r="F3028" s="434"/>
      <c r="G3028" s="434"/>
      <c r="H3028" s="434"/>
      <c r="I3028" s="434"/>
      <c r="J3028" s="449"/>
      <c r="K3028" s="292"/>
      <c r="L3028" s="350"/>
      <c r="M3028" s="350"/>
      <c r="N3028" s="292"/>
      <c r="O3028" s="408">
        <f>TrialBalanceB!I41</f>
        <v>0</v>
      </c>
      <c r="P3028" s="295"/>
      <c r="R3028" s="348" t="str">
        <f t="shared" si="224"/>
        <v>DELETE</v>
      </c>
      <c r="T3028" s="334"/>
    </row>
    <row r="3029" spans="3:24" ht="36" customHeight="1" x14ac:dyDescent="0.45">
      <c r="C3029" s="397"/>
      <c r="D3029" s="434" t="s">
        <v>251</v>
      </c>
      <c r="E3029" s="434"/>
      <c r="F3029" s="434"/>
      <c r="G3029" s="434"/>
      <c r="H3029" s="434"/>
      <c r="I3029" s="434"/>
      <c r="J3029" s="449"/>
      <c r="K3029" s="292"/>
      <c r="L3029" s="350"/>
      <c r="M3029" s="350"/>
      <c r="N3029" s="292"/>
      <c r="O3029" s="408">
        <f>TrialBalanceB!I42</f>
        <v>0</v>
      </c>
      <c r="P3029" s="295"/>
      <c r="R3029" s="348" t="str">
        <f t="shared" si="224"/>
        <v>DELETE</v>
      </c>
      <c r="T3029" s="334"/>
    </row>
    <row r="3030" spans="3:24" ht="36" customHeight="1" x14ac:dyDescent="0.45">
      <c r="C3030" s="397"/>
      <c r="D3030" s="434" t="s">
        <v>252</v>
      </c>
      <c r="E3030" s="434"/>
      <c r="F3030" s="434"/>
      <c r="G3030" s="434"/>
      <c r="H3030" s="434"/>
      <c r="I3030" s="434"/>
      <c r="J3030" s="449"/>
      <c r="K3030" s="292">
        <f>B$958</f>
        <v>5</v>
      </c>
      <c r="L3030" s="350"/>
      <c r="M3030" s="350"/>
      <c r="N3030" s="292"/>
      <c r="O3030" s="408">
        <f>SUM(TrialBalanceB!I44:I46)</f>
        <v>0</v>
      </c>
      <c r="P3030" s="295"/>
      <c r="R3030" s="348" t="str">
        <f t="shared" si="224"/>
        <v>DELETE</v>
      </c>
      <c r="T3030" s="334"/>
    </row>
    <row r="3031" spans="3:24" ht="36" customHeight="1" x14ac:dyDescent="0.45">
      <c r="C3031" s="397"/>
      <c r="D3031" s="434" t="s">
        <v>494</v>
      </c>
      <c r="E3031" s="434"/>
      <c r="F3031" s="434"/>
      <c r="G3031" s="434"/>
      <c r="H3031" s="434"/>
      <c r="I3031" s="434"/>
      <c r="J3031" s="449"/>
      <c r="K3031" s="292"/>
      <c r="L3031" s="350"/>
      <c r="M3031" s="350"/>
      <c r="N3031" s="292"/>
      <c r="O3031" s="408">
        <f>TrialBalanceB!I47</f>
        <v>0</v>
      </c>
      <c r="P3031" s="295"/>
      <c r="R3031" s="348" t="str">
        <f t="shared" si="224"/>
        <v>DELETE</v>
      </c>
      <c r="S3031" s="336"/>
      <c r="T3031" s="334"/>
      <c r="U3031" s="336"/>
      <c r="V3031" s="336"/>
      <c r="W3031" s="336"/>
      <c r="X3031" s="336"/>
    </row>
    <row r="3032" spans="3:24" ht="36" customHeight="1" x14ac:dyDescent="0.45">
      <c r="C3032" s="397"/>
      <c r="D3032" s="434" t="s">
        <v>678</v>
      </c>
      <c r="E3032" s="434"/>
      <c r="F3032" s="434"/>
      <c r="G3032" s="434"/>
      <c r="H3032" s="434"/>
      <c r="I3032" s="434"/>
      <c r="J3032" s="449"/>
      <c r="K3032" s="292"/>
      <c r="L3032" s="350"/>
      <c r="M3032" s="350"/>
      <c r="N3032" s="292"/>
      <c r="O3032" s="408">
        <f>TrialBalanceB!I48</f>
        <v>0</v>
      </c>
      <c r="P3032" s="295"/>
      <c r="R3032" s="348" t="str">
        <f t="shared" si="224"/>
        <v>DELETE</v>
      </c>
      <c r="T3032" s="334"/>
    </row>
    <row r="3033" spans="3:24" ht="36" customHeight="1" x14ac:dyDescent="0.45">
      <c r="C3033" s="397"/>
      <c r="D3033" s="434" t="s">
        <v>54</v>
      </c>
      <c r="E3033" s="434"/>
      <c r="F3033" s="434"/>
      <c r="G3033" s="434"/>
      <c r="H3033" s="434"/>
      <c r="I3033" s="434"/>
      <c r="J3033" s="449"/>
      <c r="K3033" s="292"/>
      <c r="L3033" s="350"/>
      <c r="M3033" s="350"/>
      <c r="N3033" s="292"/>
      <c r="O3033" s="408">
        <f>TrialBalanceB!I49</f>
        <v>0</v>
      </c>
      <c r="P3033" s="295"/>
      <c r="R3033" s="348" t="str">
        <f t="shared" si="224"/>
        <v>DELETE</v>
      </c>
      <c r="T3033" s="334"/>
    </row>
    <row r="3034" spans="3:24" ht="36" customHeight="1" x14ac:dyDescent="0.45">
      <c r="C3034" s="397"/>
      <c r="D3034" s="434" t="s">
        <v>253</v>
      </c>
      <c r="E3034" s="434"/>
      <c r="F3034" s="434"/>
      <c r="G3034" s="434"/>
      <c r="H3034" s="434"/>
      <c r="I3034" s="434"/>
      <c r="J3034" s="449"/>
      <c r="K3034" s="292"/>
      <c r="L3034" s="350"/>
      <c r="M3034" s="350"/>
      <c r="N3034" s="292"/>
      <c r="O3034" s="408">
        <f>TrialBalanceB!I50</f>
        <v>0</v>
      </c>
      <c r="P3034" s="295"/>
      <c r="R3034" s="348" t="str">
        <f t="shared" si="224"/>
        <v>DELETE</v>
      </c>
      <c r="T3034" s="334"/>
    </row>
    <row r="3035" spans="3:24" ht="36" customHeight="1" x14ac:dyDescent="0.45">
      <c r="C3035" s="397"/>
      <c r="D3035" s="434" t="s">
        <v>511</v>
      </c>
      <c r="E3035" s="434"/>
      <c r="F3035" s="434"/>
      <c r="G3035" s="434"/>
      <c r="H3035" s="434"/>
      <c r="I3035" s="434"/>
      <c r="J3035" s="449"/>
      <c r="K3035" s="292"/>
      <c r="L3035" s="350"/>
      <c r="M3035" s="350"/>
      <c r="N3035" s="292"/>
      <c r="O3035" s="408">
        <f>SUM(TrialBalanceB!I51:I52)</f>
        <v>0</v>
      </c>
      <c r="P3035" s="295"/>
      <c r="R3035" s="348" t="str">
        <f t="shared" si="224"/>
        <v>DELETE</v>
      </c>
      <c r="T3035" s="334"/>
    </row>
    <row r="3036" spans="3:24" ht="36" customHeight="1" x14ac:dyDescent="0.45">
      <c r="C3036" s="397"/>
      <c r="D3036" s="434" t="s">
        <v>510</v>
      </c>
      <c r="E3036" s="434"/>
      <c r="F3036" s="434"/>
      <c r="G3036" s="434"/>
      <c r="H3036" s="434"/>
      <c r="I3036" s="434"/>
      <c r="J3036" s="449"/>
      <c r="K3036" s="292"/>
      <c r="L3036" s="350"/>
      <c r="M3036" s="350"/>
      <c r="N3036" s="292"/>
      <c r="O3036" s="408">
        <f>TrialBalanceB!I53</f>
        <v>0</v>
      </c>
      <c r="P3036" s="295"/>
      <c r="R3036" s="348" t="str">
        <f t="shared" si="224"/>
        <v>DELETE</v>
      </c>
      <c r="T3036" s="334"/>
    </row>
    <row r="3037" spans="3:24" ht="36" customHeight="1" x14ac:dyDescent="0.45">
      <c r="C3037" s="397"/>
      <c r="D3037" s="434" t="s">
        <v>495</v>
      </c>
      <c r="E3037" s="434"/>
      <c r="F3037" s="434"/>
      <c r="G3037" s="434"/>
      <c r="H3037" s="434"/>
      <c r="I3037" s="434"/>
      <c r="J3037" s="449"/>
      <c r="K3037" s="292"/>
      <c r="L3037" s="350"/>
      <c r="M3037" s="350"/>
      <c r="N3037" s="292"/>
      <c r="O3037" s="408">
        <f>SUM(TrialBalanceB!I55:I59)</f>
        <v>0</v>
      </c>
      <c r="P3037" s="295"/>
      <c r="R3037" s="348" t="str">
        <f t="shared" si="224"/>
        <v>DELETE</v>
      </c>
      <c r="T3037" s="334"/>
    </row>
    <row r="3038" spans="3:24" ht="36" customHeight="1" x14ac:dyDescent="0.45">
      <c r="C3038" s="397"/>
      <c r="D3038" s="434" t="s">
        <v>479</v>
      </c>
      <c r="E3038" s="434"/>
      <c r="F3038" s="434"/>
      <c r="G3038" s="434"/>
      <c r="H3038" s="434"/>
      <c r="I3038" s="434"/>
      <c r="J3038" s="449"/>
      <c r="K3038" s="292">
        <f>B$958</f>
        <v>5</v>
      </c>
      <c r="L3038" s="350"/>
      <c r="M3038" s="350"/>
      <c r="N3038" s="292"/>
      <c r="O3038" s="408">
        <f>SUM(TrialBalanceB!I61:I63)</f>
        <v>0</v>
      </c>
      <c r="P3038" s="295"/>
      <c r="R3038" s="348" t="str">
        <f t="shared" si="224"/>
        <v>DELETE</v>
      </c>
      <c r="T3038" s="334"/>
    </row>
    <row r="3039" spans="3:24" ht="36" customHeight="1" x14ac:dyDescent="0.45">
      <c r="C3039" s="397"/>
      <c r="D3039" s="434" t="s">
        <v>57</v>
      </c>
      <c r="E3039" s="434"/>
      <c r="F3039" s="434"/>
      <c r="G3039" s="434"/>
      <c r="H3039" s="434"/>
      <c r="I3039" s="434"/>
      <c r="J3039" s="449"/>
      <c r="K3039" s="292"/>
      <c r="L3039" s="350"/>
      <c r="M3039" s="350"/>
      <c r="N3039" s="292"/>
      <c r="O3039" s="408">
        <f>TrialBalanceB!I64</f>
        <v>0</v>
      </c>
      <c r="P3039" s="295"/>
      <c r="R3039" s="348" t="str">
        <f t="shared" si="224"/>
        <v>DELETE</v>
      </c>
      <c r="T3039" s="334"/>
    </row>
    <row r="3040" spans="3:24" ht="36" customHeight="1" x14ac:dyDescent="0.45">
      <c r="C3040" s="397"/>
      <c r="D3040" s="434" t="s">
        <v>1210</v>
      </c>
      <c r="E3040" s="434"/>
      <c r="F3040" s="434"/>
      <c r="G3040" s="434"/>
      <c r="H3040" s="434"/>
      <c r="I3040" s="434"/>
      <c r="J3040" s="449"/>
      <c r="K3040" s="292"/>
      <c r="L3040" s="350"/>
      <c r="M3040" s="350"/>
      <c r="N3040" s="292"/>
      <c r="O3040" s="408">
        <f>TrialBalanceB!I65</f>
        <v>0</v>
      </c>
      <c r="P3040" s="295"/>
      <c r="R3040" s="348" t="str">
        <f t="shared" ref="R3040" si="225">IF(R$2978="DELETE","DELETE",IF(O3040=0,"DELETE"," "))</f>
        <v>DELETE</v>
      </c>
      <c r="T3040" s="334"/>
    </row>
    <row r="3041" spans="3:20" ht="36" customHeight="1" x14ac:dyDescent="0.45">
      <c r="C3041" s="397"/>
      <c r="D3041" s="434" t="s">
        <v>235</v>
      </c>
      <c r="E3041" s="434"/>
      <c r="F3041" s="434"/>
      <c r="G3041" s="434"/>
      <c r="H3041" s="434"/>
      <c r="I3041" s="434"/>
      <c r="J3041" s="449"/>
      <c r="K3041" s="292"/>
      <c r="L3041" s="350"/>
      <c r="M3041" s="350"/>
      <c r="N3041" s="292"/>
      <c r="O3041" s="408">
        <f>SUM(TrialBalanceB!I66:I68)</f>
        <v>0</v>
      </c>
      <c r="P3041" s="295"/>
      <c r="R3041" s="348" t="str">
        <f t="shared" si="224"/>
        <v>DELETE</v>
      </c>
      <c r="T3041" s="334"/>
    </row>
    <row r="3042" spans="3:20" ht="36" customHeight="1" x14ac:dyDescent="0.45">
      <c r="C3042" s="397"/>
      <c r="D3042" s="434" t="s">
        <v>679</v>
      </c>
      <c r="E3042" s="434"/>
      <c r="F3042" s="434"/>
      <c r="G3042" s="434"/>
      <c r="H3042" s="434"/>
      <c r="I3042" s="434"/>
      <c r="J3042" s="449"/>
      <c r="K3042" s="292"/>
      <c r="L3042" s="350"/>
      <c r="M3042" s="350"/>
      <c r="N3042" s="292"/>
      <c r="O3042" s="408">
        <f>SUM(TrialBalanceB!I69:I70)</f>
        <v>0</v>
      </c>
      <c r="P3042" s="295"/>
      <c r="R3042" s="348" t="str">
        <f t="shared" si="224"/>
        <v>DELETE</v>
      </c>
      <c r="T3042" s="334"/>
    </row>
    <row r="3043" spans="3:20" ht="36" customHeight="1" x14ac:dyDescent="0.45">
      <c r="C3043" s="397"/>
      <c r="D3043" s="434" t="s">
        <v>236</v>
      </c>
      <c r="E3043" s="434"/>
      <c r="F3043" s="434"/>
      <c r="G3043" s="434"/>
      <c r="H3043" s="434"/>
      <c r="I3043" s="434"/>
      <c r="J3043" s="449"/>
      <c r="K3043" s="292"/>
      <c r="L3043" s="350"/>
      <c r="M3043" s="350"/>
      <c r="N3043" s="292"/>
      <c r="O3043" s="408">
        <f>TrialBalanceB!I71</f>
        <v>0</v>
      </c>
      <c r="P3043" s="295"/>
      <c r="R3043" s="348" t="str">
        <f t="shared" si="224"/>
        <v>DELETE</v>
      </c>
      <c r="T3043" s="334"/>
    </row>
    <row r="3044" spans="3:20" ht="36" customHeight="1" x14ac:dyDescent="0.45">
      <c r="C3044" s="397"/>
      <c r="D3044" s="434" t="s">
        <v>361</v>
      </c>
      <c r="E3044" s="434"/>
      <c r="F3044" s="434"/>
      <c r="G3044" s="434"/>
      <c r="H3044" s="434"/>
      <c r="I3044" s="434"/>
      <c r="J3044" s="449"/>
      <c r="K3044" s="292"/>
      <c r="L3044" s="350"/>
      <c r="M3044" s="350"/>
      <c r="N3044" s="292"/>
      <c r="O3044" s="408">
        <f>TrialBalanceB!I72</f>
        <v>0</v>
      </c>
      <c r="P3044" s="295"/>
      <c r="R3044" s="348" t="str">
        <f t="shared" si="224"/>
        <v>DELETE</v>
      </c>
      <c r="T3044" s="334"/>
    </row>
    <row r="3045" spans="3:20" ht="36" customHeight="1" x14ac:dyDescent="0.45">
      <c r="C3045" s="397"/>
      <c r="D3045" s="434">
        <f>TrialBalanceB!C73</f>
        <v>0</v>
      </c>
      <c r="E3045" s="434"/>
      <c r="F3045" s="434"/>
      <c r="G3045" s="434"/>
      <c r="H3045" s="434"/>
      <c r="I3045" s="434"/>
      <c r="J3045" s="449"/>
      <c r="K3045" s="292"/>
      <c r="L3045" s="350"/>
      <c r="M3045" s="350"/>
      <c r="N3045" s="292"/>
      <c r="O3045" s="408">
        <f>TrialBalanceB!I73</f>
        <v>0</v>
      </c>
      <c r="P3045" s="295"/>
      <c r="R3045" s="348" t="str">
        <f t="shared" si="224"/>
        <v>DELETE</v>
      </c>
      <c r="T3045" s="334"/>
    </row>
    <row r="3046" spans="3:20" ht="36" customHeight="1" x14ac:dyDescent="0.45">
      <c r="C3046" s="397"/>
      <c r="D3046" s="434">
        <f>TrialBalanceB!C74</f>
        <v>0</v>
      </c>
      <c r="E3046" s="434"/>
      <c r="F3046" s="434"/>
      <c r="G3046" s="434"/>
      <c r="H3046" s="434"/>
      <c r="I3046" s="434"/>
      <c r="J3046" s="449"/>
      <c r="K3046" s="292"/>
      <c r="L3046" s="350"/>
      <c r="M3046" s="350"/>
      <c r="N3046" s="292"/>
      <c r="O3046" s="408">
        <f>TrialBalanceB!I74</f>
        <v>0</v>
      </c>
      <c r="P3046" s="295"/>
      <c r="R3046" s="348" t="str">
        <f t="shared" si="224"/>
        <v>DELETE</v>
      </c>
      <c r="T3046" s="334"/>
    </row>
    <row r="3047" spans="3:20" ht="36" customHeight="1" x14ac:dyDescent="0.45">
      <c r="C3047" s="397"/>
      <c r="D3047" s="434">
        <f>TrialBalanceB!C75</f>
        <v>0</v>
      </c>
      <c r="E3047" s="434"/>
      <c r="F3047" s="434"/>
      <c r="G3047" s="434"/>
      <c r="H3047" s="434"/>
      <c r="I3047" s="434"/>
      <c r="J3047" s="449"/>
      <c r="K3047" s="292"/>
      <c r="L3047" s="350"/>
      <c r="M3047" s="350"/>
      <c r="N3047" s="292"/>
      <c r="O3047" s="408">
        <f>TrialBalanceB!I75</f>
        <v>0</v>
      </c>
      <c r="P3047" s="295"/>
      <c r="R3047" s="348" t="str">
        <f t="shared" si="224"/>
        <v>DELETE</v>
      </c>
      <c r="T3047" s="334"/>
    </row>
    <row r="3048" spans="3:20" ht="36" customHeight="1" x14ac:dyDescent="0.45">
      <c r="C3048" s="397"/>
      <c r="D3048" s="434">
        <f>TrialBalanceB!C76</f>
        <v>0</v>
      </c>
      <c r="E3048" s="434"/>
      <c r="F3048" s="434"/>
      <c r="G3048" s="434"/>
      <c r="H3048" s="434"/>
      <c r="I3048" s="434"/>
      <c r="J3048" s="449"/>
      <c r="K3048" s="292"/>
      <c r="L3048" s="350"/>
      <c r="M3048" s="350"/>
      <c r="N3048" s="292"/>
      <c r="O3048" s="408">
        <f>TrialBalanceB!I76</f>
        <v>0</v>
      </c>
      <c r="P3048" s="295"/>
      <c r="R3048" s="348" t="str">
        <f t="shared" si="224"/>
        <v>DELETE</v>
      </c>
      <c r="T3048" s="334"/>
    </row>
    <row r="3049" spans="3:20" ht="36" customHeight="1" x14ac:dyDescent="0.45">
      <c r="C3049" s="397"/>
      <c r="D3049" s="434">
        <f>TrialBalanceB!C77</f>
        <v>0</v>
      </c>
      <c r="E3049" s="434"/>
      <c r="F3049" s="434"/>
      <c r="G3049" s="434"/>
      <c r="H3049" s="434"/>
      <c r="I3049" s="434"/>
      <c r="J3049" s="449"/>
      <c r="K3049" s="292"/>
      <c r="L3049" s="350"/>
      <c r="M3049" s="350"/>
      <c r="N3049" s="292"/>
      <c r="O3049" s="408">
        <f>TrialBalanceB!I77</f>
        <v>0</v>
      </c>
      <c r="P3049" s="295"/>
      <c r="R3049" s="348" t="str">
        <f t="shared" si="224"/>
        <v>DELETE</v>
      </c>
      <c r="T3049" s="334"/>
    </row>
    <row r="3050" spans="3:20" ht="36" customHeight="1" x14ac:dyDescent="0.45">
      <c r="C3050" s="397"/>
      <c r="D3050" s="434">
        <f>TrialBalanceB!C78</f>
        <v>0</v>
      </c>
      <c r="E3050" s="434"/>
      <c r="F3050" s="434"/>
      <c r="G3050" s="434"/>
      <c r="H3050" s="434"/>
      <c r="I3050" s="434"/>
      <c r="J3050" s="449"/>
      <c r="K3050" s="292"/>
      <c r="L3050" s="350"/>
      <c r="M3050" s="350"/>
      <c r="N3050" s="292"/>
      <c r="O3050" s="408">
        <f>TrialBalanceB!I78</f>
        <v>0</v>
      </c>
      <c r="P3050" s="295"/>
      <c r="R3050" s="348" t="str">
        <f t="shared" si="224"/>
        <v>DELETE</v>
      </c>
      <c r="T3050" s="334"/>
    </row>
    <row r="3051" spans="3:20" ht="36" customHeight="1" x14ac:dyDescent="0.45">
      <c r="C3051" s="397"/>
      <c r="D3051" s="434">
        <f>TrialBalanceB!C79</f>
        <v>0</v>
      </c>
      <c r="E3051" s="434"/>
      <c r="F3051" s="434"/>
      <c r="G3051" s="434"/>
      <c r="H3051" s="434"/>
      <c r="I3051" s="434"/>
      <c r="J3051" s="449"/>
      <c r="K3051" s="292"/>
      <c r="L3051" s="350"/>
      <c r="M3051" s="350"/>
      <c r="N3051" s="292"/>
      <c r="O3051" s="408">
        <f>TrialBalanceB!I79</f>
        <v>0</v>
      </c>
      <c r="P3051" s="295"/>
      <c r="R3051" s="348" t="str">
        <f t="shared" si="224"/>
        <v>DELETE</v>
      </c>
      <c r="T3051" s="334"/>
    </row>
    <row r="3052" spans="3:20" ht="36" customHeight="1" x14ac:dyDescent="0.45">
      <c r="C3052" s="397"/>
      <c r="D3052" s="434">
        <f>TrialBalanceB!C80</f>
        <v>0</v>
      </c>
      <c r="E3052" s="434"/>
      <c r="F3052" s="434"/>
      <c r="G3052" s="434"/>
      <c r="H3052" s="434"/>
      <c r="I3052" s="434"/>
      <c r="J3052" s="449"/>
      <c r="K3052" s="292"/>
      <c r="L3052" s="350"/>
      <c r="M3052" s="350"/>
      <c r="N3052" s="292"/>
      <c r="O3052" s="408">
        <f>TrialBalanceB!I80</f>
        <v>0</v>
      </c>
      <c r="P3052" s="295"/>
      <c r="R3052" s="348" t="str">
        <f t="shared" si="224"/>
        <v>DELETE</v>
      </c>
      <c r="T3052" s="334"/>
    </row>
    <row r="3053" spans="3:20" ht="36" customHeight="1" x14ac:dyDescent="0.45">
      <c r="C3053" s="397"/>
      <c r="D3053" s="434">
        <f>TrialBalanceB!C81</f>
        <v>0</v>
      </c>
      <c r="E3053" s="434"/>
      <c r="F3053" s="434"/>
      <c r="G3053" s="434"/>
      <c r="H3053" s="434"/>
      <c r="I3053" s="434"/>
      <c r="J3053" s="449"/>
      <c r="K3053" s="292"/>
      <c r="L3053" s="350"/>
      <c r="M3053" s="350"/>
      <c r="N3053" s="292"/>
      <c r="O3053" s="408">
        <f>TrialBalanceB!I81</f>
        <v>0</v>
      </c>
      <c r="P3053" s="295"/>
      <c r="R3053" s="348" t="str">
        <f t="shared" si="224"/>
        <v>DELETE</v>
      </c>
      <c r="T3053" s="334"/>
    </row>
    <row r="3054" spans="3:20" ht="36" customHeight="1" x14ac:dyDescent="0.45">
      <c r="C3054" s="397"/>
      <c r="D3054" s="434">
        <f>TrialBalanceB!C82</f>
        <v>0</v>
      </c>
      <c r="E3054" s="434"/>
      <c r="F3054" s="434"/>
      <c r="G3054" s="434"/>
      <c r="H3054" s="434"/>
      <c r="I3054" s="434"/>
      <c r="J3054" s="449"/>
      <c r="K3054" s="292"/>
      <c r="L3054" s="350"/>
      <c r="M3054" s="350"/>
      <c r="N3054" s="292"/>
      <c r="O3054" s="408">
        <f>TrialBalanceB!I82</f>
        <v>0</v>
      </c>
      <c r="P3054" s="295"/>
      <c r="R3054" s="348" t="str">
        <f t="shared" si="224"/>
        <v>DELETE</v>
      </c>
      <c r="T3054" s="334"/>
    </row>
    <row r="3055" spans="3:20" ht="9" customHeight="1" x14ac:dyDescent="0.45">
      <c r="C3055" s="397"/>
      <c r="D3055" s="434"/>
      <c r="E3055" s="434"/>
      <c r="F3055" s="434"/>
      <c r="G3055" s="434"/>
      <c r="H3055" s="434"/>
      <c r="I3055" s="434"/>
      <c r="J3055" s="449"/>
      <c r="K3055" s="292"/>
      <c r="L3055" s="350"/>
      <c r="M3055" s="350"/>
      <c r="N3055" s="292"/>
      <c r="O3055" s="409"/>
      <c r="P3055" s="295"/>
      <c r="R3055" s="348" t="str">
        <f>R3024</f>
        <v>DELETE</v>
      </c>
      <c r="T3055" s="334"/>
    </row>
    <row r="3056" spans="3:20" ht="9" customHeight="1" x14ac:dyDescent="0.45">
      <c r="C3056" s="397"/>
      <c r="D3056" s="434"/>
      <c r="E3056" s="434"/>
      <c r="F3056" s="434"/>
      <c r="G3056" s="434"/>
      <c r="H3056" s="434"/>
      <c r="I3056" s="434"/>
      <c r="J3056" s="449"/>
      <c r="K3056" s="292"/>
      <c r="L3056" s="350"/>
      <c r="M3056" s="350"/>
      <c r="N3056" s="292"/>
      <c r="O3056" s="298"/>
      <c r="P3056" s="295"/>
      <c r="R3056" s="348" t="str">
        <f t="shared" ref="R3056:R3076" si="226">R$2978</f>
        <v>DELETE</v>
      </c>
      <c r="T3056" s="334"/>
    </row>
    <row r="3057" spans="3:20" ht="9" customHeight="1" x14ac:dyDescent="0.45">
      <c r="C3057" s="397"/>
      <c r="D3057" s="434"/>
      <c r="E3057" s="434"/>
      <c r="F3057" s="434"/>
      <c r="G3057" s="434"/>
      <c r="H3057" s="434"/>
      <c r="I3057" s="434"/>
      <c r="J3057" s="449"/>
      <c r="K3057" s="292"/>
      <c r="L3057" s="350"/>
      <c r="M3057" s="350"/>
      <c r="N3057" s="292"/>
      <c r="O3057" s="296"/>
      <c r="P3057" s="295"/>
      <c r="R3057" s="348" t="str">
        <f t="shared" si="226"/>
        <v>DELETE</v>
      </c>
      <c r="T3057" s="334"/>
    </row>
    <row r="3058" spans="3:20" ht="36" customHeight="1" x14ac:dyDescent="0.45">
      <c r="D3058" s="446" t="str">
        <f>IF(O3058&lt;0,"Operating loss","Operating profit")</f>
        <v>Operating profit</v>
      </c>
      <c r="E3058" s="434"/>
      <c r="F3058" s="434"/>
      <c r="G3058" s="434"/>
      <c r="H3058" s="434"/>
      <c r="I3058" s="434"/>
      <c r="J3058" s="449"/>
      <c r="K3058" s="292"/>
      <c r="L3058" s="350"/>
      <c r="M3058" s="350"/>
      <c r="N3058" s="292"/>
      <c r="O3058" s="296">
        <f>SUM(S2990:S3056)</f>
        <v>0</v>
      </c>
      <c r="P3058" s="295"/>
      <c r="R3058" s="348" t="str">
        <f t="shared" si="226"/>
        <v>DELETE</v>
      </c>
      <c r="T3058" s="334"/>
    </row>
    <row r="3059" spans="3:20" ht="36" customHeight="1" x14ac:dyDescent="0.45">
      <c r="C3059" s="397"/>
      <c r="D3059" s="434"/>
      <c r="E3059" s="434" t="s">
        <v>238</v>
      </c>
      <c r="F3059" s="434"/>
      <c r="G3059" s="434"/>
      <c r="H3059" s="434"/>
      <c r="I3059" s="434"/>
      <c r="J3059" s="449"/>
      <c r="K3059" s="292"/>
      <c r="L3059" s="350"/>
      <c r="M3059" s="350"/>
      <c r="N3059" s="292"/>
      <c r="O3059" s="296"/>
      <c r="P3059" s="295"/>
      <c r="R3059" s="348" t="str">
        <f t="shared" si="226"/>
        <v>DELETE</v>
      </c>
      <c r="T3059" s="334"/>
    </row>
    <row r="3060" spans="3:20" ht="36" customHeight="1" x14ac:dyDescent="0.45">
      <c r="C3060" s="397"/>
      <c r="D3060" s="434"/>
      <c r="E3060" s="434"/>
      <c r="F3060" s="434"/>
      <c r="G3060" s="434"/>
      <c r="H3060" s="434"/>
      <c r="I3060" s="434"/>
      <c r="J3060" s="449"/>
      <c r="K3060" s="292"/>
      <c r="L3060" s="292"/>
      <c r="M3060" s="296"/>
      <c r="N3060" s="296"/>
      <c r="O3060" s="296"/>
      <c r="P3060" s="295"/>
      <c r="R3060" s="348" t="str">
        <f t="shared" si="226"/>
        <v>DELETE</v>
      </c>
      <c r="T3060" s="334"/>
    </row>
    <row r="3061" spans="3:20" ht="36" customHeight="1" x14ac:dyDescent="0.45">
      <c r="C3061" s="397"/>
      <c r="D3061" s="434"/>
      <c r="E3061" s="434"/>
      <c r="F3061" s="434"/>
      <c r="G3061" s="434"/>
      <c r="H3061" s="434"/>
      <c r="I3061" s="434"/>
      <c r="J3061" s="449"/>
      <c r="K3061" s="292"/>
      <c r="L3061" s="292"/>
      <c r="M3061" s="296"/>
      <c r="N3061" s="296"/>
      <c r="O3061" s="296"/>
      <c r="P3061" s="295"/>
      <c r="R3061" s="348" t="str">
        <f t="shared" si="226"/>
        <v>DELETE</v>
      </c>
      <c r="T3061" s="334"/>
    </row>
    <row r="3062" spans="3:20" ht="36" customHeight="1" x14ac:dyDescent="0.45">
      <c r="C3062" s="397"/>
      <c r="D3062" s="434"/>
      <c r="E3062" s="434"/>
      <c r="F3062" s="434"/>
      <c r="G3062" s="434"/>
      <c r="H3062" s="434"/>
      <c r="I3062" s="434"/>
      <c r="J3062" s="449"/>
      <c r="K3062" s="292"/>
      <c r="L3062" s="292"/>
      <c r="M3062" s="310"/>
      <c r="N3062" s="310"/>
      <c r="O3062" s="310"/>
      <c r="P3062" s="330"/>
      <c r="R3062" s="348" t="str">
        <f t="shared" si="226"/>
        <v>DELETE</v>
      </c>
      <c r="T3062" s="334"/>
    </row>
    <row r="3063" spans="3:20" ht="36" customHeight="1" x14ac:dyDescent="0.45">
      <c r="C3063" s="397"/>
      <c r="D3063" s="434"/>
      <c r="E3063" s="434"/>
      <c r="F3063" s="434"/>
      <c r="G3063" s="434"/>
      <c r="H3063" s="434"/>
      <c r="I3063" s="434"/>
      <c r="J3063" s="449"/>
      <c r="K3063" s="292"/>
      <c r="L3063" s="292"/>
      <c r="M3063" s="296"/>
      <c r="N3063" s="296"/>
      <c r="O3063" s="296"/>
      <c r="P3063" s="295"/>
      <c r="R3063" s="348" t="str">
        <f t="shared" si="226"/>
        <v>DELETE</v>
      </c>
      <c r="T3063" s="334"/>
    </row>
    <row r="3064" spans="3:20" ht="36" customHeight="1" x14ac:dyDescent="0.45">
      <c r="C3064" s="397"/>
      <c r="D3064" s="434"/>
      <c r="E3064" s="434"/>
      <c r="F3064" s="434"/>
      <c r="G3064" s="434"/>
      <c r="H3064" s="434"/>
      <c r="I3064" s="434"/>
      <c r="J3064" s="449"/>
      <c r="K3064" s="292"/>
      <c r="L3064" s="292"/>
      <c r="M3064" s="296"/>
      <c r="N3064" s="296"/>
      <c r="O3064" s="296" t="s">
        <v>89</v>
      </c>
      <c r="P3064" s="295"/>
      <c r="Q3064" s="292">
        <f>MAX($Q$2978:Q3063)+1</f>
        <v>2</v>
      </c>
      <c r="R3064" s="348" t="str">
        <f t="shared" si="226"/>
        <v>DELETE</v>
      </c>
      <c r="T3064" s="334"/>
    </row>
    <row r="3065" spans="3:20" ht="36" customHeight="1" x14ac:dyDescent="0.45">
      <c r="C3065" s="397"/>
      <c r="D3065" s="433" t="str">
        <f>Criteria!E15</f>
        <v>SUBSIDIARY TWO 15 (PTY) LTD</v>
      </c>
      <c r="E3065" s="434"/>
      <c r="F3065" s="434"/>
      <c r="G3065" s="434"/>
      <c r="H3065" s="434"/>
      <c r="I3065" s="434"/>
      <c r="J3065" s="449"/>
      <c r="K3065" s="292"/>
      <c r="L3065" s="292"/>
      <c r="M3065" s="296"/>
      <c r="N3065" s="296"/>
      <c r="O3065" s="347"/>
      <c r="R3065" s="348" t="str">
        <f t="shared" si="226"/>
        <v>DELETE</v>
      </c>
      <c r="T3065" s="334"/>
    </row>
    <row r="3066" spans="3:20" ht="36" customHeight="1" x14ac:dyDescent="0.45">
      <c r="C3066" s="397"/>
      <c r="D3066" s="438"/>
      <c r="E3066" s="434"/>
      <c r="F3066" s="434"/>
      <c r="G3066" s="434"/>
      <c r="H3066" s="434"/>
      <c r="I3066" s="434"/>
      <c r="J3066" s="449"/>
      <c r="K3066" s="292"/>
      <c r="L3066" s="292"/>
      <c r="M3066" s="296"/>
      <c r="N3066" s="296"/>
      <c r="O3066" s="296"/>
      <c r="P3066" s="295"/>
      <c r="R3066" s="348" t="str">
        <f t="shared" si="226"/>
        <v>DELETE</v>
      </c>
      <c r="T3066" s="334"/>
    </row>
    <row r="3067" spans="3:20" ht="36" customHeight="1" x14ac:dyDescent="0.45">
      <c r="C3067" s="397"/>
      <c r="D3067" s="434"/>
      <c r="E3067" s="434"/>
      <c r="F3067" s="434"/>
      <c r="G3067" s="434"/>
      <c r="H3067" s="434"/>
      <c r="I3067" s="434"/>
      <c r="J3067" s="449"/>
      <c r="K3067" s="292"/>
      <c r="L3067" s="292"/>
      <c r="M3067" s="296"/>
      <c r="N3067" s="296"/>
      <c r="O3067" s="296"/>
      <c r="P3067" s="295"/>
      <c r="R3067" s="348" t="str">
        <f t="shared" si="226"/>
        <v>DELETE</v>
      </c>
      <c r="T3067" s="334"/>
    </row>
    <row r="3068" spans="3:20" ht="36" customHeight="1" x14ac:dyDescent="0.45">
      <c r="C3068" s="397"/>
      <c r="D3068" s="433" t="s">
        <v>86</v>
      </c>
      <c r="E3068" s="434"/>
      <c r="F3068" s="434"/>
      <c r="G3068" s="434"/>
      <c r="H3068" s="434"/>
      <c r="I3068" s="434"/>
      <c r="J3068" s="449"/>
      <c r="K3068" s="292"/>
      <c r="L3068" s="292"/>
      <c r="M3068" s="296"/>
      <c r="N3068" s="296"/>
      <c r="O3068" s="296"/>
      <c r="P3068" s="295"/>
      <c r="R3068" s="348" t="str">
        <f t="shared" si="226"/>
        <v>DELETE</v>
      </c>
      <c r="T3068" s="334"/>
    </row>
    <row r="3069" spans="3:20" ht="36" customHeight="1" x14ac:dyDescent="0.45">
      <c r="C3069" s="397"/>
      <c r="D3069" s="433" t="str">
        <f>D2985</f>
        <v>28 FEBRUARY 2025</v>
      </c>
      <c r="E3069" s="434"/>
      <c r="F3069" s="434"/>
      <c r="G3069" s="434"/>
      <c r="H3069" s="434"/>
      <c r="I3069" s="434"/>
      <c r="J3069" s="434" t="s">
        <v>95</v>
      </c>
      <c r="K3069" s="292"/>
      <c r="L3069" s="292"/>
      <c r="M3069" s="296"/>
      <c r="N3069" s="296"/>
      <c r="O3069" s="296"/>
      <c r="P3069" s="295"/>
      <c r="R3069" s="348" t="str">
        <f t="shared" si="226"/>
        <v>DELETE</v>
      </c>
      <c r="T3069" s="334"/>
    </row>
    <row r="3070" spans="3:20" ht="36" customHeight="1" x14ac:dyDescent="0.45">
      <c r="C3070" s="397"/>
      <c r="D3070" s="434"/>
      <c r="E3070" s="434"/>
      <c r="F3070" s="434"/>
      <c r="G3070" s="434"/>
      <c r="H3070" s="434"/>
      <c r="I3070" s="434"/>
      <c r="J3070" s="449"/>
      <c r="K3070" s="304"/>
      <c r="L3070" s="304"/>
      <c r="M3070" s="298"/>
      <c r="N3070" s="298"/>
      <c r="O3070" s="298"/>
      <c r="P3070" s="295"/>
      <c r="R3070" s="348" t="str">
        <f t="shared" si="226"/>
        <v>DELETE</v>
      </c>
      <c r="T3070" s="334"/>
    </row>
    <row r="3071" spans="3:20" ht="36" customHeight="1" x14ac:dyDescent="0.45">
      <c r="C3071" s="397"/>
      <c r="D3071" s="444"/>
      <c r="E3071" s="444"/>
      <c r="F3071" s="444"/>
      <c r="G3071" s="444"/>
      <c r="H3071" s="444"/>
      <c r="I3071" s="444"/>
      <c r="J3071" s="453"/>
      <c r="M3071" s="351"/>
      <c r="N3071" s="351"/>
      <c r="O3071" s="351"/>
      <c r="P3071" s="313"/>
      <c r="Q3071" s="364"/>
      <c r="R3071" s="348" t="str">
        <f t="shared" si="226"/>
        <v>DELETE</v>
      </c>
      <c r="T3071" s="334"/>
    </row>
    <row r="3072" spans="3:20" ht="36" customHeight="1" x14ac:dyDescent="0.45">
      <c r="C3072" s="397"/>
      <c r="D3072" s="434"/>
      <c r="E3072" s="434"/>
      <c r="F3072" s="434"/>
      <c r="G3072" s="434"/>
      <c r="H3072" s="434"/>
      <c r="I3072" s="434"/>
      <c r="J3072" s="449"/>
      <c r="K3072" s="292" t="s">
        <v>1041</v>
      </c>
      <c r="L3072" s="350"/>
      <c r="M3072" s="350"/>
      <c r="N3072" s="292"/>
      <c r="O3072" s="294">
        <f>Criteria!E22</f>
        <v>2025</v>
      </c>
      <c r="P3072" s="295"/>
      <c r="R3072" s="348" t="str">
        <f t="shared" si="226"/>
        <v>DELETE</v>
      </c>
      <c r="T3072" s="334"/>
    </row>
    <row r="3073" spans="3:24" ht="36" customHeight="1" x14ac:dyDescent="0.45">
      <c r="C3073" s="397"/>
      <c r="D3073" s="434"/>
      <c r="E3073" s="434"/>
      <c r="F3073" s="434"/>
      <c r="G3073" s="434"/>
      <c r="H3073" s="434"/>
      <c r="I3073" s="434"/>
      <c r="J3073" s="449"/>
      <c r="K3073" s="292"/>
      <c r="L3073" s="350"/>
      <c r="M3073" s="350"/>
      <c r="N3073" s="292"/>
      <c r="O3073" s="296"/>
      <c r="P3073" s="295"/>
      <c r="R3073" s="348" t="str">
        <f t="shared" si="226"/>
        <v>DELETE</v>
      </c>
      <c r="T3073" s="334"/>
    </row>
    <row r="3074" spans="3:24" ht="36" customHeight="1" x14ac:dyDescent="0.45">
      <c r="D3074" s="446" t="str">
        <f>IF(O3074&lt;0,"Operating loss","Operating profit")</f>
        <v>Operating profit</v>
      </c>
      <c r="E3074" s="434"/>
      <c r="F3074" s="434"/>
      <c r="G3074" s="434"/>
      <c r="H3074" s="434"/>
      <c r="I3074" s="434"/>
      <c r="J3074" s="449"/>
      <c r="K3074" s="292"/>
      <c r="L3074" s="350"/>
      <c r="M3074" s="350"/>
      <c r="N3074" s="292"/>
      <c r="O3074" s="296">
        <f>SUM(S2990:S3055)</f>
        <v>0</v>
      </c>
      <c r="P3074" s="295"/>
      <c r="R3074" s="348" t="str">
        <f t="shared" si="226"/>
        <v>DELETE</v>
      </c>
      <c r="T3074" s="334"/>
      <c r="V3074" s="331" t="b">
        <f>O3074=O3058</f>
        <v>1</v>
      </c>
    </row>
    <row r="3075" spans="3:24" ht="36" customHeight="1" x14ac:dyDescent="0.45">
      <c r="C3075" s="397"/>
      <c r="D3075" s="434"/>
      <c r="E3075" s="434" t="s">
        <v>239</v>
      </c>
      <c r="F3075" s="434"/>
      <c r="G3075" s="434"/>
      <c r="H3075" s="434"/>
      <c r="I3075" s="434"/>
      <c r="J3075" s="449"/>
      <c r="K3075" s="292"/>
      <c r="L3075" s="350"/>
      <c r="M3075" s="350"/>
      <c r="N3075" s="292"/>
      <c r="O3075" s="296"/>
      <c r="P3075" s="295"/>
      <c r="R3075" s="348" t="str">
        <f t="shared" si="226"/>
        <v>DELETE</v>
      </c>
      <c r="T3075" s="334"/>
    </row>
    <row r="3076" spans="3:24" ht="36" customHeight="1" x14ac:dyDescent="0.45">
      <c r="C3076" s="397"/>
      <c r="D3076" s="434"/>
      <c r="E3076" s="434"/>
      <c r="F3076" s="434"/>
      <c r="G3076" s="434"/>
      <c r="H3076" s="434"/>
      <c r="I3076" s="434"/>
      <c r="J3076" s="449"/>
      <c r="K3076" s="292"/>
      <c r="L3076" s="350"/>
      <c r="M3076" s="350"/>
      <c r="N3076" s="292"/>
      <c r="O3076" s="296"/>
      <c r="P3076" s="295"/>
      <c r="R3076" s="348" t="str">
        <f t="shared" si="226"/>
        <v>DELETE</v>
      </c>
      <c r="T3076" s="334"/>
    </row>
    <row r="3077" spans="3:24" ht="36" customHeight="1" x14ac:dyDescent="0.45">
      <c r="D3077" s="433" t="s">
        <v>1076</v>
      </c>
      <c r="E3077" s="434"/>
      <c r="F3077" s="434"/>
      <c r="G3077" s="434"/>
      <c r="H3077" s="434"/>
      <c r="I3077" s="434"/>
      <c r="J3077" s="449"/>
      <c r="K3077" s="292"/>
      <c r="L3077" s="350"/>
      <c r="M3077" s="350"/>
      <c r="N3077" s="292"/>
      <c r="O3077" s="296">
        <f>SUM(O3080:O3113)</f>
        <v>0</v>
      </c>
      <c r="P3077" s="295"/>
      <c r="R3077" s="348" t="str">
        <f t="shared" ref="R3077" si="227">IF(R$2978="DELETE","DELETE",IF(O3077=0,"DELETE"," "))</f>
        <v>DELETE</v>
      </c>
      <c r="S3077" s="333">
        <f>-O3077</f>
        <v>0</v>
      </c>
      <c r="T3077" s="334"/>
      <c r="U3077" s="333"/>
      <c r="V3077" s="333"/>
      <c r="W3077" s="333"/>
      <c r="X3077" s="333"/>
    </row>
    <row r="3078" spans="3:24" ht="9" customHeight="1" x14ac:dyDescent="0.45">
      <c r="C3078" s="397"/>
      <c r="D3078" s="434"/>
      <c r="E3078" s="434"/>
      <c r="F3078" s="434"/>
      <c r="G3078" s="434"/>
      <c r="H3078" s="434"/>
      <c r="I3078" s="434"/>
      <c r="J3078" s="449"/>
      <c r="K3078" s="292"/>
      <c r="L3078" s="350"/>
      <c r="M3078" s="350"/>
      <c r="N3078" s="292"/>
      <c r="O3078" s="296"/>
      <c r="P3078" s="295"/>
      <c r="R3078" s="348" t="str">
        <f>R3077</f>
        <v>DELETE</v>
      </c>
      <c r="T3078" s="334"/>
    </row>
    <row r="3079" spans="3:24" ht="9" customHeight="1" x14ac:dyDescent="0.45">
      <c r="C3079" s="397"/>
      <c r="D3079" s="434"/>
      <c r="E3079" s="434"/>
      <c r="F3079" s="434"/>
      <c r="G3079" s="434"/>
      <c r="H3079" s="434"/>
      <c r="I3079" s="434"/>
      <c r="J3079" s="449"/>
      <c r="K3079" s="292"/>
      <c r="L3079" s="350"/>
      <c r="M3079" s="350"/>
      <c r="N3079" s="292"/>
      <c r="O3079" s="407"/>
      <c r="P3079" s="295"/>
      <c r="R3079" s="348" t="str">
        <f>R3078</f>
        <v>DELETE</v>
      </c>
      <c r="T3079" s="334"/>
    </row>
    <row r="3080" spans="3:24" ht="36" customHeight="1" x14ac:dyDescent="0.45">
      <c r="C3080" s="397"/>
      <c r="D3080" s="434" t="s">
        <v>199</v>
      </c>
      <c r="E3080" s="434"/>
      <c r="F3080" s="434"/>
      <c r="G3080" s="434"/>
      <c r="H3080" s="434"/>
      <c r="I3080" s="434"/>
      <c r="J3080" s="449"/>
      <c r="K3080" s="292"/>
      <c r="L3080" s="350"/>
      <c r="M3080" s="350"/>
      <c r="N3080" s="292"/>
      <c r="O3080" s="408">
        <f>SUM(TrialBalanceB!I99:I102)</f>
        <v>0</v>
      </c>
      <c r="P3080" s="295"/>
      <c r="R3080" s="348" t="str">
        <f t="shared" ref="R3080:R3111" si="228">IF(R$2978="DELETE","DELETE",IF(O3080=0,"DELETE"," "))</f>
        <v>DELETE</v>
      </c>
      <c r="T3080" s="334"/>
    </row>
    <row r="3081" spans="3:24" ht="36" customHeight="1" x14ac:dyDescent="0.45">
      <c r="C3081" s="397"/>
      <c r="D3081" s="434" t="s">
        <v>203</v>
      </c>
      <c r="E3081" s="434"/>
      <c r="F3081" s="434"/>
      <c r="G3081" s="434"/>
      <c r="H3081" s="434"/>
      <c r="I3081" s="434"/>
      <c r="J3081" s="449"/>
      <c r="K3081" s="292"/>
      <c r="L3081" s="350"/>
      <c r="M3081" s="350"/>
      <c r="N3081" s="292"/>
      <c r="O3081" s="408">
        <f>TrialBalanceB!I104</f>
        <v>0</v>
      </c>
      <c r="P3081" s="295"/>
      <c r="R3081" s="348" t="str">
        <f>IF(R$2978="DELETE","DELETE",IF(O3081=0,"DELETE"," "))</f>
        <v>DELETE</v>
      </c>
      <c r="T3081" s="334"/>
    </row>
    <row r="3082" spans="3:24" ht="36" customHeight="1" x14ac:dyDescent="0.45">
      <c r="C3082" s="397"/>
      <c r="D3082" s="434" t="s">
        <v>201</v>
      </c>
      <c r="E3082" s="434"/>
      <c r="F3082" s="434"/>
      <c r="G3082" s="434"/>
      <c r="H3082" s="434"/>
      <c r="I3082" s="434"/>
      <c r="J3082" s="449"/>
      <c r="K3082" s="292"/>
      <c r="L3082" s="350"/>
      <c r="M3082" s="350"/>
      <c r="N3082" s="292"/>
      <c r="O3082" s="408">
        <f>TrialBalanceB!I103</f>
        <v>0</v>
      </c>
      <c r="P3082" s="295"/>
      <c r="R3082" s="348" t="str">
        <f>IF(R$2978="DELETE","DELETE",IF(O3082=0,"DELETE"," "))</f>
        <v>DELETE</v>
      </c>
      <c r="T3082" s="334"/>
    </row>
    <row r="3083" spans="3:24" ht="36" customHeight="1" x14ac:dyDescent="0.45">
      <c r="C3083" s="397"/>
      <c r="D3083" s="434" t="s">
        <v>240</v>
      </c>
      <c r="E3083" s="434"/>
      <c r="F3083" s="434"/>
      <c r="G3083" s="434"/>
      <c r="H3083" s="434"/>
      <c r="I3083" s="434"/>
      <c r="J3083" s="449"/>
      <c r="K3083" s="292"/>
      <c r="L3083" s="350"/>
      <c r="M3083" s="350"/>
      <c r="N3083" s="292"/>
      <c r="O3083" s="408">
        <f>TrialBalanceB!I105</f>
        <v>0</v>
      </c>
      <c r="P3083" s="295"/>
      <c r="R3083" s="348" t="str">
        <f t="shared" si="228"/>
        <v>DELETE</v>
      </c>
      <c r="T3083" s="334"/>
    </row>
    <row r="3084" spans="3:24" ht="36" customHeight="1" x14ac:dyDescent="0.45">
      <c r="C3084" s="397"/>
      <c r="D3084" s="434" t="s">
        <v>206</v>
      </c>
      <c r="E3084" s="434"/>
      <c r="F3084" s="434"/>
      <c r="G3084" s="434"/>
      <c r="H3084" s="434"/>
      <c r="I3084" s="434"/>
      <c r="J3084" s="449"/>
      <c r="K3084" s="292"/>
      <c r="L3084" s="350"/>
      <c r="M3084" s="350"/>
      <c r="N3084" s="292"/>
      <c r="O3084" s="408">
        <f>TrialBalanceB!I106</f>
        <v>0</v>
      </c>
      <c r="P3084" s="295"/>
      <c r="R3084" s="348" t="str">
        <f t="shared" si="228"/>
        <v>DELETE</v>
      </c>
      <c r="T3084" s="334"/>
    </row>
    <row r="3085" spans="3:24" ht="36" customHeight="1" x14ac:dyDescent="0.45">
      <c r="C3085" s="397"/>
      <c r="D3085" s="434" t="s">
        <v>680</v>
      </c>
      <c r="E3085" s="434"/>
      <c r="F3085" s="434"/>
      <c r="G3085" s="434"/>
      <c r="H3085" s="434"/>
      <c r="I3085" s="434"/>
      <c r="J3085" s="449"/>
      <c r="K3085" s="292"/>
      <c r="L3085" s="350"/>
      <c r="M3085" s="350"/>
      <c r="N3085" s="292"/>
      <c r="O3085" s="408">
        <f>TrialBalanceB!I107</f>
        <v>0</v>
      </c>
      <c r="P3085" s="295"/>
      <c r="R3085" s="348" t="str">
        <f t="shared" si="228"/>
        <v>DELETE</v>
      </c>
      <c r="T3085" s="334"/>
    </row>
    <row r="3086" spans="3:24" ht="36" customHeight="1" x14ac:dyDescent="0.45">
      <c r="C3086" s="397"/>
      <c r="D3086" s="434" t="s">
        <v>1212</v>
      </c>
      <c r="E3086" s="434"/>
      <c r="F3086" s="434"/>
      <c r="G3086" s="434"/>
      <c r="H3086" s="434"/>
      <c r="I3086" s="434"/>
      <c r="J3086" s="449"/>
      <c r="K3086" s="292"/>
      <c r="L3086" s="350"/>
      <c r="M3086" s="350"/>
      <c r="N3086" s="292"/>
      <c r="O3086" s="408">
        <f>TrialBalanceB!I108</f>
        <v>0</v>
      </c>
      <c r="P3086" s="295"/>
      <c r="R3086" s="348" t="str">
        <f t="shared" ref="R3086" si="229">IF(R$2978="DELETE","DELETE",IF(O3086=0,"DELETE"," "))</f>
        <v>DELETE</v>
      </c>
      <c r="T3086" s="334"/>
    </row>
    <row r="3087" spans="3:24" ht="36" customHeight="1" x14ac:dyDescent="0.45">
      <c r="C3087" s="397"/>
      <c r="D3087" s="434" t="s">
        <v>252</v>
      </c>
      <c r="E3087" s="434"/>
      <c r="F3087" s="434"/>
      <c r="G3087" s="434"/>
      <c r="H3087" s="434"/>
      <c r="I3087" s="434"/>
      <c r="J3087" s="449"/>
      <c r="K3087" s="292">
        <f>B$958</f>
        <v>5</v>
      </c>
      <c r="L3087" s="350"/>
      <c r="M3087" s="350"/>
      <c r="N3087" s="292"/>
      <c r="O3087" s="408">
        <f>SUM(TrialBalanceB!I110:I111)</f>
        <v>0</v>
      </c>
      <c r="P3087" s="295"/>
      <c r="R3087" s="348" t="str">
        <f t="shared" si="228"/>
        <v>DELETE</v>
      </c>
      <c r="T3087" s="334"/>
    </row>
    <row r="3088" spans="3:24" ht="36" customHeight="1" x14ac:dyDescent="0.45">
      <c r="C3088" s="397"/>
      <c r="D3088" s="434" t="str">
        <f>IF(MAX(Criteria!I38:I42)&gt;1,"Directors' remuneration","Director's remuneration")</f>
        <v>Directors' remuneration</v>
      </c>
      <c r="E3088" s="434"/>
      <c r="F3088" s="434"/>
      <c r="G3088" s="434"/>
      <c r="H3088" s="434"/>
      <c r="I3088" s="434"/>
      <c r="J3088" s="449"/>
      <c r="K3088" s="292">
        <f>B$958</f>
        <v>5</v>
      </c>
      <c r="L3088" s="350"/>
      <c r="M3088" s="350"/>
      <c r="N3088" s="292"/>
      <c r="O3088" s="408">
        <f>SUM(TrialBalanceB!I113:I117)</f>
        <v>0</v>
      </c>
      <c r="P3088" s="295"/>
      <c r="R3088" s="348" t="str">
        <f t="shared" si="228"/>
        <v>DELETE</v>
      </c>
      <c r="T3088" s="334"/>
    </row>
    <row r="3089" spans="3:20" ht="36" customHeight="1" x14ac:dyDescent="0.45">
      <c r="C3089" s="397"/>
      <c r="D3089" s="434" t="s">
        <v>241</v>
      </c>
      <c r="E3089" s="434"/>
      <c r="F3089" s="434"/>
      <c r="G3089" s="434"/>
      <c r="H3089" s="434"/>
      <c r="I3089" s="434"/>
      <c r="J3089" s="449"/>
      <c r="K3089" s="292"/>
      <c r="L3089" s="350"/>
      <c r="M3089" s="350"/>
      <c r="N3089" s="292"/>
      <c r="O3089" s="408">
        <f>TrialBalanceB!I118</f>
        <v>0</v>
      </c>
      <c r="P3089" s="295"/>
      <c r="R3089" s="348" t="str">
        <f t="shared" si="228"/>
        <v>DELETE</v>
      </c>
      <c r="T3089" s="334"/>
    </row>
    <row r="3090" spans="3:20" ht="36" customHeight="1" x14ac:dyDescent="0.45">
      <c r="C3090" s="397"/>
      <c r="D3090" s="434" t="s">
        <v>344</v>
      </c>
      <c r="E3090" s="434"/>
      <c r="F3090" s="434"/>
      <c r="G3090" s="434"/>
      <c r="H3090" s="434"/>
      <c r="I3090" s="434"/>
      <c r="J3090" s="449"/>
      <c r="K3090" s="292"/>
      <c r="L3090" s="350"/>
      <c r="M3090" s="350"/>
      <c r="N3090" s="292"/>
      <c r="O3090" s="408">
        <f>TrialBalanceB!I119</f>
        <v>0</v>
      </c>
      <c r="P3090" s="295"/>
      <c r="R3090" s="348" t="str">
        <f t="shared" si="228"/>
        <v>DELETE</v>
      </c>
      <c r="T3090" s="334"/>
    </row>
    <row r="3091" spans="3:20" ht="36" customHeight="1" x14ac:dyDescent="0.45">
      <c r="C3091" s="397"/>
      <c r="D3091" s="434" t="s">
        <v>305</v>
      </c>
      <c r="E3091" s="434"/>
      <c r="F3091" s="434"/>
      <c r="G3091" s="434"/>
      <c r="H3091" s="434"/>
      <c r="I3091" s="434"/>
      <c r="J3091" s="449"/>
      <c r="K3091" s="292"/>
      <c r="L3091" s="350"/>
      <c r="M3091" s="350"/>
      <c r="N3091" s="292"/>
      <c r="O3091" s="408">
        <f>TrialBalanceB!I120</f>
        <v>0</v>
      </c>
      <c r="P3091" s="295"/>
      <c r="R3091" s="348" t="str">
        <f t="shared" si="228"/>
        <v>DELETE</v>
      </c>
      <c r="T3091" s="334"/>
    </row>
    <row r="3092" spans="3:20" ht="36" customHeight="1" x14ac:dyDescent="0.45">
      <c r="C3092" s="397"/>
      <c r="D3092" s="434" t="s">
        <v>346</v>
      </c>
      <c r="E3092" s="434"/>
      <c r="F3092" s="434"/>
      <c r="G3092" s="434"/>
      <c r="H3092" s="434"/>
      <c r="I3092" s="434"/>
      <c r="J3092" s="449"/>
      <c r="K3092" s="292"/>
      <c r="L3092" s="350"/>
      <c r="M3092" s="350"/>
      <c r="N3092" s="292"/>
      <c r="O3092" s="408">
        <f>TrialBalanceB!I121</f>
        <v>0</v>
      </c>
      <c r="P3092" s="295"/>
      <c r="R3092" s="348" t="str">
        <f t="shared" si="228"/>
        <v>DELETE</v>
      </c>
      <c r="T3092" s="334"/>
    </row>
    <row r="3093" spans="3:20" ht="36" customHeight="1" x14ac:dyDescent="0.45">
      <c r="C3093" s="397"/>
      <c r="D3093" s="434" t="s">
        <v>921</v>
      </c>
      <c r="E3093" s="434"/>
      <c r="F3093" s="434"/>
      <c r="G3093" s="434"/>
      <c r="H3093" s="434"/>
      <c r="I3093" s="434"/>
      <c r="J3093" s="449"/>
      <c r="K3093" s="292"/>
      <c r="L3093" s="350"/>
      <c r="M3093" s="350"/>
      <c r="N3093" s="292"/>
      <c r="O3093" s="408">
        <f>TrialBalanceB!I156</f>
        <v>0</v>
      </c>
      <c r="P3093" s="295"/>
      <c r="R3093" s="348" t="str">
        <f>IF(R$2978="DELETE","DELETE",IF(O3093=0,"DELETE"," "))</f>
        <v>DELETE</v>
      </c>
      <c r="T3093" s="334"/>
    </row>
    <row r="3094" spans="3:20" ht="36" customHeight="1" x14ac:dyDescent="0.45">
      <c r="C3094" s="397"/>
      <c r="D3094" s="434" t="s">
        <v>490</v>
      </c>
      <c r="E3094" s="434"/>
      <c r="F3094" s="434"/>
      <c r="G3094" s="434"/>
      <c r="H3094" s="434"/>
      <c r="I3094" s="434"/>
      <c r="J3094" s="449"/>
      <c r="K3094" s="292"/>
      <c r="L3094" s="350"/>
      <c r="M3094" s="350"/>
      <c r="N3094" s="292"/>
      <c r="O3094" s="408">
        <f>TrialBalanceB!I122+TrialBalanceB!I123</f>
        <v>0</v>
      </c>
      <c r="P3094" s="295"/>
      <c r="R3094" s="348" t="str">
        <f t="shared" si="228"/>
        <v>DELETE</v>
      </c>
      <c r="T3094" s="334"/>
    </row>
    <row r="3095" spans="3:20" ht="36" customHeight="1" x14ac:dyDescent="0.45">
      <c r="C3095" s="397"/>
      <c r="D3095" s="434" t="s">
        <v>512</v>
      </c>
      <c r="E3095" s="434"/>
      <c r="F3095" s="434"/>
      <c r="G3095" s="434"/>
      <c r="H3095" s="434"/>
      <c r="I3095" s="434"/>
      <c r="J3095" s="449"/>
      <c r="K3095" s="292"/>
      <c r="L3095" s="350"/>
      <c r="M3095" s="350"/>
      <c r="N3095" s="292"/>
      <c r="O3095" s="408">
        <f>IF(TrialBalanceB!I94&gt;0,TrialBalanceB!I94,0)</f>
        <v>0</v>
      </c>
      <c r="P3095" s="295"/>
      <c r="R3095" s="348" t="str">
        <f>IF(R$2978="DELETE","DELETE",IF(O3095=0,"DELETE"," "))</f>
        <v>DELETE</v>
      </c>
      <c r="T3095" s="334"/>
    </row>
    <row r="3096" spans="3:20" ht="36" customHeight="1" x14ac:dyDescent="0.45">
      <c r="C3096" s="397"/>
      <c r="D3096" s="434" t="s">
        <v>681</v>
      </c>
      <c r="E3096" s="434"/>
      <c r="F3096" s="434"/>
      <c r="G3096" s="434"/>
      <c r="H3096" s="434"/>
      <c r="I3096" s="434"/>
      <c r="J3096" s="449"/>
      <c r="K3096" s="292"/>
      <c r="L3096" s="350"/>
      <c r="M3096" s="350"/>
      <c r="N3096" s="292"/>
      <c r="O3096" s="408">
        <f>TrialBalanceB!I124</f>
        <v>0</v>
      </c>
      <c r="P3096" s="295"/>
      <c r="R3096" s="348" t="str">
        <f>IF(R$2978="DELETE","DELETE",IF(O3096=0,"DELETE"," "))</f>
        <v>DELETE</v>
      </c>
      <c r="T3096" s="334"/>
    </row>
    <row r="3097" spans="3:20" ht="36" customHeight="1" x14ac:dyDescent="0.45">
      <c r="C3097" s="397"/>
      <c r="D3097" s="434" t="s">
        <v>242</v>
      </c>
      <c r="E3097" s="434"/>
      <c r="F3097" s="434"/>
      <c r="G3097" s="434"/>
      <c r="H3097" s="434"/>
      <c r="I3097" s="434"/>
      <c r="J3097" s="449"/>
      <c r="K3097" s="292"/>
      <c r="L3097" s="350"/>
      <c r="M3097" s="350"/>
      <c r="N3097" s="292"/>
      <c r="O3097" s="408">
        <f>TrialBalanceB!I125</f>
        <v>0</v>
      </c>
      <c r="P3097" s="295"/>
      <c r="R3097" s="348" t="str">
        <f t="shared" si="228"/>
        <v>DELETE</v>
      </c>
      <c r="T3097" s="334"/>
    </row>
    <row r="3098" spans="3:20" ht="36" customHeight="1" x14ac:dyDescent="0.45">
      <c r="C3098" s="397"/>
      <c r="D3098" s="434" t="s">
        <v>235</v>
      </c>
      <c r="E3098" s="434"/>
      <c r="F3098" s="434"/>
      <c r="G3098" s="434"/>
      <c r="H3098" s="434"/>
      <c r="I3098" s="434"/>
      <c r="J3098" s="449"/>
      <c r="K3098" s="292"/>
      <c r="L3098" s="350"/>
      <c r="M3098" s="350"/>
      <c r="N3098" s="292"/>
      <c r="O3098" s="408">
        <f>SUM(TrialBalanceB!I126:I127)</f>
        <v>0</v>
      </c>
      <c r="P3098" s="295"/>
      <c r="R3098" s="348" t="str">
        <f t="shared" si="228"/>
        <v>DELETE</v>
      </c>
      <c r="T3098" s="334"/>
    </row>
    <row r="3099" spans="3:20" ht="36" customHeight="1" x14ac:dyDescent="0.45">
      <c r="C3099" s="397"/>
      <c r="D3099" s="434" t="s">
        <v>243</v>
      </c>
      <c r="E3099" s="434"/>
      <c r="F3099" s="434"/>
      <c r="G3099" s="434"/>
      <c r="H3099" s="434"/>
      <c r="I3099" s="434"/>
      <c r="J3099" s="449"/>
      <c r="K3099" s="292"/>
      <c r="L3099" s="350"/>
      <c r="M3099" s="350"/>
      <c r="N3099" s="292"/>
      <c r="O3099" s="408">
        <f>TrialBalanceB!I128</f>
        <v>0</v>
      </c>
      <c r="P3099" s="295"/>
      <c r="R3099" s="348" t="str">
        <f t="shared" si="228"/>
        <v>DELETE</v>
      </c>
      <c r="T3099" s="334"/>
    </row>
    <row r="3100" spans="3:20" ht="36" customHeight="1" x14ac:dyDescent="0.45">
      <c r="C3100" s="397"/>
      <c r="D3100" s="434" t="s">
        <v>682</v>
      </c>
      <c r="E3100" s="434"/>
      <c r="F3100" s="434"/>
      <c r="G3100" s="434"/>
      <c r="H3100" s="434"/>
      <c r="I3100" s="434"/>
      <c r="J3100" s="449"/>
      <c r="K3100" s="292"/>
      <c r="L3100" s="350"/>
      <c r="M3100" s="350"/>
      <c r="N3100" s="292"/>
      <c r="O3100" s="408">
        <f>TrialBalanceB!I129</f>
        <v>0</v>
      </c>
      <c r="P3100" s="295"/>
      <c r="R3100" s="348" t="str">
        <f t="shared" si="228"/>
        <v>DELETE</v>
      </c>
      <c r="T3100" s="334"/>
    </row>
    <row r="3101" spans="3:20" ht="36" customHeight="1" x14ac:dyDescent="0.45">
      <c r="C3101" s="397"/>
      <c r="D3101" s="434" t="s">
        <v>74</v>
      </c>
      <c r="E3101" s="434"/>
      <c r="F3101" s="434"/>
      <c r="G3101" s="434"/>
      <c r="H3101" s="434"/>
      <c r="I3101" s="434"/>
      <c r="J3101" s="449"/>
      <c r="K3101" s="292"/>
      <c r="L3101" s="350"/>
      <c r="M3101" s="350"/>
      <c r="N3101" s="292"/>
      <c r="O3101" s="408">
        <f>TrialBalanceB!I130</f>
        <v>0</v>
      </c>
      <c r="P3101" s="295"/>
      <c r="R3101" s="348" t="str">
        <f t="shared" si="228"/>
        <v>DELETE</v>
      </c>
      <c r="T3101" s="334"/>
    </row>
    <row r="3102" spans="3:20" ht="36" customHeight="1" x14ac:dyDescent="0.45">
      <c r="C3102" s="397"/>
      <c r="D3102" s="434">
        <f>TrialBalanceB!C131</f>
        <v>0</v>
      </c>
      <c r="E3102" s="434"/>
      <c r="F3102" s="434"/>
      <c r="G3102" s="434"/>
      <c r="H3102" s="434"/>
      <c r="I3102" s="434"/>
      <c r="J3102" s="449"/>
      <c r="K3102" s="292"/>
      <c r="L3102" s="350"/>
      <c r="M3102" s="350"/>
      <c r="N3102" s="292"/>
      <c r="O3102" s="408">
        <f>TrialBalanceB!I131</f>
        <v>0</v>
      </c>
      <c r="P3102" s="295"/>
      <c r="R3102" s="348" t="str">
        <f t="shared" si="228"/>
        <v>DELETE</v>
      </c>
      <c r="T3102" s="334"/>
    </row>
    <row r="3103" spans="3:20" ht="36" customHeight="1" x14ac:dyDescent="0.45">
      <c r="C3103" s="397"/>
      <c r="D3103" s="434">
        <f>TrialBalanceB!C132</f>
        <v>0</v>
      </c>
      <c r="E3103" s="434"/>
      <c r="F3103" s="434"/>
      <c r="G3103" s="434"/>
      <c r="H3103" s="434"/>
      <c r="I3103" s="434"/>
      <c r="J3103" s="449"/>
      <c r="K3103" s="292"/>
      <c r="L3103" s="350"/>
      <c r="M3103" s="350"/>
      <c r="N3103" s="292"/>
      <c r="O3103" s="408">
        <f>TrialBalanceB!I132</f>
        <v>0</v>
      </c>
      <c r="P3103" s="295"/>
      <c r="R3103" s="348" t="str">
        <f t="shared" si="228"/>
        <v>DELETE</v>
      </c>
      <c r="T3103" s="334"/>
    </row>
    <row r="3104" spans="3:20" ht="36" customHeight="1" x14ac:dyDescent="0.45">
      <c r="C3104" s="397"/>
      <c r="D3104" s="434">
        <f>TrialBalanceB!C133</f>
        <v>0</v>
      </c>
      <c r="E3104" s="434"/>
      <c r="F3104" s="434"/>
      <c r="G3104" s="434"/>
      <c r="H3104" s="434"/>
      <c r="I3104" s="434"/>
      <c r="J3104" s="449"/>
      <c r="K3104" s="292"/>
      <c r="L3104" s="350"/>
      <c r="M3104" s="350"/>
      <c r="N3104" s="292"/>
      <c r="O3104" s="408">
        <f>TrialBalanceB!I133</f>
        <v>0</v>
      </c>
      <c r="P3104" s="295"/>
      <c r="R3104" s="348" t="str">
        <f t="shared" si="228"/>
        <v>DELETE</v>
      </c>
      <c r="T3104" s="334"/>
    </row>
    <row r="3105" spans="3:24" ht="36" customHeight="1" x14ac:dyDescent="0.45">
      <c r="C3105" s="397"/>
      <c r="D3105" s="434">
        <f>TrialBalanceB!C134</f>
        <v>0</v>
      </c>
      <c r="E3105" s="434"/>
      <c r="F3105" s="434"/>
      <c r="G3105" s="434"/>
      <c r="H3105" s="434"/>
      <c r="I3105" s="434"/>
      <c r="J3105" s="449"/>
      <c r="K3105" s="292"/>
      <c r="L3105" s="350"/>
      <c r="M3105" s="350"/>
      <c r="N3105" s="292"/>
      <c r="O3105" s="408">
        <f>TrialBalanceB!I134</f>
        <v>0</v>
      </c>
      <c r="P3105" s="295"/>
      <c r="R3105" s="348" t="str">
        <f t="shared" si="228"/>
        <v>DELETE</v>
      </c>
      <c r="T3105" s="334"/>
    </row>
    <row r="3106" spans="3:24" ht="36" customHeight="1" x14ac:dyDescent="0.45">
      <c r="C3106" s="397"/>
      <c r="D3106" s="434">
        <f>TrialBalanceB!C135</f>
        <v>0</v>
      </c>
      <c r="E3106" s="434"/>
      <c r="F3106" s="434"/>
      <c r="G3106" s="434"/>
      <c r="H3106" s="434"/>
      <c r="I3106" s="434"/>
      <c r="J3106" s="449"/>
      <c r="K3106" s="292"/>
      <c r="L3106" s="350"/>
      <c r="M3106" s="350"/>
      <c r="N3106" s="292"/>
      <c r="O3106" s="408">
        <f>TrialBalanceB!I135</f>
        <v>0</v>
      </c>
      <c r="P3106" s="295"/>
      <c r="R3106" s="348" t="str">
        <f t="shared" si="228"/>
        <v>DELETE</v>
      </c>
      <c r="T3106" s="334"/>
    </row>
    <row r="3107" spans="3:24" ht="36" customHeight="1" x14ac:dyDescent="0.45">
      <c r="C3107" s="397"/>
      <c r="D3107" s="434">
        <f>TrialBalanceB!C136</f>
        <v>0</v>
      </c>
      <c r="E3107" s="434"/>
      <c r="F3107" s="434"/>
      <c r="G3107" s="434"/>
      <c r="H3107" s="434"/>
      <c r="I3107" s="434"/>
      <c r="J3107" s="449"/>
      <c r="K3107" s="292"/>
      <c r="L3107" s="350"/>
      <c r="M3107" s="350"/>
      <c r="N3107" s="292"/>
      <c r="O3107" s="408">
        <f>TrialBalanceB!I136</f>
        <v>0</v>
      </c>
      <c r="P3107" s="295"/>
      <c r="R3107" s="348" t="str">
        <f t="shared" si="228"/>
        <v>DELETE</v>
      </c>
      <c r="T3107" s="334"/>
    </row>
    <row r="3108" spans="3:24" ht="36" customHeight="1" x14ac:dyDescent="0.45">
      <c r="C3108" s="397"/>
      <c r="D3108" s="434">
        <f>TrialBalanceB!C137</f>
        <v>0</v>
      </c>
      <c r="E3108" s="434"/>
      <c r="F3108" s="434"/>
      <c r="G3108" s="434"/>
      <c r="H3108" s="434"/>
      <c r="I3108" s="434"/>
      <c r="J3108" s="449"/>
      <c r="K3108" s="292"/>
      <c r="L3108" s="350"/>
      <c r="M3108" s="350"/>
      <c r="N3108" s="292"/>
      <c r="O3108" s="408">
        <f>TrialBalanceB!I137</f>
        <v>0</v>
      </c>
      <c r="P3108" s="295"/>
      <c r="R3108" s="348" t="str">
        <f t="shared" si="228"/>
        <v>DELETE</v>
      </c>
      <c r="T3108" s="334"/>
    </row>
    <row r="3109" spans="3:24" ht="36" customHeight="1" x14ac:dyDescent="0.45">
      <c r="C3109" s="397"/>
      <c r="D3109" s="434">
        <f>TrialBalanceB!C138</f>
        <v>0</v>
      </c>
      <c r="E3109" s="434"/>
      <c r="F3109" s="434"/>
      <c r="G3109" s="434"/>
      <c r="H3109" s="434"/>
      <c r="I3109" s="434"/>
      <c r="J3109" s="449"/>
      <c r="K3109" s="292"/>
      <c r="L3109" s="350"/>
      <c r="M3109" s="350"/>
      <c r="N3109" s="292"/>
      <c r="O3109" s="408">
        <f>TrialBalanceB!I138</f>
        <v>0</v>
      </c>
      <c r="P3109" s="295"/>
      <c r="R3109" s="348" t="str">
        <f t="shared" si="228"/>
        <v>DELETE</v>
      </c>
      <c r="T3109" s="334"/>
    </row>
    <row r="3110" spans="3:24" ht="36" customHeight="1" x14ac:dyDescent="0.45">
      <c r="C3110" s="397"/>
      <c r="D3110" s="434">
        <f>TrialBalanceB!C139</f>
        <v>0</v>
      </c>
      <c r="E3110" s="434"/>
      <c r="F3110" s="434"/>
      <c r="G3110" s="434"/>
      <c r="H3110" s="434"/>
      <c r="I3110" s="434"/>
      <c r="J3110" s="449"/>
      <c r="K3110" s="292"/>
      <c r="L3110" s="350"/>
      <c r="M3110" s="350"/>
      <c r="N3110" s="292"/>
      <c r="O3110" s="408">
        <f>TrialBalanceB!I139</f>
        <v>0</v>
      </c>
      <c r="P3110" s="295"/>
      <c r="R3110" s="348" t="str">
        <f t="shared" si="228"/>
        <v>DELETE</v>
      </c>
      <c r="T3110" s="334"/>
    </row>
    <row r="3111" spans="3:24" ht="36" customHeight="1" x14ac:dyDescent="0.45">
      <c r="C3111" s="397"/>
      <c r="D3111" s="434" t="str">
        <f>TrialBalanceB!C140</f>
        <v>Amortisation of prepaid lease agreement</v>
      </c>
      <c r="E3111" s="434"/>
      <c r="F3111" s="434"/>
      <c r="G3111" s="434"/>
      <c r="H3111" s="434"/>
      <c r="I3111" s="434"/>
      <c r="J3111" s="449"/>
      <c r="K3111" s="292"/>
      <c r="L3111" s="350"/>
      <c r="M3111" s="350"/>
      <c r="N3111" s="292"/>
      <c r="O3111" s="408">
        <f>TrialBalanceB!I140</f>
        <v>0</v>
      </c>
      <c r="P3111" s="295"/>
      <c r="R3111" s="348" t="str">
        <f t="shared" si="228"/>
        <v>DELETE</v>
      </c>
      <c r="T3111" s="334"/>
    </row>
    <row r="3112" spans="3:24" ht="36" customHeight="1" x14ac:dyDescent="0.45">
      <c r="C3112" s="397"/>
      <c r="D3112" s="434" t="str">
        <f>TrialBalanceB!C141</f>
        <v>Amortisation of goodwill</v>
      </c>
      <c r="E3112" s="434"/>
      <c r="F3112" s="434"/>
      <c r="G3112" s="434"/>
      <c r="H3112" s="434"/>
      <c r="I3112" s="434"/>
      <c r="J3112" s="449"/>
      <c r="K3112" s="292"/>
      <c r="L3112" s="350"/>
      <c r="M3112" s="350"/>
      <c r="N3112" s="292"/>
      <c r="O3112" s="408">
        <f>TrialBalanceB!I141</f>
        <v>0</v>
      </c>
      <c r="P3112" s="295"/>
      <c r="R3112" s="348" t="str">
        <f t="shared" ref="R3112" si="230">IF(R$2978="DELETE","DELETE",IF(O3112=0,"DELETE"," "))</f>
        <v>DELETE</v>
      </c>
      <c r="T3112" s="334"/>
    </row>
    <row r="3113" spans="3:24" ht="9" customHeight="1" x14ac:dyDescent="0.45">
      <c r="C3113" s="397"/>
      <c r="D3113" s="434"/>
      <c r="E3113" s="434"/>
      <c r="F3113" s="434"/>
      <c r="G3113" s="434"/>
      <c r="H3113" s="434"/>
      <c r="I3113" s="434"/>
      <c r="J3113" s="449"/>
      <c r="K3113" s="292"/>
      <c r="L3113" s="350"/>
      <c r="M3113" s="350"/>
      <c r="N3113" s="292"/>
      <c r="O3113" s="409"/>
      <c r="P3113" s="295"/>
      <c r="R3113" s="348" t="str">
        <f>R3077</f>
        <v>DELETE</v>
      </c>
      <c r="T3113" s="334"/>
    </row>
    <row r="3114" spans="3:24" ht="9" customHeight="1" x14ac:dyDescent="0.45">
      <c r="C3114" s="397"/>
      <c r="D3114" s="434"/>
      <c r="E3114" s="434"/>
      <c r="F3114" s="434"/>
      <c r="G3114" s="434"/>
      <c r="H3114" s="434"/>
      <c r="I3114" s="434"/>
      <c r="J3114" s="449"/>
      <c r="K3114" s="292"/>
      <c r="L3114" s="350"/>
      <c r="M3114" s="350"/>
      <c r="N3114" s="292"/>
      <c r="O3114" s="298"/>
      <c r="P3114" s="295"/>
      <c r="R3114" s="348" t="str">
        <f t="shared" ref="R3114:R3117" si="231">R$2978</f>
        <v>DELETE</v>
      </c>
      <c r="T3114" s="334"/>
    </row>
    <row r="3115" spans="3:24" ht="9" customHeight="1" x14ac:dyDescent="0.45">
      <c r="C3115" s="397"/>
      <c r="D3115" s="434"/>
      <c r="E3115" s="434"/>
      <c r="F3115" s="434"/>
      <c r="G3115" s="434"/>
      <c r="H3115" s="434"/>
      <c r="I3115" s="434"/>
      <c r="J3115" s="449"/>
      <c r="K3115" s="292"/>
      <c r="L3115" s="350"/>
      <c r="M3115" s="350"/>
      <c r="N3115" s="292"/>
      <c r="O3115" s="296"/>
      <c r="P3115" s="295"/>
      <c r="R3115" s="348" t="str">
        <f t="shared" si="231"/>
        <v>DELETE</v>
      </c>
      <c r="T3115" s="334"/>
    </row>
    <row r="3116" spans="3:24" ht="36" customHeight="1" x14ac:dyDescent="0.45">
      <c r="D3116" s="446" t="str">
        <f>IF(O3116&lt;0,"Operating loss for the year","Operating profit for the year")</f>
        <v>Operating profit for the year</v>
      </c>
      <c r="E3116" s="434"/>
      <c r="F3116" s="434"/>
      <c r="G3116" s="434"/>
      <c r="H3116" s="434"/>
      <c r="I3116" s="434"/>
      <c r="J3116" s="449"/>
      <c r="K3116" s="292">
        <f>FS!B958</f>
        <v>5</v>
      </c>
      <c r="L3116" s="350"/>
      <c r="M3116" s="350"/>
      <c r="N3116" s="292"/>
      <c r="O3116" s="296">
        <f>SUM(S2990:S3113)</f>
        <v>0</v>
      </c>
      <c r="P3116" s="295"/>
      <c r="R3116" s="348" t="str">
        <f t="shared" si="231"/>
        <v>DELETE</v>
      </c>
      <c r="T3116" s="334"/>
    </row>
    <row r="3117" spans="3:24" ht="36" customHeight="1" x14ac:dyDescent="0.45">
      <c r="C3117" s="397"/>
      <c r="D3117" s="434"/>
      <c r="E3117" s="434"/>
      <c r="F3117" s="434"/>
      <c r="G3117" s="434"/>
      <c r="H3117" s="434"/>
      <c r="I3117" s="434"/>
      <c r="J3117" s="449"/>
      <c r="K3117" s="292"/>
      <c r="L3117" s="350"/>
      <c r="M3117" s="350"/>
      <c r="N3117" s="292"/>
      <c r="O3117" s="296"/>
      <c r="P3117" s="295"/>
      <c r="R3117" s="348" t="str">
        <f t="shared" si="231"/>
        <v>DELETE</v>
      </c>
      <c r="T3117" s="334"/>
    </row>
    <row r="3118" spans="3:24" ht="36" customHeight="1" x14ac:dyDescent="0.45">
      <c r="D3118" s="433" t="s">
        <v>191</v>
      </c>
      <c r="E3118" s="434"/>
      <c r="F3118" s="434"/>
      <c r="G3118" s="434"/>
      <c r="H3118" s="434"/>
      <c r="I3118" s="434"/>
      <c r="J3118" s="449"/>
      <c r="K3118" s="292">
        <f>FS!B1072</f>
        <v>6</v>
      </c>
      <c r="L3118" s="350"/>
      <c r="M3118" s="350"/>
      <c r="N3118" s="292"/>
      <c r="O3118" s="296">
        <f>SUM(O3121:O3128)</f>
        <v>0</v>
      </c>
      <c r="P3118" s="295"/>
      <c r="R3118" s="348" t="str">
        <f t="shared" ref="R3118" si="232">IF(R$2978="DELETE","DELETE",IF(O3118=0,"DELETE"," "))</f>
        <v>DELETE</v>
      </c>
      <c r="S3118" s="333">
        <f>O3118</f>
        <v>0</v>
      </c>
      <c r="T3118" s="334"/>
      <c r="U3118" s="333"/>
      <c r="V3118" s="333"/>
      <c r="W3118" s="333"/>
      <c r="X3118" s="333"/>
    </row>
    <row r="3119" spans="3:24" ht="9" customHeight="1" x14ac:dyDescent="0.45">
      <c r="C3119" s="397"/>
      <c r="D3119" s="434"/>
      <c r="E3119" s="434"/>
      <c r="F3119" s="434"/>
      <c r="G3119" s="434"/>
      <c r="H3119" s="434"/>
      <c r="I3119" s="434"/>
      <c r="J3119" s="449"/>
      <c r="K3119" s="292"/>
      <c r="L3119" s="350"/>
      <c r="M3119" s="350"/>
      <c r="N3119" s="292"/>
      <c r="O3119" s="296"/>
      <c r="P3119" s="295"/>
      <c r="R3119" s="348" t="str">
        <f>R3118</f>
        <v>DELETE</v>
      </c>
      <c r="T3119" s="334"/>
    </row>
    <row r="3120" spans="3:24" ht="9" customHeight="1" x14ac:dyDescent="0.45">
      <c r="C3120" s="397"/>
      <c r="D3120" s="434"/>
      <c r="E3120" s="434"/>
      <c r="F3120" s="434"/>
      <c r="G3120" s="434"/>
      <c r="H3120" s="434"/>
      <c r="I3120" s="434"/>
      <c r="J3120" s="449"/>
      <c r="K3120" s="292"/>
      <c r="L3120" s="350"/>
      <c r="M3120" s="350"/>
      <c r="N3120" s="292"/>
      <c r="O3120" s="407"/>
      <c r="P3120" s="295"/>
      <c r="R3120" s="348" t="str">
        <f>R3119</f>
        <v>DELETE</v>
      </c>
      <c r="T3120" s="334"/>
    </row>
    <row r="3121" spans="3:24" ht="36" customHeight="1" x14ac:dyDescent="0.45">
      <c r="C3121" s="397"/>
      <c r="D3121" s="434" t="s">
        <v>189</v>
      </c>
      <c r="E3121" s="434"/>
      <c r="F3121" s="434"/>
      <c r="G3121" s="434"/>
      <c r="H3121" s="434"/>
      <c r="I3121" s="434"/>
      <c r="J3121" s="449"/>
      <c r="K3121" s="292"/>
      <c r="L3121" s="350"/>
      <c r="M3121" s="350"/>
      <c r="N3121" s="292"/>
      <c r="O3121" s="408">
        <f>-TrialBalanceB!I95</f>
        <v>0</v>
      </c>
      <c r="P3121" s="295"/>
      <c r="R3121" s="348" t="str">
        <f t="shared" ref="R3121:R3126" si="233">IF(R$2978="DELETE","DELETE",IF(O3121=0,"DELETE"," "))</f>
        <v>DELETE</v>
      </c>
      <c r="T3121" s="334"/>
    </row>
    <row r="3122" spans="3:24" ht="36" customHeight="1" x14ac:dyDescent="0.45">
      <c r="C3122" s="397"/>
      <c r="D3122" s="434" t="s">
        <v>496</v>
      </c>
      <c r="E3122" s="434"/>
      <c r="F3122" s="434"/>
      <c r="G3122" s="434"/>
      <c r="H3122" s="434"/>
      <c r="I3122" s="434"/>
      <c r="J3122" s="449"/>
      <c r="K3122" s="292"/>
      <c r="L3122" s="350"/>
      <c r="M3122" s="350"/>
      <c r="N3122" s="292"/>
      <c r="O3122" s="408">
        <f>-SUM(TrialBalanceB!I91:I93)</f>
        <v>0</v>
      </c>
      <c r="P3122" s="295"/>
      <c r="R3122" s="348" t="str">
        <f t="shared" si="233"/>
        <v>DELETE</v>
      </c>
      <c r="T3122" s="334"/>
    </row>
    <row r="3123" spans="3:24" ht="36" customHeight="1" x14ac:dyDescent="0.45">
      <c r="C3123" s="397"/>
      <c r="D3123" s="434" t="s">
        <v>497</v>
      </c>
      <c r="E3123" s="434"/>
      <c r="F3123" s="434"/>
      <c r="G3123" s="434"/>
      <c r="H3123" s="434"/>
      <c r="I3123" s="434"/>
      <c r="J3123" s="449"/>
      <c r="K3123" s="292"/>
      <c r="L3123" s="350"/>
      <c r="M3123" s="350"/>
      <c r="N3123" s="292"/>
      <c r="O3123" s="419">
        <f>-SUM(TrialBalanceB!I86:I89)</f>
        <v>0</v>
      </c>
      <c r="P3123" s="295"/>
      <c r="R3123" s="348" t="str">
        <f t="shared" si="233"/>
        <v>DELETE</v>
      </c>
      <c r="T3123" s="334"/>
    </row>
    <row r="3124" spans="3:24" ht="36" customHeight="1" x14ac:dyDescent="0.45">
      <c r="C3124" s="397"/>
      <c r="D3124" s="434" t="s">
        <v>191</v>
      </c>
      <c r="E3124" s="434"/>
      <c r="F3124" s="434"/>
      <c r="G3124" s="434"/>
      <c r="H3124" s="434"/>
      <c r="I3124" s="434"/>
      <c r="J3124" s="449"/>
      <c r="K3124" s="292"/>
      <c r="L3124" s="350"/>
      <c r="M3124" s="350"/>
      <c r="N3124" s="292"/>
      <c r="O3124" s="419">
        <f>-SUM(TrialBalanceB!I96)</f>
        <v>0</v>
      </c>
      <c r="P3124" s="295"/>
      <c r="R3124" s="348" t="str">
        <f t="shared" si="233"/>
        <v>DELETE</v>
      </c>
      <c r="T3124" s="334"/>
    </row>
    <row r="3125" spans="3:24" ht="36" customHeight="1" x14ac:dyDescent="0.45">
      <c r="C3125" s="397"/>
      <c r="D3125" s="434" t="s">
        <v>513</v>
      </c>
      <c r="E3125" s="434"/>
      <c r="F3125" s="434"/>
      <c r="G3125" s="434"/>
      <c r="H3125" s="434"/>
      <c r="I3125" s="434"/>
      <c r="J3125" s="449"/>
      <c r="K3125" s="292"/>
      <c r="L3125" s="350"/>
      <c r="M3125" s="350"/>
      <c r="N3125" s="292"/>
      <c r="O3125" s="408">
        <f>IF(TrialBalanceB!I94&lt;0,-TrialBalanceB!I94,0)</f>
        <v>0</v>
      </c>
      <c r="P3125" s="295"/>
      <c r="R3125" s="348" t="str">
        <f t="shared" si="233"/>
        <v>DELETE</v>
      </c>
      <c r="T3125" s="334"/>
    </row>
    <row r="3126" spans="3:24" ht="36" customHeight="1" x14ac:dyDescent="0.45">
      <c r="C3126" s="397"/>
      <c r="D3126" s="434" t="s">
        <v>334</v>
      </c>
      <c r="E3126" s="434"/>
      <c r="F3126" s="434"/>
      <c r="G3126" s="434"/>
      <c r="H3126" s="434"/>
      <c r="I3126" s="434"/>
      <c r="J3126" s="449"/>
      <c r="K3126" s="292"/>
      <c r="L3126" s="350"/>
      <c r="M3126" s="350"/>
      <c r="N3126" s="292"/>
      <c r="O3126" s="408">
        <f>-TrialBalanceB!I84</f>
        <v>0</v>
      </c>
      <c r="P3126" s="295"/>
      <c r="R3126" s="348" t="str">
        <f t="shared" si="233"/>
        <v>DELETE</v>
      </c>
      <c r="T3126" s="334"/>
    </row>
    <row r="3127" spans="3:24" ht="36" customHeight="1" x14ac:dyDescent="0.45">
      <c r="C3127" s="397"/>
      <c r="D3127" s="434" t="str">
        <f>TrialBalance!C97</f>
        <v>Revaluation of investment property</v>
      </c>
      <c r="E3127" s="434"/>
      <c r="F3127" s="434"/>
      <c r="G3127" s="434"/>
      <c r="H3127" s="434"/>
      <c r="I3127" s="434"/>
      <c r="J3127" s="449"/>
      <c r="K3127" s="292"/>
      <c r="L3127" s="350"/>
      <c r="M3127" s="350"/>
      <c r="N3127" s="292"/>
      <c r="O3127" s="408">
        <f>-TrialBalanceB!I97</f>
        <v>0</v>
      </c>
      <c r="P3127" s="295"/>
      <c r="R3127" s="348" t="str">
        <f>IF(R$2978="DELETE","DELETE",IF(O3127=0,"DELETE"," "))</f>
        <v>DELETE</v>
      </c>
      <c r="T3127" s="334"/>
    </row>
    <row r="3128" spans="3:24" ht="9" customHeight="1" x14ac:dyDescent="0.45">
      <c r="C3128" s="397"/>
      <c r="D3128" s="434"/>
      <c r="E3128" s="434"/>
      <c r="F3128" s="434"/>
      <c r="G3128" s="434"/>
      <c r="H3128" s="434"/>
      <c r="I3128" s="434"/>
      <c r="J3128" s="449"/>
      <c r="K3128" s="292"/>
      <c r="L3128" s="350"/>
      <c r="M3128" s="350"/>
      <c r="N3128" s="292"/>
      <c r="O3128" s="409"/>
      <c r="P3128" s="295"/>
      <c r="R3128" s="348" t="str">
        <f>R3118</f>
        <v>DELETE</v>
      </c>
      <c r="T3128" s="334"/>
    </row>
    <row r="3129" spans="3:24" ht="9" customHeight="1" x14ac:dyDescent="0.45">
      <c r="C3129" s="397"/>
      <c r="D3129" s="434"/>
      <c r="E3129" s="434"/>
      <c r="F3129" s="434"/>
      <c r="G3129" s="434"/>
      <c r="H3129" s="434"/>
      <c r="I3129" s="434"/>
      <c r="J3129" s="449"/>
      <c r="K3129" s="292"/>
      <c r="L3129" s="350"/>
      <c r="M3129" s="350"/>
      <c r="N3129" s="292"/>
      <c r="O3129" s="298"/>
      <c r="P3129" s="295"/>
      <c r="R3129" s="348" t="str">
        <f>R3128</f>
        <v>DELETE</v>
      </c>
      <c r="T3129" s="334"/>
    </row>
    <row r="3130" spans="3:24" ht="9" customHeight="1" x14ac:dyDescent="0.45">
      <c r="C3130" s="397"/>
      <c r="D3130" s="434"/>
      <c r="E3130" s="434"/>
      <c r="F3130" s="434"/>
      <c r="G3130" s="434"/>
      <c r="H3130" s="434"/>
      <c r="I3130" s="434"/>
      <c r="J3130" s="449"/>
      <c r="K3130" s="292"/>
      <c r="L3130" s="350"/>
      <c r="M3130" s="350"/>
      <c r="N3130" s="292"/>
      <c r="O3130" s="296"/>
      <c r="P3130" s="295"/>
      <c r="R3130" s="348" t="str">
        <f>R3129</f>
        <v>DELETE</v>
      </c>
      <c r="T3130" s="334"/>
    </row>
    <row r="3131" spans="3:24" ht="36" customHeight="1" x14ac:dyDescent="0.45">
      <c r="C3131" s="397"/>
      <c r="D3131" s="434"/>
      <c r="E3131" s="434"/>
      <c r="F3131" s="434"/>
      <c r="G3131" s="434"/>
      <c r="H3131" s="434"/>
      <c r="I3131" s="434"/>
      <c r="J3131" s="449"/>
      <c r="K3131" s="292"/>
      <c r="L3131" s="350"/>
      <c r="M3131" s="350"/>
      <c r="N3131" s="292"/>
      <c r="O3131" s="296">
        <f>SUM(S2990:S3128)</f>
        <v>0</v>
      </c>
      <c r="P3131" s="295"/>
      <c r="R3131" s="348" t="str">
        <f>R3130</f>
        <v>DELETE</v>
      </c>
      <c r="T3131" s="334"/>
    </row>
    <row r="3132" spans="3:24" ht="36" customHeight="1" x14ac:dyDescent="0.45">
      <c r="C3132" s="397"/>
      <c r="D3132" s="434"/>
      <c r="E3132" s="434"/>
      <c r="F3132" s="434"/>
      <c r="G3132" s="434"/>
      <c r="H3132" s="434"/>
      <c r="I3132" s="434"/>
      <c r="J3132" s="449"/>
      <c r="K3132" s="292"/>
      <c r="L3132" s="350"/>
      <c r="M3132" s="350"/>
      <c r="N3132" s="292"/>
      <c r="O3132" s="296"/>
      <c r="P3132" s="295"/>
      <c r="R3132" s="348" t="str">
        <f>R3131</f>
        <v>DELETE</v>
      </c>
      <c r="T3132" s="334"/>
    </row>
    <row r="3133" spans="3:24" ht="36" customHeight="1" x14ac:dyDescent="0.45">
      <c r="D3133" s="434" t="s">
        <v>1077</v>
      </c>
      <c r="E3133" s="434"/>
      <c r="F3133" s="434"/>
      <c r="G3133" s="434"/>
      <c r="H3133" s="434"/>
      <c r="I3133" s="434"/>
      <c r="J3133" s="449"/>
      <c r="K3133" s="292">
        <f>FS!B1132</f>
        <v>7</v>
      </c>
      <c r="L3133" s="350"/>
      <c r="M3133" s="350"/>
      <c r="N3133" s="292"/>
      <c r="O3133" s="296">
        <f>SUM(TrialBalanceB!I144:I154)</f>
        <v>0</v>
      </c>
      <c r="P3133" s="295"/>
      <c r="R3133" s="348" t="str">
        <f t="shared" ref="R3133" si="234">IF(R$2978="DELETE","DELETE",IF(O3133=0,"DELETE"," "))</f>
        <v>DELETE</v>
      </c>
      <c r="S3133" s="333">
        <f>-O3133</f>
        <v>0</v>
      </c>
      <c r="T3133" s="334"/>
      <c r="U3133" s="333"/>
      <c r="V3133" s="333"/>
      <c r="W3133" s="333"/>
      <c r="X3133" s="333"/>
    </row>
    <row r="3134" spans="3:24" ht="9" customHeight="1" x14ac:dyDescent="0.45">
      <c r="C3134" s="397"/>
      <c r="D3134" s="434"/>
      <c r="E3134" s="434"/>
      <c r="F3134" s="434"/>
      <c r="G3134" s="434"/>
      <c r="H3134" s="434"/>
      <c r="I3134" s="434"/>
      <c r="J3134" s="449"/>
      <c r="K3134" s="292"/>
      <c r="L3134" s="350"/>
      <c r="M3134" s="350"/>
      <c r="N3134" s="292"/>
      <c r="O3134" s="298"/>
      <c r="P3134" s="295"/>
      <c r="R3134" s="348" t="str">
        <f t="shared" ref="R3134:R3142" si="235">R$2978</f>
        <v>DELETE</v>
      </c>
      <c r="T3134" s="334"/>
    </row>
    <row r="3135" spans="3:24" ht="9" customHeight="1" x14ac:dyDescent="0.45">
      <c r="C3135" s="397"/>
      <c r="D3135" s="434"/>
      <c r="E3135" s="434"/>
      <c r="F3135" s="434"/>
      <c r="G3135" s="434"/>
      <c r="H3135" s="434"/>
      <c r="I3135" s="434"/>
      <c r="J3135" s="449"/>
      <c r="K3135" s="292"/>
      <c r="L3135" s="350"/>
      <c r="M3135" s="350"/>
      <c r="N3135" s="292"/>
      <c r="O3135" s="296"/>
      <c r="P3135" s="295"/>
      <c r="R3135" s="348" t="str">
        <f t="shared" si="235"/>
        <v>DELETE</v>
      </c>
      <c r="T3135" s="334"/>
    </row>
    <row r="3136" spans="3:24" ht="36.75" customHeight="1" x14ac:dyDescent="0.45">
      <c r="D3136" s="446" t="str">
        <f>IF(O3136&lt;0,"Loss before taxation","Profit before taxation")</f>
        <v>Profit before taxation</v>
      </c>
      <c r="E3136" s="434"/>
      <c r="F3136" s="434"/>
      <c r="G3136" s="434"/>
      <c r="H3136" s="434"/>
      <c r="I3136" s="434"/>
      <c r="J3136" s="449"/>
      <c r="K3136" s="292"/>
      <c r="L3136" s="350"/>
      <c r="M3136" s="350"/>
      <c r="N3136" s="292"/>
      <c r="O3136" s="296">
        <f>SUM(S2990:S3135)</f>
        <v>0</v>
      </c>
      <c r="P3136" s="295"/>
      <c r="R3136" s="348" t="str">
        <f t="shared" si="235"/>
        <v>DELETE</v>
      </c>
      <c r="T3136" s="334"/>
      <c r="V3136" s="331" t="b">
        <f>O3136=FS!M2468</f>
        <v>1</v>
      </c>
    </row>
    <row r="3137" spans="3:24" ht="9" customHeight="1" thickBot="1" x14ac:dyDescent="0.5">
      <c r="C3137" s="397"/>
      <c r="D3137" s="434"/>
      <c r="E3137" s="434"/>
      <c r="F3137" s="434"/>
      <c r="G3137" s="434"/>
      <c r="H3137" s="434"/>
      <c r="I3137" s="434"/>
      <c r="J3137" s="449"/>
      <c r="K3137" s="292"/>
      <c r="L3137" s="350"/>
      <c r="M3137" s="350"/>
      <c r="N3137" s="292"/>
      <c r="O3137" s="299"/>
      <c r="P3137" s="295"/>
      <c r="R3137" s="348" t="str">
        <f t="shared" si="235"/>
        <v>DELETE</v>
      </c>
      <c r="T3137" s="334"/>
    </row>
    <row r="3138" spans="3:24" ht="9" customHeight="1" thickTop="1" x14ac:dyDescent="0.45">
      <c r="C3138" s="397"/>
      <c r="D3138" s="434"/>
      <c r="E3138" s="434"/>
      <c r="F3138" s="434"/>
      <c r="G3138" s="434"/>
      <c r="H3138" s="434"/>
      <c r="I3138" s="434"/>
      <c r="J3138" s="449"/>
      <c r="K3138" s="292"/>
      <c r="L3138" s="350"/>
      <c r="M3138" s="350"/>
      <c r="N3138" s="292"/>
      <c r="O3138" s="296"/>
      <c r="P3138" s="295"/>
      <c r="R3138" s="348" t="str">
        <f t="shared" si="235"/>
        <v>DELETE</v>
      </c>
      <c r="T3138" s="334"/>
    </row>
    <row r="3139" spans="3:24" ht="36" customHeight="1" x14ac:dyDescent="0.45">
      <c r="C3139" s="397"/>
      <c r="D3139" s="434"/>
      <c r="E3139" s="434"/>
      <c r="F3139" s="434"/>
      <c r="G3139" s="434"/>
      <c r="H3139" s="434"/>
      <c r="I3139" s="434"/>
      <c r="J3139" s="449"/>
      <c r="K3139" s="292"/>
      <c r="L3139" s="350"/>
      <c r="M3139" s="350"/>
      <c r="N3139" s="292"/>
      <c r="O3139" s="296"/>
      <c r="P3139" s="295"/>
      <c r="R3139" s="348" t="str">
        <f t="shared" si="235"/>
        <v>DELETE</v>
      </c>
      <c r="T3139" s="334"/>
    </row>
    <row r="3140" spans="3:24" ht="36" customHeight="1" x14ac:dyDescent="0.45">
      <c r="C3140" s="397"/>
      <c r="D3140" s="434"/>
      <c r="E3140" s="434"/>
      <c r="F3140" s="434"/>
      <c r="G3140" s="434"/>
      <c r="H3140" s="434"/>
      <c r="I3140" s="434"/>
      <c r="J3140" s="449"/>
      <c r="K3140" s="292"/>
      <c r="L3140" s="350"/>
      <c r="M3140" s="350"/>
      <c r="N3140" s="292"/>
      <c r="O3140" s="296"/>
      <c r="P3140" s="295"/>
      <c r="R3140" s="348" t="str">
        <f t="shared" si="235"/>
        <v>DELETE</v>
      </c>
      <c r="T3140" s="334"/>
    </row>
    <row r="3141" spans="3:24" ht="36" customHeight="1" x14ac:dyDescent="0.5">
      <c r="C3141" s="353"/>
      <c r="D3141" s="434"/>
      <c r="E3141" s="434"/>
      <c r="F3141" s="434"/>
      <c r="G3141" s="434"/>
      <c r="H3141" s="434"/>
      <c r="I3141" s="434"/>
      <c r="J3141" s="434"/>
      <c r="M3141" s="371"/>
      <c r="N3141" s="371"/>
      <c r="O3141" s="371"/>
      <c r="P3141" s="356"/>
      <c r="R3141" s="348" t="str">
        <f t="shared" si="235"/>
        <v>DELETE</v>
      </c>
      <c r="T3141" s="334"/>
    </row>
    <row r="3142" spans="3:24" ht="36" customHeight="1" x14ac:dyDescent="0.5">
      <c r="C3142" s="353"/>
      <c r="D3142" s="434"/>
      <c r="E3142" s="434"/>
      <c r="F3142" s="434"/>
      <c r="G3142" s="434"/>
      <c r="H3142" s="434"/>
      <c r="I3142" s="434"/>
      <c r="J3142" s="434"/>
      <c r="M3142" s="351"/>
      <c r="N3142" s="351"/>
      <c r="O3142" s="351"/>
      <c r="R3142" s="348" t="str">
        <f t="shared" si="235"/>
        <v>DELETE</v>
      </c>
      <c r="T3142" s="334"/>
    </row>
    <row r="3143" spans="3:24" ht="36" customHeight="1" x14ac:dyDescent="0.5">
      <c r="C3143" s="353"/>
      <c r="D3143" s="434"/>
      <c r="E3143" s="434"/>
      <c r="F3143" s="434"/>
      <c r="G3143" s="434"/>
      <c r="H3143" s="434"/>
      <c r="I3143" s="434"/>
      <c r="J3143" s="434"/>
      <c r="M3143" s="351"/>
      <c r="N3143" s="351"/>
      <c r="O3143" s="296" t="s">
        <v>89</v>
      </c>
      <c r="Q3143" s="292">
        <v>1</v>
      </c>
      <c r="R3143" s="348" t="str">
        <f>IF(SUM(U3155:U3157)+SUM(U3175:U3182)+SUM(U3283:U3293)+O3301=0,"DELETE",IF(SUM(S3155:S3157)+SUM(U3155:U3157)+SUM(S3175:S3182)+SUM(U3175:U3182)+SUM(S3283:S3293)+SUM(U3283:U3293)+M3301+O3301=0,"DELETE"," "))</f>
        <v>DELETE</v>
      </c>
      <c r="V3143" s="335"/>
      <c r="W3143" s="335"/>
      <c r="X3143" s="335"/>
    </row>
    <row r="3144" spans="3:24" ht="36" customHeight="1" x14ac:dyDescent="0.5">
      <c r="C3144" s="353"/>
      <c r="D3144" s="433" t="s">
        <v>610</v>
      </c>
      <c r="E3144" s="434"/>
      <c r="F3144" s="434"/>
      <c r="G3144" s="434"/>
      <c r="H3144" s="434"/>
      <c r="I3144" s="434"/>
      <c r="J3144" s="434"/>
      <c r="M3144" s="351"/>
      <c r="N3144" s="351"/>
      <c r="O3144" s="351"/>
      <c r="R3144" s="348" t="str">
        <f>R$3143</f>
        <v>DELETE</v>
      </c>
      <c r="V3144" s="332"/>
      <c r="X3144" s="332"/>
    </row>
    <row r="3145" spans="3:24" ht="36" customHeight="1" x14ac:dyDescent="0.5">
      <c r="C3145" s="353"/>
      <c r="D3145" s="434"/>
      <c r="E3145" s="434"/>
      <c r="F3145" s="434"/>
      <c r="G3145" s="434"/>
      <c r="H3145" s="434"/>
      <c r="I3145" s="434"/>
      <c r="J3145" s="434"/>
      <c r="M3145" s="351"/>
      <c r="N3145" s="351"/>
      <c r="O3145" s="351"/>
      <c r="R3145" s="348" t="str">
        <f t="shared" ref="R3145:R3154" si="236">R$3143</f>
        <v>DELETE</v>
      </c>
    </row>
    <row r="3146" spans="3:24" ht="36" customHeight="1" x14ac:dyDescent="0.5">
      <c r="C3146" s="353"/>
      <c r="D3146" s="433">
        <f>Criteria!E16</f>
        <v>0</v>
      </c>
      <c r="E3146" s="434"/>
      <c r="F3146" s="434"/>
      <c r="G3146" s="434"/>
      <c r="H3146" s="434"/>
      <c r="I3146" s="434"/>
      <c r="J3146" s="434"/>
      <c r="M3146" s="351"/>
      <c r="N3146" s="351"/>
      <c r="O3146" s="347"/>
      <c r="R3146" s="348" t="str">
        <f t="shared" si="236"/>
        <v>DELETE</v>
      </c>
    </row>
    <row r="3147" spans="3:24" ht="36" customHeight="1" x14ac:dyDescent="0.5">
      <c r="C3147" s="353"/>
      <c r="D3147" s="438"/>
      <c r="E3147" s="434"/>
      <c r="F3147" s="434"/>
      <c r="G3147" s="434"/>
      <c r="H3147" s="434"/>
      <c r="I3147" s="434"/>
      <c r="J3147" s="434"/>
      <c r="M3147" s="351"/>
      <c r="N3147" s="351"/>
      <c r="O3147" s="351"/>
      <c r="R3147" s="348" t="str">
        <f t="shared" si="236"/>
        <v>DELETE</v>
      </c>
    </row>
    <row r="3148" spans="3:24" ht="36" customHeight="1" x14ac:dyDescent="0.5">
      <c r="C3148" s="353"/>
      <c r="D3148" s="434"/>
      <c r="E3148" s="434"/>
      <c r="F3148" s="434"/>
      <c r="G3148" s="434"/>
      <c r="H3148" s="434"/>
      <c r="I3148" s="434"/>
      <c r="J3148" s="434"/>
      <c r="M3148" s="351"/>
      <c r="N3148" s="351"/>
      <c r="O3148" s="351"/>
      <c r="R3148" s="348" t="str">
        <f t="shared" si="236"/>
        <v>DELETE</v>
      </c>
    </row>
    <row r="3149" spans="3:24" ht="36" customHeight="1" x14ac:dyDescent="0.5">
      <c r="C3149" s="353"/>
      <c r="D3149" s="433" t="s">
        <v>86</v>
      </c>
      <c r="E3149" s="434"/>
      <c r="F3149" s="434"/>
      <c r="G3149" s="434"/>
      <c r="H3149" s="434"/>
      <c r="I3149" s="434"/>
      <c r="J3149" s="434"/>
      <c r="M3149" s="351"/>
      <c r="N3149" s="351"/>
      <c r="O3149" s="351"/>
      <c r="R3149" s="348" t="str">
        <f t="shared" si="236"/>
        <v>DELETE</v>
      </c>
    </row>
    <row r="3150" spans="3:24" ht="36" customHeight="1" x14ac:dyDescent="0.5">
      <c r="C3150" s="353"/>
      <c r="D3150" s="433" t="str">
        <f>Criteria!E20</f>
        <v>28 FEBRUARY 2025</v>
      </c>
      <c r="E3150" s="434"/>
      <c r="F3150" s="434"/>
      <c r="G3150" s="434"/>
      <c r="H3150" s="434"/>
      <c r="I3150" s="434"/>
      <c r="J3150" s="434"/>
      <c r="M3150" s="351"/>
      <c r="N3150" s="351"/>
      <c r="O3150" s="351"/>
      <c r="R3150" s="348" t="str">
        <f t="shared" si="236"/>
        <v>DELETE</v>
      </c>
    </row>
    <row r="3151" spans="3:24" ht="36" customHeight="1" x14ac:dyDescent="0.5">
      <c r="C3151" s="353"/>
      <c r="D3151" s="434"/>
      <c r="E3151" s="434"/>
      <c r="F3151" s="434"/>
      <c r="G3151" s="434"/>
      <c r="H3151" s="434"/>
      <c r="I3151" s="434"/>
      <c r="J3151" s="434"/>
      <c r="M3151" s="351"/>
      <c r="N3151" s="351"/>
      <c r="O3151" s="351"/>
      <c r="R3151" s="348" t="str">
        <f t="shared" si="236"/>
        <v>DELETE</v>
      </c>
    </row>
    <row r="3152" spans="3:24" ht="36" customHeight="1" x14ac:dyDescent="0.5">
      <c r="C3152" s="353"/>
      <c r="D3152" s="444"/>
      <c r="E3152" s="444"/>
      <c r="F3152" s="444"/>
      <c r="G3152" s="444"/>
      <c r="H3152" s="444"/>
      <c r="I3152" s="444"/>
      <c r="J3152" s="444"/>
      <c r="K3152" s="364"/>
      <c r="L3152" s="364"/>
      <c r="M3152" s="378"/>
      <c r="N3152" s="378"/>
      <c r="O3152" s="378"/>
      <c r="P3152" s="367"/>
      <c r="Q3152" s="364"/>
      <c r="R3152" s="348" t="str">
        <f t="shared" si="236"/>
        <v>DELETE</v>
      </c>
    </row>
    <row r="3153" spans="3:24" ht="36" customHeight="1" x14ac:dyDescent="0.5">
      <c r="C3153" s="353"/>
      <c r="D3153" s="434"/>
      <c r="E3153" s="434"/>
      <c r="F3153" s="434"/>
      <c r="G3153" s="434"/>
      <c r="H3153" s="434"/>
      <c r="I3153" s="434"/>
      <c r="J3153" s="449"/>
      <c r="K3153" s="292" t="s">
        <v>1041</v>
      </c>
      <c r="L3153" s="292"/>
      <c r="M3153" s="294">
        <f>Criteria!E22</f>
        <v>2025</v>
      </c>
      <c r="N3153" s="294"/>
      <c r="O3153" s="294">
        <f>Criteria!E27</f>
        <v>2024</v>
      </c>
      <c r="P3153" s="295"/>
      <c r="R3153" s="348" t="str">
        <f t="shared" si="236"/>
        <v>DELETE</v>
      </c>
    </row>
    <row r="3154" spans="3:24" ht="36" customHeight="1" x14ac:dyDescent="0.5">
      <c r="C3154" s="353"/>
      <c r="D3154" s="434"/>
      <c r="E3154" s="434"/>
      <c r="F3154" s="434"/>
      <c r="G3154" s="434"/>
      <c r="H3154" s="434"/>
      <c r="I3154" s="434"/>
      <c r="J3154" s="449"/>
      <c r="K3154" s="292"/>
      <c r="L3154" s="292"/>
      <c r="M3154" s="296"/>
      <c r="N3154" s="296"/>
      <c r="O3154" s="296"/>
      <c r="P3154" s="295"/>
      <c r="R3154" s="348" t="str">
        <f t="shared" si="236"/>
        <v>DELETE</v>
      </c>
    </row>
    <row r="3155" spans="3:24" ht="36" customHeight="1" x14ac:dyDescent="0.45">
      <c r="D3155" s="433" t="s">
        <v>836</v>
      </c>
      <c r="E3155" s="434"/>
      <c r="F3155" s="434"/>
      <c r="G3155" s="434"/>
      <c r="H3155" s="434"/>
      <c r="I3155" s="434"/>
      <c r="J3155" s="449"/>
      <c r="K3155" s="292"/>
      <c r="L3155" s="292"/>
      <c r="M3155" s="296">
        <f>-SUM(TrialBalanceC!I5:I10)</f>
        <v>0</v>
      </c>
      <c r="N3155" s="296"/>
      <c r="O3155" s="296">
        <f>-SUM(TrialBalanceC!K5:K10)</f>
        <v>0</v>
      </c>
      <c r="P3155" s="295"/>
      <c r="R3155" s="348" t="str">
        <f>IF(R3143="DELETE","DELETE",IF(M3155+O3155=0,IF(M3157+O3157=0," ","DELETE")," "))</f>
        <v>DELETE</v>
      </c>
      <c r="S3155" s="333">
        <f>M3155</f>
        <v>0</v>
      </c>
      <c r="T3155" s="333"/>
      <c r="U3155" s="333">
        <f>O3155</f>
        <v>0</v>
      </c>
      <c r="V3155" s="333"/>
      <c r="W3155" s="333"/>
      <c r="X3155" s="333"/>
    </row>
    <row r="3156" spans="3:24" ht="36" customHeight="1" x14ac:dyDescent="0.45">
      <c r="D3156" s="433"/>
      <c r="E3156" s="434"/>
      <c r="F3156" s="434"/>
      <c r="G3156" s="434"/>
      <c r="H3156" s="434"/>
      <c r="I3156" s="434"/>
      <c r="J3156" s="449"/>
      <c r="K3156" s="292"/>
      <c r="L3156" s="292"/>
      <c r="M3156" s="296"/>
      <c r="N3156" s="296"/>
      <c r="O3156" s="296"/>
      <c r="P3156" s="295"/>
      <c r="R3156" s="348" t="str">
        <f>R3155</f>
        <v>DELETE</v>
      </c>
      <c r="S3156" s="333"/>
      <c r="T3156" s="333"/>
      <c r="U3156" s="333"/>
      <c r="V3156" s="333"/>
      <c r="W3156" s="333"/>
      <c r="X3156" s="333"/>
    </row>
    <row r="3157" spans="3:24" ht="36" customHeight="1" x14ac:dyDescent="0.45">
      <c r="D3157" s="433" t="s">
        <v>334</v>
      </c>
      <c r="E3157" s="434"/>
      <c r="F3157" s="434"/>
      <c r="G3157" s="434"/>
      <c r="H3157" s="434"/>
      <c r="I3157" s="434"/>
      <c r="J3157" s="449"/>
      <c r="K3157" s="292"/>
      <c r="L3157" s="292"/>
      <c r="M3157" s="296">
        <f>-TrialBalanceC!I11</f>
        <v>0</v>
      </c>
      <c r="N3157" s="296"/>
      <c r="O3157" s="296">
        <f>-TrialBalanceC!K11</f>
        <v>0</v>
      </c>
      <c r="P3157" s="295"/>
      <c r="R3157" s="348" t="str">
        <f>IF(R3143="DELETE","DELETE",IF(M3157+O3157=0,"DELETE"," "))</f>
        <v>DELETE</v>
      </c>
      <c r="S3157" s="333">
        <f>M3157</f>
        <v>0</v>
      </c>
      <c r="T3157" s="333"/>
      <c r="U3157" s="333">
        <f>O3157</f>
        <v>0</v>
      </c>
      <c r="V3157" s="333"/>
      <c r="W3157" s="333"/>
      <c r="X3157" s="333"/>
    </row>
    <row r="3158" spans="3:24" ht="36" customHeight="1" x14ac:dyDescent="0.45">
      <c r="D3158" s="433"/>
      <c r="E3158" s="434"/>
      <c r="F3158" s="434"/>
      <c r="G3158" s="434"/>
      <c r="H3158" s="434"/>
      <c r="I3158" s="434"/>
      <c r="J3158" s="449"/>
      <c r="K3158" s="292"/>
      <c r="L3158" s="292"/>
      <c r="M3158" s="296"/>
      <c r="N3158" s="296"/>
      <c r="O3158" s="296"/>
      <c r="P3158" s="295"/>
      <c r="R3158" s="348" t="str">
        <f>R3157</f>
        <v>DELETE</v>
      </c>
    </row>
    <row r="3159" spans="3:24" ht="36" customHeight="1" x14ac:dyDescent="0.45">
      <c r="D3159" s="433" t="s">
        <v>1074</v>
      </c>
      <c r="E3159" s="434"/>
      <c r="F3159" s="434"/>
      <c r="G3159" s="434"/>
      <c r="H3159" s="434"/>
      <c r="I3159" s="434"/>
      <c r="J3159" s="449"/>
      <c r="K3159" s="292"/>
      <c r="L3159" s="292"/>
      <c r="M3159" s="296">
        <f>SUM(M3162:M3169)</f>
        <v>0</v>
      </c>
      <c r="N3159" s="296"/>
      <c r="O3159" s="296">
        <f>SUM(O3162:O3169)</f>
        <v>0</v>
      </c>
      <c r="P3159" s="295"/>
      <c r="R3159" s="348" t="str">
        <f>IF(R$3143="DELETE","DELETE",IF(M3159=0,IF(O3159=0,"DELETE"," ")," "))</f>
        <v>DELETE</v>
      </c>
      <c r="S3159" s="333">
        <f>-M3159</f>
        <v>0</v>
      </c>
      <c r="T3159" s="333"/>
      <c r="U3159" s="333">
        <f>-O3159</f>
        <v>0</v>
      </c>
      <c r="V3159" s="333"/>
      <c r="W3159" s="333"/>
      <c r="X3159" s="333"/>
    </row>
    <row r="3160" spans="3:24" ht="9" customHeight="1" x14ac:dyDescent="0.45">
      <c r="C3160" s="397"/>
      <c r="D3160" s="434"/>
      <c r="E3160" s="434"/>
      <c r="F3160" s="434"/>
      <c r="G3160" s="434"/>
      <c r="H3160" s="434"/>
      <c r="I3160" s="434"/>
      <c r="J3160" s="449"/>
      <c r="K3160" s="292"/>
      <c r="L3160" s="292"/>
      <c r="M3160" s="296"/>
      <c r="N3160" s="296"/>
      <c r="O3160" s="296"/>
      <c r="P3160" s="295"/>
      <c r="R3160" s="348" t="str">
        <f>R3159</f>
        <v>DELETE</v>
      </c>
    </row>
    <row r="3161" spans="3:24" ht="9" customHeight="1" x14ac:dyDescent="0.45">
      <c r="C3161" s="397"/>
      <c r="D3161" s="434"/>
      <c r="E3161" s="434"/>
      <c r="F3161" s="434"/>
      <c r="G3161" s="434"/>
      <c r="H3161" s="434"/>
      <c r="I3161" s="434"/>
      <c r="J3161" s="449"/>
      <c r="K3161" s="292"/>
      <c r="L3161" s="292"/>
      <c r="M3161" s="398"/>
      <c r="N3161" s="297"/>
      <c r="O3161" s="399"/>
      <c r="P3161" s="295"/>
      <c r="R3161" s="348" t="str">
        <f>R3160</f>
        <v>DELETE</v>
      </c>
    </row>
    <row r="3162" spans="3:24" ht="36" customHeight="1" x14ac:dyDescent="0.45">
      <c r="C3162" s="397"/>
      <c r="D3162" s="434" t="s">
        <v>492</v>
      </c>
      <c r="E3162" s="434"/>
      <c r="F3162" s="434"/>
      <c r="G3162" s="434"/>
      <c r="H3162" s="434"/>
      <c r="I3162" s="434"/>
      <c r="J3162" s="449"/>
      <c r="K3162" s="292"/>
      <c r="L3162" s="292"/>
      <c r="M3162" s="400">
        <f>SUM(TrialBalanceC!I13:I16)</f>
        <v>0</v>
      </c>
      <c r="N3162" s="296"/>
      <c r="O3162" s="401">
        <f>SUM(TrialBalanceC!K13:K16)</f>
        <v>0</v>
      </c>
      <c r="P3162" s="295"/>
      <c r="R3162" s="348" t="str">
        <f t="shared" ref="R3162:R3169" si="237">IF(R$3143="DELETE","DELETE",IF(M3162+O3162=0,"DELETE"," "))</f>
        <v>DELETE</v>
      </c>
    </row>
    <row r="3163" spans="3:24" ht="36" customHeight="1" x14ac:dyDescent="0.45">
      <c r="C3163" s="397"/>
      <c r="D3163" s="434" t="s">
        <v>249</v>
      </c>
      <c r="E3163" s="434"/>
      <c r="F3163" s="434"/>
      <c r="G3163" s="434"/>
      <c r="H3163" s="434"/>
      <c r="I3163" s="434"/>
      <c r="J3163" s="449"/>
      <c r="K3163" s="292"/>
      <c r="L3163" s="292"/>
      <c r="M3163" s="400">
        <f>TrialBalanceC!I17</f>
        <v>0</v>
      </c>
      <c r="N3163" s="296"/>
      <c r="O3163" s="401">
        <f>TrialBalanceC!K17</f>
        <v>0</v>
      </c>
      <c r="P3163" s="295"/>
      <c r="R3163" s="348" t="str">
        <f t="shared" si="237"/>
        <v>DELETE</v>
      </c>
    </row>
    <row r="3164" spans="3:24" ht="36" customHeight="1" x14ac:dyDescent="0.45">
      <c r="C3164" s="397"/>
      <c r="D3164" s="434">
        <f>TrialBalanceC!C18</f>
        <v>0</v>
      </c>
      <c r="E3164" s="434"/>
      <c r="F3164" s="434"/>
      <c r="G3164" s="434"/>
      <c r="H3164" s="434"/>
      <c r="I3164" s="434"/>
      <c r="J3164" s="449"/>
      <c r="K3164" s="292"/>
      <c r="L3164" s="292"/>
      <c r="M3164" s="400">
        <f>TrialBalanceC!I18</f>
        <v>0</v>
      </c>
      <c r="N3164" s="296"/>
      <c r="O3164" s="401">
        <f>TrialBalanceC!K18</f>
        <v>0</v>
      </c>
      <c r="P3164" s="295"/>
      <c r="R3164" s="348" t="str">
        <f t="shared" si="237"/>
        <v>DELETE</v>
      </c>
    </row>
    <row r="3165" spans="3:24" ht="36" customHeight="1" x14ac:dyDescent="0.45">
      <c r="C3165" s="397"/>
      <c r="D3165" s="434">
        <f>TrialBalanceC!C19</f>
        <v>0</v>
      </c>
      <c r="E3165" s="434"/>
      <c r="F3165" s="434"/>
      <c r="G3165" s="434"/>
      <c r="H3165" s="434"/>
      <c r="I3165" s="434"/>
      <c r="J3165" s="449"/>
      <c r="K3165" s="292"/>
      <c r="L3165" s="292"/>
      <c r="M3165" s="400">
        <f>TrialBalanceC!I19</f>
        <v>0</v>
      </c>
      <c r="N3165" s="296"/>
      <c r="O3165" s="401">
        <f>TrialBalanceC!K19</f>
        <v>0</v>
      </c>
      <c r="P3165" s="295"/>
      <c r="R3165" s="348" t="str">
        <f t="shared" si="237"/>
        <v>DELETE</v>
      </c>
    </row>
    <row r="3166" spans="3:24" ht="36" customHeight="1" x14ac:dyDescent="0.45">
      <c r="C3166" s="397"/>
      <c r="D3166" s="434">
        <f>TrialBalanceC!C20</f>
        <v>0</v>
      </c>
      <c r="E3166" s="434"/>
      <c r="F3166" s="434"/>
      <c r="G3166" s="434"/>
      <c r="H3166" s="434"/>
      <c r="I3166" s="434"/>
      <c r="J3166" s="449"/>
      <c r="K3166" s="292"/>
      <c r="L3166" s="292"/>
      <c r="M3166" s="400">
        <f>TrialBalanceC!I20</f>
        <v>0</v>
      </c>
      <c r="N3166" s="296"/>
      <c r="O3166" s="401">
        <f>TrialBalanceC!K20</f>
        <v>0</v>
      </c>
      <c r="P3166" s="295"/>
      <c r="R3166" s="348" t="str">
        <f t="shared" si="237"/>
        <v>DELETE</v>
      </c>
    </row>
    <row r="3167" spans="3:24" ht="36" customHeight="1" x14ac:dyDescent="0.45">
      <c r="C3167" s="397"/>
      <c r="D3167" s="434">
        <f>TrialBalanceC!C21</f>
        <v>0</v>
      </c>
      <c r="E3167" s="434"/>
      <c r="F3167" s="434"/>
      <c r="G3167" s="434"/>
      <c r="H3167" s="434"/>
      <c r="I3167" s="434"/>
      <c r="J3167" s="449"/>
      <c r="K3167" s="292"/>
      <c r="L3167" s="292"/>
      <c r="M3167" s="400">
        <f>TrialBalanceC!I21</f>
        <v>0</v>
      </c>
      <c r="N3167" s="296"/>
      <c r="O3167" s="401">
        <f>TrialBalanceC!K21</f>
        <v>0</v>
      </c>
      <c r="P3167" s="295"/>
      <c r="R3167" s="348" t="str">
        <f t="shared" si="237"/>
        <v>DELETE</v>
      </c>
    </row>
    <row r="3168" spans="3:24" ht="36" customHeight="1" x14ac:dyDescent="0.45">
      <c r="C3168" s="397"/>
      <c r="D3168" s="434">
        <f>TrialBalanceC!C22</f>
        <v>0</v>
      </c>
      <c r="E3168" s="434"/>
      <c r="F3168" s="434"/>
      <c r="G3168" s="434"/>
      <c r="H3168" s="434"/>
      <c r="I3168" s="434"/>
      <c r="J3168" s="449"/>
      <c r="K3168" s="292"/>
      <c r="L3168" s="292"/>
      <c r="M3168" s="400">
        <f>TrialBalanceC!I22</f>
        <v>0</v>
      </c>
      <c r="N3168" s="296"/>
      <c r="O3168" s="401">
        <f>TrialBalanceC!K22</f>
        <v>0</v>
      </c>
      <c r="P3168" s="295"/>
      <c r="R3168" s="348" t="str">
        <f t="shared" si="237"/>
        <v>DELETE</v>
      </c>
    </row>
    <row r="3169" spans="3:26" ht="36" customHeight="1" x14ac:dyDescent="0.45">
      <c r="C3169" s="397"/>
      <c r="D3169" s="434" t="s">
        <v>493</v>
      </c>
      <c r="E3169" s="434"/>
      <c r="F3169" s="434"/>
      <c r="G3169" s="434"/>
      <c r="H3169" s="434"/>
      <c r="I3169" s="434"/>
      <c r="J3169" s="449"/>
      <c r="K3169" s="292"/>
      <c r="L3169" s="292"/>
      <c r="M3169" s="400">
        <f>SUM(TrialBalanceC!I23:I26)</f>
        <v>0</v>
      </c>
      <c r="N3169" s="296"/>
      <c r="O3169" s="401">
        <f>SUM(TrialBalanceC!K23:K26)</f>
        <v>0</v>
      </c>
      <c r="P3169" s="295"/>
      <c r="R3169" s="348" t="str">
        <f t="shared" si="237"/>
        <v>DELETE</v>
      </c>
    </row>
    <row r="3170" spans="3:26" ht="9" customHeight="1" x14ac:dyDescent="0.45">
      <c r="C3170" s="397"/>
      <c r="D3170" s="434"/>
      <c r="E3170" s="434"/>
      <c r="F3170" s="434"/>
      <c r="G3170" s="434"/>
      <c r="H3170" s="434"/>
      <c r="I3170" s="434"/>
      <c r="J3170" s="449"/>
      <c r="K3170" s="292"/>
      <c r="L3170" s="292"/>
      <c r="M3170" s="402"/>
      <c r="N3170" s="298"/>
      <c r="O3170" s="403"/>
      <c r="P3170" s="295"/>
      <c r="R3170" s="348" t="str">
        <f>R3159</f>
        <v>DELETE</v>
      </c>
    </row>
    <row r="3171" spans="3:26" ht="9" customHeight="1" x14ac:dyDescent="0.45">
      <c r="C3171" s="397"/>
      <c r="D3171" s="434"/>
      <c r="E3171" s="434"/>
      <c r="F3171" s="434"/>
      <c r="G3171" s="434"/>
      <c r="H3171" s="434"/>
      <c r="I3171" s="434"/>
      <c r="J3171" s="449"/>
      <c r="K3171" s="292"/>
      <c r="L3171" s="292"/>
      <c r="M3171" s="298"/>
      <c r="N3171" s="298"/>
      <c r="O3171" s="298"/>
      <c r="P3171" s="295"/>
      <c r="R3171" s="348" t="str">
        <f>R3159</f>
        <v>DELETE</v>
      </c>
    </row>
    <row r="3172" spans="3:26" ht="9" customHeight="1" x14ac:dyDescent="0.45">
      <c r="C3172" s="397"/>
      <c r="D3172" s="434"/>
      <c r="E3172" s="434"/>
      <c r="F3172" s="434"/>
      <c r="G3172" s="434"/>
      <c r="H3172" s="434"/>
      <c r="I3172" s="434"/>
      <c r="J3172" s="449"/>
      <c r="K3172" s="292"/>
      <c r="L3172" s="292"/>
      <c r="M3172" s="296"/>
      <c r="N3172" s="296"/>
      <c r="O3172" s="296"/>
      <c r="P3172" s="295"/>
      <c r="R3172" s="348" t="str">
        <f>R3171</f>
        <v>DELETE</v>
      </c>
    </row>
    <row r="3173" spans="3:26" ht="36" customHeight="1" x14ac:dyDescent="0.45">
      <c r="D3173" s="446" t="str">
        <f>IF((Y3173+Z3173)=3,"Gross profit/(loss)",(IF((Y3173+Z3173=4),"Gross profit","Gross loss")))</f>
        <v>Gross profit</v>
      </c>
      <c r="E3173" s="434"/>
      <c r="F3173" s="434"/>
      <c r="G3173" s="434"/>
      <c r="H3173" s="434"/>
      <c r="I3173" s="434"/>
      <c r="J3173" s="449"/>
      <c r="K3173" s="292"/>
      <c r="L3173" s="292"/>
      <c r="M3173" s="296">
        <f>SUM(S3155:S3170)</f>
        <v>0</v>
      </c>
      <c r="N3173" s="296"/>
      <c r="O3173" s="296">
        <f>SUM(U3155:U3170)</f>
        <v>0</v>
      </c>
      <c r="P3173" s="295"/>
      <c r="R3173" s="348" t="str">
        <f>R3172</f>
        <v>DELETE</v>
      </c>
      <c r="Y3173" s="331">
        <f>IF(M3173&lt;0,1,IF(M3173=0,IF(O3173&lt;0,1,2),2))</f>
        <v>2</v>
      </c>
      <c r="Z3173" s="331">
        <f>IF(O3173&lt;0,1,IF(O3173=0,IF(M3173&lt;0,1,2),2))</f>
        <v>2</v>
      </c>
    </row>
    <row r="3174" spans="3:26" ht="36" customHeight="1" x14ac:dyDescent="0.45">
      <c r="C3174" s="397"/>
      <c r="D3174" s="434"/>
      <c r="E3174" s="434"/>
      <c r="F3174" s="434"/>
      <c r="G3174" s="434"/>
      <c r="H3174" s="434"/>
      <c r="I3174" s="434"/>
      <c r="J3174" s="449"/>
      <c r="K3174" s="292"/>
      <c r="L3174" s="292"/>
      <c r="M3174" s="296"/>
      <c r="N3174" s="296"/>
      <c r="O3174" s="296"/>
      <c r="P3174" s="295"/>
      <c r="R3174" s="348" t="str">
        <f>R3173</f>
        <v>DELETE</v>
      </c>
    </row>
    <row r="3175" spans="3:26" ht="36" customHeight="1" x14ac:dyDescent="0.45">
      <c r="D3175" s="433" t="s">
        <v>1037</v>
      </c>
      <c r="E3175" s="434"/>
      <c r="F3175" s="434"/>
      <c r="G3175" s="434"/>
      <c r="H3175" s="434"/>
      <c r="I3175" s="434"/>
      <c r="J3175" s="449"/>
      <c r="K3175" s="292"/>
      <c r="L3175" s="292"/>
      <c r="M3175" s="296">
        <f>SUM(M3177:M3184)</f>
        <v>0</v>
      </c>
      <c r="N3175" s="296"/>
      <c r="O3175" s="296">
        <f>SUM(O3177:O3184)</f>
        <v>0</v>
      </c>
      <c r="P3175" s="295"/>
      <c r="R3175" s="348" t="str">
        <f t="shared" ref="R3175" si="238">IF(R$3143="DELETE","DELETE",IF(M3175+O3175=0,"DELETE"," "))</f>
        <v>DELETE</v>
      </c>
      <c r="S3175" s="333">
        <f>M3175</f>
        <v>0</v>
      </c>
      <c r="T3175" s="333"/>
      <c r="U3175" s="333">
        <f>O3175</f>
        <v>0</v>
      </c>
    </row>
    <row r="3176" spans="3:26" ht="9" customHeight="1" x14ac:dyDescent="0.45">
      <c r="C3176" s="397"/>
      <c r="D3176" s="434"/>
      <c r="E3176" s="434"/>
      <c r="F3176" s="434"/>
      <c r="G3176" s="434"/>
      <c r="H3176" s="434"/>
      <c r="I3176" s="434"/>
      <c r="J3176" s="449"/>
      <c r="K3176" s="292"/>
      <c r="L3176" s="292"/>
      <c r="M3176" s="296"/>
      <c r="N3176" s="296"/>
      <c r="O3176" s="296"/>
      <c r="P3176" s="295"/>
      <c r="R3176" s="348" t="str">
        <f>R3175</f>
        <v>DELETE</v>
      </c>
    </row>
    <row r="3177" spans="3:26" ht="9" customHeight="1" x14ac:dyDescent="0.45">
      <c r="C3177" s="397"/>
      <c r="D3177" s="434"/>
      <c r="E3177" s="434"/>
      <c r="F3177" s="434"/>
      <c r="G3177" s="434"/>
      <c r="H3177" s="434"/>
      <c r="I3177" s="434"/>
      <c r="J3177" s="449"/>
      <c r="K3177" s="292"/>
      <c r="L3177" s="292"/>
      <c r="M3177" s="398"/>
      <c r="N3177" s="297"/>
      <c r="O3177" s="399"/>
      <c r="P3177" s="295"/>
      <c r="R3177" s="348" t="str">
        <f>R3175</f>
        <v>DELETE</v>
      </c>
    </row>
    <row r="3178" spans="3:26" ht="36" customHeight="1" x14ac:dyDescent="0.45">
      <c r="C3178" s="397"/>
      <c r="D3178" s="434" t="str">
        <f>TrialBalanceC!C28</f>
        <v xml:space="preserve">Insurance claims - </v>
      </c>
      <c r="E3178" s="434"/>
      <c r="F3178" s="434"/>
      <c r="G3178" s="434"/>
      <c r="H3178" s="434"/>
      <c r="I3178" s="434"/>
      <c r="J3178" s="449"/>
      <c r="K3178" s="292"/>
      <c r="L3178" s="292"/>
      <c r="M3178" s="400">
        <f>-TrialBalanceC!I28</f>
        <v>0</v>
      </c>
      <c r="N3178" s="296"/>
      <c r="O3178" s="401">
        <f>-TrialBalanceC!K28</f>
        <v>0</v>
      </c>
      <c r="P3178" s="295"/>
      <c r="R3178" s="348" t="str">
        <f t="shared" ref="R3178:R3182" si="239">IF(R$3143="DELETE","DELETE",IF(M3178+O3178=0,"DELETE"," "))</f>
        <v>DELETE</v>
      </c>
    </row>
    <row r="3179" spans="3:26" ht="36" customHeight="1" x14ac:dyDescent="0.45">
      <c r="C3179" s="397"/>
      <c r="D3179" s="434" t="str">
        <f>TrialBalanceC!C29</f>
        <v>Government grants received</v>
      </c>
      <c r="E3179" s="434"/>
      <c r="F3179" s="434"/>
      <c r="G3179" s="434"/>
      <c r="H3179" s="434"/>
      <c r="I3179" s="434"/>
      <c r="J3179" s="449"/>
      <c r="K3179" s="292"/>
      <c r="L3179" s="292"/>
      <c r="M3179" s="400">
        <f>-TrialBalanceC!I29</f>
        <v>0</v>
      </c>
      <c r="N3179" s="296"/>
      <c r="O3179" s="401">
        <f>-TrialBalanceC!K29</f>
        <v>0</v>
      </c>
      <c r="P3179" s="295"/>
      <c r="R3179" s="348" t="str">
        <f t="shared" si="239"/>
        <v>DELETE</v>
      </c>
    </row>
    <row r="3180" spans="3:26" ht="36" customHeight="1" x14ac:dyDescent="0.45">
      <c r="C3180" s="397"/>
      <c r="D3180" s="434">
        <f>TrialBalanceC!C30</f>
        <v>0</v>
      </c>
      <c r="E3180" s="434"/>
      <c r="F3180" s="434"/>
      <c r="G3180" s="434"/>
      <c r="H3180" s="434"/>
      <c r="I3180" s="434"/>
      <c r="J3180" s="449"/>
      <c r="K3180" s="292"/>
      <c r="L3180" s="292"/>
      <c r="M3180" s="400">
        <f>-TrialBalanceC!I30</f>
        <v>0</v>
      </c>
      <c r="N3180" s="296"/>
      <c r="O3180" s="401">
        <f>-TrialBalanceC!K30</f>
        <v>0</v>
      </c>
      <c r="P3180" s="295"/>
      <c r="R3180" s="348" t="str">
        <f t="shared" si="239"/>
        <v>DELETE</v>
      </c>
    </row>
    <row r="3181" spans="3:26" ht="36" customHeight="1" x14ac:dyDescent="0.45">
      <c r="C3181" s="397"/>
      <c r="D3181" s="434">
        <f>TrialBalanceC!C31</f>
        <v>0</v>
      </c>
      <c r="E3181" s="434"/>
      <c r="F3181" s="434"/>
      <c r="G3181" s="434"/>
      <c r="H3181" s="434"/>
      <c r="I3181" s="434"/>
      <c r="J3181" s="449"/>
      <c r="K3181" s="292"/>
      <c r="L3181" s="292"/>
      <c r="M3181" s="400">
        <f>-TrialBalanceC!I31</f>
        <v>0</v>
      </c>
      <c r="N3181" s="296"/>
      <c r="O3181" s="401">
        <f>-TrialBalanceC!K31</f>
        <v>0</v>
      </c>
      <c r="P3181" s="295"/>
      <c r="R3181" s="348" t="str">
        <f t="shared" si="239"/>
        <v>DELETE</v>
      </c>
    </row>
    <row r="3182" spans="3:26" ht="36" customHeight="1" x14ac:dyDescent="0.45">
      <c r="C3182" s="397"/>
      <c r="D3182" s="434">
        <f>TrialBalanceC!C32</f>
        <v>0</v>
      </c>
      <c r="E3182" s="434"/>
      <c r="F3182" s="434"/>
      <c r="G3182" s="434"/>
      <c r="H3182" s="434"/>
      <c r="I3182" s="434"/>
      <c r="J3182" s="449"/>
      <c r="K3182" s="292"/>
      <c r="L3182" s="292"/>
      <c r="M3182" s="400">
        <f>-TrialBalanceC!I32</f>
        <v>0</v>
      </c>
      <c r="N3182" s="296"/>
      <c r="O3182" s="401">
        <f>-TrialBalanceC!K32</f>
        <v>0</v>
      </c>
      <c r="P3182" s="295"/>
      <c r="R3182" s="348" t="str">
        <f t="shared" si="239"/>
        <v>DELETE</v>
      </c>
    </row>
    <row r="3183" spans="3:26" ht="36" customHeight="1" x14ac:dyDescent="0.45">
      <c r="C3183" s="397"/>
      <c r="D3183" s="434" t="str">
        <f>TrialBalanceC!C33</f>
        <v>Recoupment of depreciation</v>
      </c>
      <c r="E3183" s="434"/>
      <c r="F3183" s="434"/>
      <c r="G3183" s="434"/>
      <c r="H3183" s="434"/>
      <c r="I3183" s="434"/>
      <c r="J3183" s="449"/>
      <c r="K3183" s="292"/>
      <c r="L3183" s="292"/>
      <c r="M3183" s="400">
        <f>-TrialBalanceC!I33</f>
        <v>0</v>
      </c>
      <c r="N3183" s="296"/>
      <c r="O3183" s="401">
        <f>-TrialBalanceC!K33</f>
        <v>0</v>
      </c>
      <c r="P3183" s="295"/>
      <c r="R3183" s="348" t="str">
        <f t="shared" ref="R3183" si="240">IF(R$3143="DELETE","DELETE",IF(M3183+O3183=0,"DELETE"," "))</f>
        <v>DELETE</v>
      </c>
    </row>
    <row r="3184" spans="3:26" ht="9" customHeight="1" x14ac:dyDescent="0.45">
      <c r="C3184" s="397"/>
      <c r="D3184" s="434"/>
      <c r="E3184" s="434"/>
      <c r="F3184" s="434"/>
      <c r="G3184" s="434"/>
      <c r="H3184" s="434"/>
      <c r="I3184" s="434"/>
      <c r="J3184" s="449"/>
      <c r="K3184" s="292"/>
      <c r="L3184" s="292"/>
      <c r="M3184" s="402"/>
      <c r="N3184" s="298"/>
      <c r="O3184" s="403"/>
      <c r="P3184" s="295"/>
      <c r="R3184" s="348" t="str">
        <f>R3175</f>
        <v>DELETE</v>
      </c>
    </row>
    <row r="3185" spans="3:24" ht="9" customHeight="1" x14ac:dyDescent="0.45">
      <c r="C3185" s="397"/>
      <c r="D3185" s="434"/>
      <c r="E3185" s="434"/>
      <c r="F3185" s="434"/>
      <c r="G3185" s="434"/>
      <c r="H3185" s="434"/>
      <c r="I3185" s="434"/>
      <c r="J3185" s="449"/>
      <c r="K3185" s="292"/>
      <c r="L3185" s="292"/>
      <c r="M3185" s="314"/>
      <c r="N3185" s="314"/>
      <c r="O3185" s="314"/>
      <c r="P3185" s="295"/>
      <c r="R3185" s="348" t="str">
        <f>R3184</f>
        <v>DELETE</v>
      </c>
    </row>
    <row r="3186" spans="3:24" ht="9" customHeight="1" x14ac:dyDescent="0.45">
      <c r="C3186" s="397"/>
      <c r="D3186" s="434"/>
      <c r="E3186" s="434"/>
      <c r="F3186" s="434"/>
      <c r="G3186" s="434"/>
      <c r="H3186" s="434"/>
      <c r="I3186" s="434"/>
      <c r="J3186" s="449"/>
      <c r="K3186" s="292"/>
      <c r="L3186" s="292"/>
      <c r="M3186" s="296"/>
      <c r="N3186" s="296"/>
      <c r="O3186" s="296"/>
      <c r="P3186" s="295"/>
      <c r="R3186" s="348" t="str">
        <f>R3185</f>
        <v>DELETE</v>
      </c>
    </row>
    <row r="3187" spans="3:24" ht="36" customHeight="1" x14ac:dyDescent="0.45">
      <c r="C3187" s="397"/>
      <c r="D3187" s="434"/>
      <c r="E3187" s="434"/>
      <c r="F3187" s="434"/>
      <c r="G3187" s="434"/>
      <c r="H3187" s="434"/>
      <c r="I3187" s="434"/>
      <c r="J3187" s="449"/>
      <c r="K3187" s="292"/>
      <c r="L3187" s="292"/>
      <c r="M3187" s="296">
        <f>SUM(S3155:S3175)</f>
        <v>0</v>
      </c>
      <c r="N3187" s="296"/>
      <c r="O3187" s="296">
        <f>SUM(U3155:U3175)</f>
        <v>0</v>
      </c>
      <c r="P3187" s="295"/>
      <c r="R3187" s="348" t="str">
        <f>R3175</f>
        <v>DELETE</v>
      </c>
    </row>
    <row r="3188" spans="3:24" ht="36" customHeight="1" x14ac:dyDescent="0.45">
      <c r="C3188" s="397"/>
      <c r="D3188" s="434"/>
      <c r="E3188" s="434"/>
      <c r="F3188" s="434"/>
      <c r="G3188" s="434"/>
      <c r="H3188" s="434"/>
      <c r="I3188" s="434"/>
      <c r="J3188" s="449"/>
      <c r="K3188" s="292"/>
      <c r="L3188" s="292"/>
      <c r="M3188" s="296"/>
      <c r="N3188" s="296"/>
      <c r="O3188" s="296"/>
      <c r="P3188" s="295"/>
      <c r="R3188" s="348" t="str">
        <f>R3187</f>
        <v>DELETE</v>
      </c>
    </row>
    <row r="3189" spans="3:24" ht="36" customHeight="1" x14ac:dyDescent="0.45">
      <c r="D3189" s="433" t="s">
        <v>1075</v>
      </c>
      <c r="E3189" s="434"/>
      <c r="F3189" s="434"/>
      <c r="G3189" s="434"/>
      <c r="H3189" s="434"/>
      <c r="I3189" s="434"/>
      <c r="J3189" s="449"/>
      <c r="K3189" s="292"/>
      <c r="L3189" s="292"/>
      <c r="M3189" s="296">
        <f>SUM(M3191:M3220)</f>
        <v>0</v>
      </c>
      <c r="N3189" s="296"/>
      <c r="O3189" s="296">
        <f>SUM(O3191:O3220)</f>
        <v>0</v>
      </c>
      <c r="P3189" s="295"/>
      <c r="R3189" s="348" t="str">
        <f t="shared" ref="R3189" si="241">IF(R$3143="DELETE","DELETE",IF(M3189+O3189=0,"DELETE"," "))</f>
        <v>DELETE</v>
      </c>
      <c r="S3189" s="333">
        <f>-M3189</f>
        <v>0</v>
      </c>
      <c r="T3189" s="333"/>
      <c r="U3189" s="333">
        <f>-O3189</f>
        <v>0</v>
      </c>
      <c r="V3189" s="333"/>
      <c r="W3189" s="333"/>
      <c r="X3189" s="333"/>
    </row>
    <row r="3190" spans="3:24" ht="9" customHeight="1" x14ac:dyDescent="0.45">
      <c r="C3190" s="397"/>
      <c r="D3190" s="434"/>
      <c r="E3190" s="434"/>
      <c r="F3190" s="434"/>
      <c r="G3190" s="434"/>
      <c r="H3190" s="434"/>
      <c r="I3190" s="434"/>
      <c r="J3190" s="449"/>
      <c r="K3190" s="292"/>
      <c r="L3190" s="292"/>
      <c r="M3190" s="296"/>
      <c r="N3190" s="296"/>
      <c r="O3190" s="296"/>
      <c r="P3190" s="295"/>
      <c r="R3190" s="348" t="str">
        <f>R3189</f>
        <v>DELETE</v>
      </c>
    </row>
    <row r="3191" spans="3:24" ht="9" customHeight="1" x14ac:dyDescent="0.45">
      <c r="C3191" s="397"/>
      <c r="D3191" s="434"/>
      <c r="E3191" s="434"/>
      <c r="F3191" s="434"/>
      <c r="G3191" s="434"/>
      <c r="H3191" s="434"/>
      <c r="I3191" s="434"/>
      <c r="J3191" s="449"/>
      <c r="K3191" s="292"/>
      <c r="L3191" s="292"/>
      <c r="M3191" s="398"/>
      <c r="N3191" s="297"/>
      <c r="O3191" s="399"/>
      <c r="P3191" s="295"/>
      <c r="R3191" s="348" t="str">
        <f>R3190</f>
        <v>DELETE</v>
      </c>
    </row>
    <row r="3192" spans="3:24" ht="36" customHeight="1" x14ac:dyDescent="0.45">
      <c r="C3192" s="397"/>
      <c r="D3192" s="434" t="s">
        <v>250</v>
      </c>
      <c r="E3192" s="434"/>
      <c r="F3192" s="434"/>
      <c r="G3192" s="434"/>
      <c r="H3192" s="434"/>
      <c r="I3192" s="434"/>
      <c r="J3192" s="449"/>
      <c r="K3192" s="292"/>
      <c r="L3192" s="292"/>
      <c r="M3192" s="400">
        <f>TrialBalanceC!I40</f>
        <v>0</v>
      </c>
      <c r="N3192" s="296"/>
      <c r="O3192" s="401">
        <f>TrialBalanceC!K40</f>
        <v>0</v>
      </c>
      <c r="P3192" s="295"/>
      <c r="R3192" s="348" t="str">
        <f t="shared" ref="R3192:R3219" si="242">IF(R$3143="DELETE","DELETE",IF(M3192+O3192=0,"DELETE"," "))</f>
        <v>DELETE</v>
      </c>
    </row>
    <row r="3193" spans="3:24" ht="36" customHeight="1" x14ac:dyDescent="0.45">
      <c r="C3193" s="397"/>
      <c r="D3193" s="434" t="s">
        <v>658</v>
      </c>
      <c r="E3193" s="434"/>
      <c r="F3193" s="434"/>
      <c r="G3193" s="434"/>
      <c r="H3193" s="434"/>
      <c r="I3193" s="434"/>
      <c r="J3193" s="449"/>
      <c r="K3193" s="292"/>
      <c r="L3193" s="292"/>
      <c r="M3193" s="400">
        <f>TrialBalanceC!I41</f>
        <v>0</v>
      </c>
      <c r="N3193" s="296"/>
      <c r="O3193" s="401">
        <f>TrialBalanceC!K41</f>
        <v>0</v>
      </c>
      <c r="P3193" s="295"/>
      <c r="R3193" s="348" t="str">
        <f t="shared" si="242"/>
        <v>DELETE</v>
      </c>
    </row>
    <row r="3194" spans="3:24" ht="36" customHeight="1" x14ac:dyDescent="0.45">
      <c r="C3194" s="397"/>
      <c r="D3194" s="434" t="s">
        <v>251</v>
      </c>
      <c r="E3194" s="434"/>
      <c r="F3194" s="434"/>
      <c r="G3194" s="434"/>
      <c r="H3194" s="434"/>
      <c r="I3194" s="434"/>
      <c r="J3194" s="449"/>
      <c r="K3194" s="292"/>
      <c r="L3194" s="292"/>
      <c r="M3194" s="400">
        <f>TrialBalanceC!I42</f>
        <v>0</v>
      </c>
      <c r="N3194" s="296"/>
      <c r="O3194" s="401">
        <f>TrialBalanceC!K42</f>
        <v>0</v>
      </c>
      <c r="P3194" s="295"/>
      <c r="R3194" s="348" t="str">
        <f t="shared" si="242"/>
        <v>DELETE</v>
      </c>
    </row>
    <row r="3195" spans="3:24" ht="36" customHeight="1" x14ac:dyDescent="0.45">
      <c r="C3195" s="397"/>
      <c r="D3195" s="434" t="s">
        <v>252</v>
      </c>
      <c r="E3195" s="434"/>
      <c r="F3195" s="434"/>
      <c r="G3195" s="434"/>
      <c r="H3195" s="434"/>
      <c r="I3195" s="434"/>
      <c r="J3195" s="449"/>
      <c r="K3195" s="292">
        <f>B$958</f>
        <v>5</v>
      </c>
      <c r="L3195" s="292"/>
      <c r="M3195" s="400">
        <f>SUM(TrialBalanceC!I44:I46)</f>
        <v>0</v>
      </c>
      <c r="N3195" s="296"/>
      <c r="O3195" s="401">
        <f>SUM(TrialBalanceC!K44:K46)</f>
        <v>0</v>
      </c>
      <c r="P3195" s="295"/>
      <c r="R3195" s="348" t="str">
        <f t="shared" si="242"/>
        <v>DELETE</v>
      </c>
    </row>
    <row r="3196" spans="3:24" ht="36" customHeight="1" x14ac:dyDescent="0.45">
      <c r="C3196" s="397"/>
      <c r="D3196" s="434" t="s">
        <v>494</v>
      </c>
      <c r="E3196" s="434"/>
      <c r="F3196" s="434"/>
      <c r="G3196" s="434"/>
      <c r="H3196" s="434"/>
      <c r="I3196" s="434"/>
      <c r="J3196" s="449"/>
      <c r="K3196" s="292"/>
      <c r="L3196" s="292"/>
      <c r="M3196" s="400">
        <f>TrialBalanceC!I47</f>
        <v>0</v>
      </c>
      <c r="N3196" s="296"/>
      <c r="O3196" s="401">
        <f>TrialBalanceC!K47</f>
        <v>0</v>
      </c>
      <c r="P3196" s="295"/>
      <c r="R3196" s="348" t="str">
        <f t="shared" si="242"/>
        <v>DELETE</v>
      </c>
      <c r="S3196" s="336"/>
      <c r="T3196" s="336"/>
      <c r="U3196" s="336"/>
      <c r="V3196" s="336"/>
      <c r="W3196" s="336"/>
      <c r="X3196" s="336"/>
    </row>
    <row r="3197" spans="3:24" ht="36" customHeight="1" x14ac:dyDescent="0.45">
      <c r="C3197" s="397"/>
      <c r="D3197" s="434" t="s">
        <v>678</v>
      </c>
      <c r="E3197" s="434"/>
      <c r="F3197" s="434"/>
      <c r="G3197" s="434"/>
      <c r="H3197" s="434"/>
      <c r="I3197" s="434"/>
      <c r="J3197" s="449"/>
      <c r="K3197" s="292"/>
      <c r="L3197" s="292"/>
      <c r="M3197" s="400">
        <f>TrialBalanceC!I48</f>
        <v>0</v>
      </c>
      <c r="N3197" s="296"/>
      <c r="O3197" s="401">
        <f>TrialBalanceC!K48</f>
        <v>0</v>
      </c>
      <c r="P3197" s="295"/>
      <c r="R3197" s="348" t="str">
        <f t="shared" si="242"/>
        <v>DELETE</v>
      </c>
    </row>
    <row r="3198" spans="3:24" ht="36" customHeight="1" x14ac:dyDescent="0.45">
      <c r="C3198" s="397"/>
      <c r="D3198" s="434" t="s">
        <v>54</v>
      </c>
      <c r="E3198" s="434"/>
      <c r="F3198" s="434"/>
      <c r="G3198" s="434"/>
      <c r="H3198" s="434"/>
      <c r="I3198" s="434"/>
      <c r="J3198" s="449"/>
      <c r="K3198" s="292"/>
      <c r="L3198" s="292"/>
      <c r="M3198" s="400">
        <f>TrialBalanceC!I49</f>
        <v>0</v>
      </c>
      <c r="N3198" s="296"/>
      <c r="O3198" s="401">
        <f>TrialBalanceC!K49</f>
        <v>0</v>
      </c>
      <c r="P3198" s="295"/>
      <c r="R3198" s="348" t="str">
        <f t="shared" si="242"/>
        <v>DELETE</v>
      </c>
    </row>
    <row r="3199" spans="3:24" ht="36" customHeight="1" x14ac:dyDescent="0.45">
      <c r="C3199" s="397"/>
      <c r="D3199" s="434" t="s">
        <v>253</v>
      </c>
      <c r="E3199" s="434"/>
      <c r="F3199" s="434"/>
      <c r="G3199" s="434"/>
      <c r="H3199" s="434"/>
      <c r="I3199" s="434"/>
      <c r="J3199" s="449"/>
      <c r="K3199" s="292"/>
      <c r="L3199" s="292"/>
      <c r="M3199" s="400">
        <f>TrialBalanceC!I50</f>
        <v>0</v>
      </c>
      <c r="N3199" s="296"/>
      <c r="O3199" s="401">
        <f>TrialBalanceC!K50</f>
        <v>0</v>
      </c>
      <c r="P3199" s="295"/>
      <c r="R3199" s="348" t="str">
        <f t="shared" si="242"/>
        <v>DELETE</v>
      </c>
    </row>
    <row r="3200" spans="3:24" ht="36" customHeight="1" x14ac:dyDescent="0.45">
      <c r="C3200" s="397"/>
      <c r="D3200" s="434" t="s">
        <v>511</v>
      </c>
      <c r="E3200" s="434"/>
      <c r="F3200" s="434"/>
      <c r="G3200" s="434"/>
      <c r="H3200" s="434"/>
      <c r="I3200" s="434"/>
      <c r="J3200" s="449"/>
      <c r="K3200" s="292"/>
      <c r="L3200" s="292"/>
      <c r="M3200" s="400">
        <f>SUM(TrialBalanceC!I51:I52)</f>
        <v>0</v>
      </c>
      <c r="N3200" s="296"/>
      <c r="O3200" s="401">
        <f>SUM(TrialBalanceC!K51:K52)</f>
        <v>0</v>
      </c>
      <c r="P3200" s="295"/>
      <c r="R3200" s="348" t="str">
        <f t="shared" si="242"/>
        <v>DELETE</v>
      </c>
    </row>
    <row r="3201" spans="3:18" ht="36" customHeight="1" x14ac:dyDescent="0.45">
      <c r="C3201" s="397"/>
      <c r="D3201" s="434" t="s">
        <v>510</v>
      </c>
      <c r="E3201" s="434"/>
      <c r="F3201" s="434"/>
      <c r="G3201" s="434"/>
      <c r="H3201" s="434"/>
      <c r="I3201" s="434"/>
      <c r="J3201" s="449"/>
      <c r="K3201" s="292"/>
      <c r="L3201" s="292"/>
      <c r="M3201" s="400">
        <f>TrialBalanceC!I53</f>
        <v>0</v>
      </c>
      <c r="N3201" s="296"/>
      <c r="O3201" s="401">
        <f>TrialBalanceC!K53</f>
        <v>0</v>
      </c>
      <c r="P3201" s="295"/>
      <c r="R3201" s="348" t="str">
        <f t="shared" si="242"/>
        <v>DELETE</v>
      </c>
    </row>
    <row r="3202" spans="3:18" ht="36" customHeight="1" x14ac:dyDescent="0.45">
      <c r="C3202" s="397"/>
      <c r="D3202" s="434" t="s">
        <v>495</v>
      </c>
      <c r="E3202" s="434"/>
      <c r="F3202" s="434"/>
      <c r="G3202" s="434"/>
      <c r="H3202" s="434"/>
      <c r="I3202" s="434"/>
      <c r="J3202" s="449"/>
      <c r="K3202" s="292"/>
      <c r="L3202" s="292"/>
      <c r="M3202" s="400">
        <f>SUM(TrialBalanceC!I55:I59)</f>
        <v>0</v>
      </c>
      <c r="N3202" s="296"/>
      <c r="O3202" s="401">
        <f>SUM(TrialBalanceC!K55:K59)</f>
        <v>0</v>
      </c>
      <c r="P3202" s="295"/>
      <c r="R3202" s="348" t="str">
        <f t="shared" si="242"/>
        <v>DELETE</v>
      </c>
    </row>
    <row r="3203" spans="3:18" ht="36" customHeight="1" x14ac:dyDescent="0.45">
      <c r="C3203" s="397"/>
      <c r="D3203" s="434" t="s">
        <v>479</v>
      </c>
      <c r="E3203" s="434"/>
      <c r="F3203" s="434"/>
      <c r="G3203" s="434"/>
      <c r="H3203" s="434"/>
      <c r="I3203" s="434"/>
      <c r="J3203" s="449"/>
      <c r="K3203" s="292">
        <f>B$958</f>
        <v>5</v>
      </c>
      <c r="L3203" s="292"/>
      <c r="M3203" s="400">
        <f>SUM(TrialBalanceC!I61:I63)</f>
        <v>0</v>
      </c>
      <c r="N3203" s="296"/>
      <c r="O3203" s="401">
        <f>SUM(TrialBalanceC!K61:K63)</f>
        <v>0</v>
      </c>
      <c r="P3203" s="295"/>
      <c r="R3203" s="348" t="str">
        <f t="shared" si="242"/>
        <v>DELETE</v>
      </c>
    </row>
    <row r="3204" spans="3:18" ht="36" customHeight="1" x14ac:dyDescent="0.45">
      <c r="C3204" s="397"/>
      <c r="D3204" s="434" t="s">
        <v>57</v>
      </c>
      <c r="E3204" s="434"/>
      <c r="F3204" s="434"/>
      <c r="G3204" s="434"/>
      <c r="H3204" s="434"/>
      <c r="I3204" s="434"/>
      <c r="J3204" s="449"/>
      <c r="K3204" s="292"/>
      <c r="L3204" s="292"/>
      <c r="M3204" s="400">
        <f>TrialBalanceC!I64</f>
        <v>0</v>
      </c>
      <c r="N3204" s="296"/>
      <c r="O3204" s="401">
        <f>TrialBalanceC!K64</f>
        <v>0</v>
      </c>
      <c r="P3204" s="295"/>
      <c r="R3204" s="348" t="str">
        <f t="shared" si="242"/>
        <v>DELETE</v>
      </c>
    </row>
    <row r="3205" spans="3:18" ht="36" customHeight="1" x14ac:dyDescent="0.45">
      <c r="C3205" s="397"/>
      <c r="D3205" s="434" t="s">
        <v>1210</v>
      </c>
      <c r="E3205" s="434"/>
      <c r="F3205" s="434"/>
      <c r="G3205" s="434"/>
      <c r="H3205" s="434"/>
      <c r="I3205" s="434"/>
      <c r="J3205" s="449"/>
      <c r="K3205" s="292"/>
      <c r="L3205" s="292"/>
      <c r="M3205" s="400">
        <f>TrialBalanceC!I65</f>
        <v>0</v>
      </c>
      <c r="N3205" s="296"/>
      <c r="O3205" s="401">
        <f>TrialBalanceC!K65</f>
        <v>0</v>
      </c>
      <c r="P3205" s="295"/>
      <c r="R3205" s="348" t="str">
        <f t="shared" ref="R3205" si="243">IF(R$3143="DELETE","DELETE",IF(M3205+O3205=0,"DELETE"," "))</f>
        <v>DELETE</v>
      </c>
    </row>
    <row r="3206" spans="3:18" ht="36" customHeight="1" x14ac:dyDescent="0.45">
      <c r="C3206" s="397"/>
      <c r="D3206" s="434" t="s">
        <v>235</v>
      </c>
      <c r="E3206" s="434"/>
      <c r="F3206" s="434"/>
      <c r="G3206" s="434"/>
      <c r="H3206" s="434"/>
      <c r="I3206" s="434"/>
      <c r="J3206" s="449"/>
      <c r="K3206" s="292"/>
      <c r="L3206" s="292"/>
      <c r="M3206" s="400">
        <f>SUM(TrialBalanceC!I66:I68)</f>
        <v>0</v>
      </c>
      <c r="N3206" s="296"/>
      <c r="O3206" s="401">
        <f>SUM(TrialBalanceC!K66:K68)</f>
        <v>0</v>
      </c>
      <c r="P3206" s="295"/>
      <c r="R3206" s="348" t="str">
        <f t="shared" si="242"/>
        <v>DELETE</v>
      </c>
    </row>
    <row r="3207" spans="3:18" ht="36" customHeight="1" x14ac:dyDescent="0.45">
      <c r="C3207" s="397"/>
      <c r="D3207" s="434" t="s">
        <v>679</v>
      </c>
      <c r="E3207" s="434"/>
      <c r="F3207" s="434"/>
      <c r="G3207" s="434"/>
      <c r="H3207" s="434"/>
      <c r="I3207" s="434"/>
      <c r="J3207" s="449"/>
      <c r="K3207" s="292"/>
      <c r="L3207" s="292"/>
      <c r="M3207" s="400">
        <f>SUM(TrialBalanceC!I69:I70)</f>
        <v>0</v>
      </c>
      <c r="N3207" s="296"/>
      <c r="O3207" s="401">
        <f>SUM(TrialBalanceC!K69:K70)</f>
        <v>0</v>
      </c>
      <c r="P3207" s="295"/>
      <c r="R3207" s="348" t="str">
        <f t="shared" si="242"/>
        <v>DELETE</v>
      </c>
    </row>
    <row r="3208" spans="3:18" ht="36" customHeight="1" x14ac:dyDescent="0.45">
      <c r="C3208" s="397"/>
      <c r="D3208" s="434" t="s">
        <v>236</v>
      </c>
      <c r="E3208" s="434"/>
      <c r="F3208" s="434"/>
      <c r="G3208" s="434"/>
      <c r="H3208" s="434"/>
      <c r="I3208" s="434"/>
      <c r="J3208" s="449"/>
      <c r="K3208" s="292"/>
      <c r="L3208" s="292"/>
      <c r="M3208" s="400">
        <f>TrialBalanceC!I71</f>
        <v>0</v>
      </c>
      <c r="N3208" s="296"/>
      <c r="O3208" s="401">
        <f>TrialBalanceC!K71</f>
        <v>0</v>
      </c>
      <c r="P3208" s="295"/>
      <c r="R3208" s="348" t="str">
        <f t="shared" si="242"/>
        <v>DELETE</v>
      </c>
    </row>
    <row r="3209" spans="3:18" ht="36" customHeight="1" x14ac:dyDescent="0.45">
      <c r="C3209" s="397"/>
      <c r="D3209" s="434" t="s">
        <v>361</v>
      </c>
      <c r="E3209" s="434"/>
      <c r="F3209" s="434"/>
      <c r="G3209" s="434"/>
      <c r="H3209" s="434"/>
      <c r="I3209" s="434"/>
      <c r="J3209" s="449"/>
      <c r="K3209" s="292"/>
      <c r="L3209" s="292"/>
      <c r="M3209" s="400">
        <f>TrialBalanceC!I72</f>
        <v>0</v>
      </c>
      <c r="N3209" s="296"/>
      <c r="O3209" s="401">
        <f>TrialBalanceC!K72</f>
        <v>0</v>
      </c>
      <c r="P3209" s="295"/>
      <c r="R3209" s="348" t="str">
        <f t="shared" si="242"/>
        <v>DELETE</v>
      </c>
    </row>
    <row r="3210" spans="3:18" ht="36" customHeight="1" x14ac:dyDescent="0.45">
      <c r="C3210" s="397"/>
      <c r="D3210" s="434">
        <f>TrialBalanceC!C73</f>
        <v>0</v>
      </c>
      <c r="E3210" s="434"/>
      <c r="F3210" s="434"/>
      <c r="G3210" s="434"/>
      <c r="H3210" s="434"/>
      <c r="I3210" s="434"/>
      <c r="J3210" s="449"/>
      <c r="K3210" s="292"/>
      <c r="L3210" s="292"/>
      <c r="M3210" s="400">
        <f>TrialBalanceC!I73</f>
        <v>0</v>
      </c>
      <c r="N3210" s="296"/>
      <c r="O3210" s="401">
        <f>TrialBalanceC!K73</f>
        <v>0</v>
      </c>
      <c r="P3210" s="295"/>
      <c r="R3210" s="348" t="str">
        <f t="shared" si="242"/>
        <v>DELETE</v>
      </c>
    </row>
    <row r="3211" spans="3:18" ht="36" customHeight="1" x14ac:dyDescent="0.45">
      <c r="C3211" s="397"/>
      <c r="D3211" s="434">
        <f>TrialBalanceC!C74</f>
        <v>0</v>
      </c>
      <c r="E3211" s="434"/>
      <c r="F3211" s="434"/>
      <c r="G3211" s="434"/>
      <c r="H3211" s="434"/>
      <c r="I3211" s="434"/>
      <c r="J3211" s="449"/>
      <c r="K3211" s="292"/>
      <c r="L3211" s="292"/>
      <c r="M3211" s="400">
        <f>TrialBalanceC!I74</f>
        <v>0</v>
      </c>
      <c r="N3211" s="296"/>
      <c r="O3211" s="401">
        <f>TrialBalanceC!K74</f>
        <v>0</v>
      </c>
      <c r="P3211" s="295"/>
      <c r="R3211" s="348" t="str">
        <f t="shared" si="242"/>
        <v>DELETE</v>
      </c>
    </row>
    <row r="3212" spans="3:18" ht="36" customHeight="1" x14ac:dyDescent="0.45">
      <c r="C3212" s="397"/>
      <c r="D3212" s="434">
        <f>TrialBalanceC!C75</f>
        <v>0</v>
      </c>
      <c r="E3212" s="434"/>
      <c r="F3212" s="434"/>
      <c r="G3212" s="434"/>
      <c r="H3212" s="434"/>
      <c r="I3212" s="434"/>
      <c r="J3212" s="449"/>
      <c r="K3212" s="292"/>
      <c r="L3212" s="292"/>
      <c r="M3212" s="400">
        <f>TrialBalanceC!I75</f>
        <v>0</v>
      </c>
      <c r="N3212" s="296"/>
      <c r="O3212" s="401">
        <f>TrialBalanceC!K75</f>
        <v>0</v>
      </c>
      <c r="P3212" s="295"/>
      <c r="R3212" s="348" t="str">
        <f t="shared" si="242"/>
        <v>DELETE</v>
      </c>
    </row>
    <row r="3213" spans="3:18" ht="36" customHeight="1" x14ac:dyDescent="0.45">
      <c r="C3213" s="397"/>
      <c r="D3213" s="434">
        <f>TrialBalanceC!C76</f>
        <v>0</v>
      </c>
      <c r="E3213" s="434"/>
      <c r="F3213" s="434"/>
      <c r="G3213" s="434"/>
      <c r="H3213" s="434"/>
      <c r="I3213" s="434"/>
      <c r="J3213" s="449"/>
      <c r="K3213" s="292"/>
      <c r="L3213" s="292"/>
      <c r="M3213" s="400">
        <f>TrialBalanceC!I76</f>
        <v>0</v>
      </c>
      <c r="N3213" s="296"/>
      <c r="O3213" s="401">
        <f>TrialBalanceC!K76</f>
        <v>0</v>
      </c>
      <c r="P3213" s="295"/>
      <c r="R3213" s="348" t="str">
        <f t="shared" si="242"/>
        <v>DELETE</v>
      </c>
    </row>
    <row r="3214" spans="3:18" ht="36" customHeight="1" x14ac:dyDescent="0.45">
      <c r="C3214" s="397"/>
      <c r="D3214" s="434">
        <f>TrialBalanceC!C77</f>
        <v>0</v>
      </c>
      <c r="E3214" s="434"/>
      <c r="F3214" s="434"/>
      <c r="G3214" s="434"/>
      <c r="H3214" s="434"/>
      <c r="I3214" s="434"/>
      <c r="J3214" s="449"/>
      <c r="K3214" s="292"/>
      <c r="L3214" s="292"/>
      <c r="M3214" s="400">
        <f>TrialBalanceC!I77</f>
        <v>0</v>
      </c>
      <c r="N3214" s="296"/>
      <c r="O3214" s="401">
        <f>TrialBalanceC!K77</f>
        <v>0</v>
      </c>
      <c r="P3214" s="295"/>
      <c r="R3214" s="348" t="str">
        <f t="shared" si="242"/>
        <v>DELETE</v>
      </c>
    </row>
    <row r="3215" spans="3:18" ht="36" customHeight="1" x14ac:dyDescent="0.45">
      <c r="C3215" s="397"/>
      <c r="D3215" s="434">
        <f>TrialBalanceC!C78</f>
        <v>0</v>
      </c>
      <c r="E3215" s="434"/>
      <c r="F3215" s="434"/>
      <c r="G3215" s="434"/>
      <c r="H3215" s="434"/>
      <c r="I3215" s="434"/>
      <c r="J3215" s="449"/>
      <c r="K3215" s="292"/>
      <c r="L3215" s="292"/>
      <c r="M3215" s="400">
        <f>TrialBalanceC!I78</f>
        <v>0</v>
      </c>
      <c r="N3215" s="296"/>
      <c r="O3215" s="401">
        <f>TrialBalanceC!K78</f>
        <v>0</v>
      </c>
      <c r="P3215" s="295"/>
      <c r="R3215" s="348" t="str">
        <f t="shared" si="242"/>
        <v>DELETE</v>
      </c>
    </row>
    <row r="3216" spans="3:18" ht="36" customHeight="1" x14ac:dyDescent="0.45">
      <c r="C3216" s="397"/>
      <c r="D3216" s="434">
        <f>TrialBalanceC!C79</f>
        <v>0</v>
      </c>
      <c r="E3216" s="434"/>
      <c r="F3216" s="434"/>
      <c r="G3216" s="434"/>
      <c r="H3216" s="434"/>
      <c r="I3216" s="434"/>
      <c r="J3216" s="449"/>
      <c r="K3216" s="292"/>
      <c r="L3216" s="292"/>
      <c r="M3216" s="400">
        <f>TrialBalanceC!I79</f>
        <v>0</v>
      </c>
      <c r="N3216" s="296"/>
      <c r="O3216" s="401">
        <f>TrialBalanceC!K79</f>
        <v>0</v>
      </c>
      <c r="P3216" s="295"/>
      <c r="R3216" s="348" t="str">
        <f t="shared" si="242"/>
        <v>DELETE</v>
      </c>
    </row>
    <row r="3217" spans="3:26" ht="36" customHeight="1" x14ac:dyDescent="0.45">
      <c r="C3217" s="397"/>
      <c r="D3217" s="434">
        <f>TrialBalanceC!C80</f>
        <v>0</v>
      </c>
      <c r="E3217" s="434"/>
      <c r="F3217" s="434"/>
      <c r="G3217" s="434"/>
      <c r="H3217" s="434"/>
      <c r="I3217" s="434"/>
      <c r="J3217" s="449"/>
      <c r="K3217" s="292"/>
      <c r="L3217" s="292"/>
      <c r="M3217" s="400">
        <f>TrialBalanceC!I80</f>
        <v>0</v>
      </c>
      <c r="N3217" s="296"/>
      <c r="O3217" s="401">
        <f>TrialBalanceC!K80</f>
        <v>0</v>
      </c>
      <c r="P3217" s="295"/>
      <c r="R3217" s="348" t="str">
        <f t="shared" si="242"/>
        <v>DELETE</v>
      </c>
    </row>
    <row r="3218" spans="3:26" ht="36" customHeight="1" x14ac:dyDescent="0.45">
      <c r="C3218" s="397"/>
      <c r="D3218" s="434">
        <f>TrialBalanceC!C81</f>
        <v>0</v>
      </c>
      <c r="E3218" s="434"/>
      <c r="F3218" s="434"/>
      <c r="G3218" s="434"/>
      <c r="H3218" s="434"/>
      <c r="I3218" s="434"/>
      <c r="J3218" s="449"/>
      <c r="K3218" s="292"/>
      <c r="L3218" s="292"/>
      <c r="M3218" s="400">
        <f>TrialBalanceC!I81</f>
        <v>0</v>
      </c>
      <c r="N3218" s="296"/>
      <c r="O3218" s="401">
        <f>TrialBalanceC!K81</f>
        <v>0</v>
      </c>
      <c r="P3218" s="295"/>
      <c r="R3218" s="348" t="str">
        <f t="shared" si="242"/>
        <v>DELETE</v>
      </c>
    </row>
    <row r="3219" spans="3:26" ht="36" customHeight="1" x14ac:dyDescent="0.45">
      <c r="C3219" s="397"/>
      <c r="D3219" s="434">
        <f>TrialBalanceC!C82</f>
        <v>0</v>
      </c>
      <c r="E3219" s="434"/>
      <c r="F3219" s="434"/>
      <c r="G3219" s="434"/>
      <c r="H3219" s="434"/>
      <c r="I3219" s="434"/>
      <c r="J3219" s="449"/>
      <c r="K3219" s="292"/>
      <c r="L3219" s="292"/>
      <c r="M3219" s="400">
        <f>TrialBalanceC!I82</f>
        <v>0</v>
      </c>
      <c r="N3219" s="296"/>
      <c r="O3219" s="401">
        <f>TrialBalanceC!K82</f>
        <v>0</v>
      </c>
      <c r="P3219" s="295"/>
      <c r="R3219" s="348" t="str">
        <f t="shared" si="242"/>
        <v>DELETE</v>
      </c>
    </row>
    <row r="3220" spans="3:26" ht="9" customHeight="1" x14ac:dyDescent="0.45">
      <c r="C3220" s="397"/>
      <c r="D3220" s="434"/>
      <c r="E3220" s="434"/>
      <c r="F3220" s="434"/>
      <c r="G3220" s="434"/>
      <c r="H3220" s="434"/>
      <c r="I3220" s="434"/>
      <c r="J3220" s="449"/>
      <c r="K3220" s="292"/>
      <c r="L3220" s="292"/>
      <c r="M3220" s="402"/>
      <c r="N3220" s="298"/>
      <c r="O3220" s="403"/>
      <c r="P3220" s="295"/>
      <c r="R3220" s="348" t="str">
        <f>R3189</f>
        <v>DELETE</v>
      </c>
    </row>
    <row r="3221" spans="3:26" ht="9" customHeight="1" x14ac:dyDescent="0.45">
      <c r="C3221" s="397"/>
      <c r="D3221" s="434"/>
      <c r="E3221" s="434"/>
      <c r="F3221" s="434"/>
      <c r="G3221" s="434"/>
      <c r="H3221" s="434"/>
      <c r="I3221" s="434"/>
      <c r="J3221" s="449"/>
      <c r="K3221" s="292"/>
      <c r="L3221" s="292"/>
      <c r="M3221" s="298"/>
      <c r="N3221" s="298"/>
      <c r="O3221" s="298"/>
      <c r="P3221" s="295"/>
      <c r="R3221" s="348" t="str">
        <f t="shared" ref="R3221:R3241" si="244">R$3143</f>
        <v>DELETE</v>
      </c>
    </row>
    <row r="3222" spans="3:26" ht="9" customHeight="1" x14ac:dyDescent="0.45">
      <c r="C3222" s="397"/>
      <c r="D3222" s="434"/>
      <c r="E3222" s="434"/>
      <c r="F3222" s="434"/>
      <c r="G3222" s="434"/>
      <c r="H3222" s="434"/>
      <c r="I3222" s="434"/>
      <c r="J3222" s="449"/>
      <c r="K3222" s="292"/>
      <c r="L3222" s="292"/>
      <c r="M3222" s="296"/>
      <c r="N3222" s="296"/>
      <c r="O3222" s="296"/>
      <c r="P3222" s="295"/>
      <c r="R3222" s="348" t="str">
        <f t="shared" si="244"/>
        <v>DELETE</v>
      </c>
    </row>
    <row r="3223" spans="3:26" ht="36" customHeight="1" x14ac:dyDescent="0.45">
      <c r="D3223" s="446" t="str">
        <f>IF((Y3223+Z3223)=3,"Operating profit/(loss)",(IF((Y3223+Z3223=4),"Operating profit","Operating loss")))</f>
        <v>Operating profit</v>
      </c>
      <c r="E3223" s="434"/>
      <c r="F3223" s="434"/>
      <c r="G3223" s="434"/>
      <c r="H3223" s="434"/>
      <c r="I3223" s="434"/>
      <c r="J3223" s="449"/>
      <c r="K3223" s="292"/>
      <c r="L3223" s="292"/>
      <c r="M3223" s="296">
        <f>SUM(S3155:S3221)</f>
        <v>0</v>
      </c>
      <c r="N3223" s="296"/>
      <c r="O3223" s="296">
        <f>SUM(U3155:U3221)</f>
        <v>0</v>
      </c>
      <c r="P3223" s="295"/>
      <c r="R3223" s="348" t="str">
        <f t="shared" si="244"/>
        <v>DELETE</v>
      </c>
      <c r="Y3223" s="331">
        <f>IF(M3223&lt;0,1,IF(M3223=0,IF(O3223&lt;0,1,2),2))</f>
        <v>2</v>
      </c>
      <c r="Z3223" s="331">
        <f>IF(O3223&lt;0,1,IF(O3223=0,IF(M3223&lt;0,1,2),2))</f>
        <v>2</v>
      </c>
    </row>
    <row r="3224" spans="3:26" ht="36" customHeight="1" x14ac:dyDescent="0.45">
      <c r="C3224" s="397"/>
      <c r="D3224" s="434"/>
      <c r="E3224" s="434" t="s">
        <v>238</v>
      </c>
      <c r="F3224" s="434"/>
      <c r="G3224" s="434"/>
      <c r="H3224" s="434"/>
      <c r="I3224" s="434"/>
      <c r="J3224" s="449"/>
      <c r="K3224" s="292"/>
      <c r="L3224" s="292"/>
      <c r="M3224" s="296"/>
      <c r="N3224" s="296"/>
      <c r="O3224" s="296"/>
      <c r="P3224" s="295"/>
      <c r="R3224" s="348" t="str">
        <f t="shared" si="244"/>
        <v>DELETE</v>
      </c>
    </row>
    <row r="3225" spans="3:26" ht="36" customHeight="1" x14ac:dyDescent="0.45">
      <c r="C3225" s="397"/>
      <c r="D3225" s="434"/>
      <c r="E3225" s="434"/>
      <c r="F3225" s="434"/>
      <c r="G3225" s="434"/>
      <c r="H3225" s="434"/>
      <c r="I3225" s="434"/>
      <c r="J3225" s="449"/>
      <c r="K3225" s="292"/>
      <c r="L3225" s="292"/>
      <c r="M3225" s="296"/>
      <c r="N3225" s="296"/>
      <c r="O3225" s="296"/>
      <c r="P3225" s="295"/>
      <c r="R3225" s="348" t="str">
        <f t="shared" si="244"/>
        <v>DELETE</v>
      </c>
    </row>
    <row r="3226" spans="3:26" ht="36" customHeight="1" x14ac:dyDescent="0.45">
      <c r="C3226" s="397"/>
      <c r="D3226" s="434"/>
      <c r="E3226" s="434"/>
      <c r="F3226" s="434"/>
      <c r="G3226" s="434"/>
      <c r="H3226" s="434"/>
      <c r="I3226" s="434"/>
      <c r="J3226" s="449"/>
      <c r="K3226" s="292"/>
      <c r="L3226" s="292"/>
      <c r="M3226" s="296"/>
      <c r="N3226" s="296"/>
      <c r="O3226" s="296"/>
      <c r="P3226" s="295"/>
      <c r="R3226" s="348" t="str">
        <f t="shared" si="244"/>
        <v>DELETE</v>
      </c>
    </row>
    <row r="3227" spans="3:26" ht="36" customHeight="1" x14ac:dyDescent="0.45">
      <c r="C3227" s="397"/>
      <c r="D3227" s="434"/>
      <c r="E3227" s="434"/>
      <c r="F3227" s="434"/>
      <c r="G3227" s="434"/>
      <c r="H3227" s="434"/>
      <c r="I3227" s="434"/>
      <c r="J3227" s="449"/>
      <c r="K3227" s="292"/>
      <c r="L3227" s="292"/>
      <c r="M3227" s="310"/>
      <c r="N3227" s="310"/>
      <c r="O3227" s="310"/>
      <c r="P3227" s="330"/>
      <c r="R3227" s="348" t="str">
        <f t="shared" si="244"/>
        <v>DELETE</v>
      </c>
    </row>
    <row r="3228" spans="3:26" ht="36" customHeight="1" x14ac:dyDescent="0.45">
      <c r="C3228" s="397"/>
      <c r="D3228" s="434"/>
      <c r="E3228" s="434"/>
      <c r="F3228" s="434"/>
      <c r="G3228" s="434"/>
      <c r="H3228" s="434"/>
      <c r="I3228" s="434"/>
      <c r="J3228" s="449"/>
      <c r="K3228" s="292"/>
      <c r="L3228" s="292"/>
      <c r="M3228" s="296"/>
      <c r="N3228" s="296"/>
      <c r="O3228" s="296"/>
      <c r="P3228" s="295"/>
      <c r="R3228" s="348" t="str">
        <f t="shared" si="244"/>
        <v>DELETE</v>
      </c>
    </row>
    <row r="3229" spans="3:26" ht="36" customHeight="1" x14ac:dyDescent="0.45">
      <c r="C3229" s="397"/>
      <c r="D3229" s="434"/>
      <c r="E3229" s="434"/>
      <c r="F3229" s="434"/>
      <c r="G3229" s="434"/>
      <c r="H3229" s="434"/>
      <c r="I3229" s="434"/>
      <c r="J3229" s="449"/>
      <c r="K3229" s="292"/>
      <c r="L3229" s="292"/>
      <c r="M3229" s="296"/>
      <c r="N3229" s="296"/>
      <c r="O3229" s="296" t="s">
        <v>89</v>
      </c>
      <c r="P3229" s="295"/>
      <c r="Q3229" s="292">
        <f>MAX($Q$3143:Q3228)+1</f>
        <v>2</v>
      </c>
      <c r="R3229" s="348" t="str">
        <f t="shared" si="244"/>
        <v>DELETE</v>
      </c>
    </row>
    <row r="3230" spans="3:26" ht="36" customHeight="1" x14ac:dyDescent="0.45">
      <c r="C3230" s="397"/>
      <c r="D3230" s="433">
        <f>Criteria!E16</f>
        <v>0</v>
      </c>
      <c r="E3230" s="434"/>
      <c r="F3230" s="434"/>
      <c r="G3230" s="434"/>
      <c r="H3230" s="434"/>
      <c r="I3230" s="434"/>
      <c r="J3230" s="449"/>
      <c r="K3230" s="292"/>
      <c r="L3230" s="292"/>
      <c r="M3230" s="296"/>
      <c r="N3230" s="296"/>
      <c r="O3230" s="347"/>
      <c r="R3230" s="348" t="str">
        <f t="shared" si="244"/>
        <v>DELETE</v>
      </c>
    </row>
    <row r="3231" spans="3:26" ht="36" customHeight="1" x14ac:dyDescent="0.45">
      <c r="C3231" s="397"/>
      <c r="D3231" s="438"/>
      <c r="E3231" s="434"/>
      <c r="F3231" s="434"/>
      <c r="G3231" s="434"/>
      <c r="H3231" s="434"/>
      <c r="I3231" s="434"/>
      <c r="J3231" s="449"/>
      <c r="K3231" s="292"/>
      <c r="L3231" s="292"/>
      <c r="M3231" s="296"/>
      <c r="N3231" s="296"/>
      <c r="O3231" s="296"/>
      <c r="P3231" s="295"/>
      <c r="R3231" s="348" t="str">
        <f t="shared" si="244"/>
        <v>DELETE</v>
      </c>
    </row>
    <row r="3232" spans="3:26" ht="36" customHeight="1" x14ac:dyDescent="0.45">
      <c r="C3232" s="397"/>
      <c r="D3232" s="434"/>
      <c r="E3232" s="434"/>
      <c r="F3232" s="434"/>
      <c r="G3232" s="434"/>
      <c r="H3232" s="434"/>
      <c r="I3232" s="434"/>
      <c r="J3232" s="449"/>
      <c r="K3232" s="292"/>
      <c r="L3232" s="292"/>
      <c r="M3232" s="296"/>
      <c r="N3232" s="296"/>
      <c r="O3232" s="296"/>
      <c r="P3232" s="295"/>
      <c r="R3232" s="348" t="str">
        <f t="shared" si="244"/>
        <v>DELETE</v>
      </c>
    </row>
    <row r="3233" spans="3:26" ht="36" customHeight="1" x14ac:dyDescent="0.45">
      <c r="C3233" s="397"/>
      <c r="D3233" s="433" t="s">
        <v>86</v>
      </c>
      <c r="E3233" s="434"/>
      <c r="F3233" s="434"/>
      <c r="G3233" s="434"/>
      <c r="H3233" s="434"/>
      <c r="I3233" s="434"/>
      <c r="J3233" s="449"/>
      <c r="K3233" s="292"/>
      <c r="L3233" s="292"/>
      <c r="M3233" s="296"/>
      <c r="N3233" s="296"/>
      <c r="O3233" s="296"/>
      <c r="P3233" s="295"/>
      <c r="R3233" s="348" t="str">
        <f t="shared" si="244"/>
        <v>DELETE</v>
      </c>
    </row>
    <row r="3234" spans="3:26" ht="36" customHeight="1" x14ac:dyDescent="0.45">
      <c r="C3234" s="397"/>
      <c r="D3234" s="433" t="str">
        <f>D3150</f>
        <v>28 FEBRUARY 2025</v>
      </c>
      <c r="E3234" s="434"/>
      <c r="F3234" s="434"/>
      <c r="G3234" s="434"/>
      <c r="H3234" s="434"/>
      <c r="I3234" s="434"/>
      <c r="J3234" s="434" t="s">
        <v>95</v>
      </c>
      <c r="K3234" s="292"/>
      <c r="L3234" s="292"/>
      <c r="M3234" s="296"/>
      <c r="N3234" s="296"/>
      <c r="O3234" s="296"/>
      <c r="P3234" s="295"/>
      <c r="R3234" s="348" t="str">
        <f t="shared" si="244"/>
        <v>DELETE</v>
      </c>
    </row>
    <row r="3235" spans="3:26" ht="36" customHeight="1" x14ac:dyDescent="0.45">
      <c r="C3235" s="397"/>
      <c r="D3235" s="434"/>
      <c r="E3235" s="434"/>
      <c r="F3235" s="434"/>
      <c r="G3235" s="434"/>
      <c r="H3235" s="434"/>
      <c r="I3235" s="434"/>
      <c r="J3235" s="449"/>
      <c r="K3235" s="304"/>
      <c r="L3235" s="304"/>
      <c r="M3235" s="298"/>
      <c r="N3235" s="298"/>
      <c r="O3235" s="298"/>
      <c r="P3235" s="295"/>
      <c r="R3235" s="348" t="str">
        <f t="shared" si="244"/>
        <v>DELETE</v>
      </c>
    </row>
    <row r="3236" spans="3:26" ht="36" customHeight="1" x14ac:dyDescent="0.45">
      <c r="C3236" s="397"/>
      <c r="D3236" s="444"/>
      <c r="E3236" s="444"/>
      <c r="F3236" s="444"/>
      <c r="G3236" s="444"/>
      <c r="H3236" s="444"/>
      <c r="I3236" s="444"/>
      <c r="J3236" s="453"/>
      <c r="M3236" s="351"/>
      <c r="N3236" s="351"/>
      <c r="O3236" s="351"/>
      <c r="P3236" s="313"/>
      <c r="Q3236" s="364"/>
      <c r="R3236" s="348" t="str">
        <f t="shared" si="244"/>
        <v>DELETE</v>
      </c>
    </row>
    <row r="3237" spans="3:26" ht="36" customHeight="1" x14ac:dyDescent="0.45">
      <c r="C3237" s="397"/>
      <c r="D3237" s="434"/>
      <c r="E3237" s="434"/>
      <c r="F3237" s="434"/>
      <c r="G3237" s="434"/>
      <c r="H3237" s="434"/>
      <c r="I3237" s="434"/>
      <c r="J3237" s="449"/>
      <c r="K3237" s="292" t="s">
        <v>1041</v>
      </c>
      <c r="L3237" s="292"/>
      <c r="M3237" s="294">
        <f>Criteria!E22</f>
        <v>2025</v>
      </c>
      <c r="N3237" s="294"/>
      <c r="O3237" s="294">
        <f>Criteria!E27</f>
        <v>2024</v>
      </c>
      <c r="P3237" s="295"/>
      <c r="R3237" s="348" t="str">
        <f t="shared" si="244"/>
        <v>DELETE</v>
      </c>
    </row>
    <row r="3238" spans="3:26" ht="36" customHeight="1" x14ac:dyDescent="0.45">
      <c r="C3238" s="397"/>
      <c r="D3238" s="434"/>
      <c r="E3238" s="434"/>
      <c r="F3238" s="434"/>
      <c r="G3238" s="434"/>
      <c r="H3238" s="434"/>
      <c r="I3238" s="434"/>
      <c r="J3238" s="449"/>
      <c r="K3238" s="292"/>
      <c r="L3238" s="292"/>
      <c r="M3238" s="296"/>
      <c r="N3238" s="296"/>
      <c r="O3238" s="296"/>
      <c r="P3238" s="295"/>
      <c r="R3238" s="348" t="str">
        <f t="shared" si="244"/>
        <v>DELETE</v>
      </c>
    </row>
    <row r="3239" spans="3:26" ht="36" customHeight="1" x14ac:dyDescent="0.45">
      <c r="D3239" s="446" t="str">
        <f>IF((Y3239+Z3239)=3,"Operating profit/(loss)",(IF((Y3239+Z3239=4),"Operating profit","Operating loss")))</f>
        <v>Operating profit</v>
      </c>
      <c r="E3239" s="434"/>
      <c r="F3239" s="434"/>
      <c r="G3239" s="434"/>
      <c r="H3239" s="434"/>
      <c r="I3239" s="434"/>
      <c r="J3239" s="449"/>
      <c r="K3239" s="292"/>
      <c r="L3239" s="292"/>
      <c r="M3239" s="296">
        <f>SUM(S3155:S3220)</f>
        <v>0</v>
      </c>
      <c r="N3239" s="296"/>
      <c r="O3239" s="296">
        <f>SUM(U3155:U3220)</f>
        <v>0</v>
      </c>
      <c r="P3239" s="295"/>
      <c r="R3239" s="348" t="str">
        <f t="shared" si="244"/>
        <v>DELETE</v>
      </c>
      <c r="V3239" s="331" t="b">
        <f>M3239=M3223</f>
        <v>1</v>
      </c>
      <c r="X3239" s="331" t="b">
        <f>O3239=O3223</f>
        <v>1</v>
      </c>
      <c r="Y3239" s="331">
        <f>IF(M3239&lt;0,1,IF(M3239=0,IF(O3239&lt;0,1,2),2))</f>
        <v>2</v>
      </c>
      <c r="Z3239" s="331">
        <f>IF(O3239&lt;0,1,IF(O3239=0,IF(M3239&lt;0,1,2),2))</f>
        <v>2</v>
      </c>
    </row>
    <row r="3240" spans="3:26" ht="36" customHeight="1" x14ac:dyDescent="0.45">
      <c r="C3240" s="397"/>
      <c r="D3240" s="434"/>
      <c r="E3240" s="434" t="s">
        <v>239</v>
      </c>
      <c r="F3240" s="434"/>
      <c r="G3240" s="434"/>
      <c r="H3240" s="434"/>
      <c r="I3240" s="434"/>
      <c r="J3240" s="449"/>
      <c r="K3240" s="292"/>
      <c r="L3240" s="292"/>
      <c r="M3240" s="296"/>
      <c r="N3240" s="296"/>
      <c r="O3240" s="296"/>
      <c r="P3240" s="295"/>
      <c r="R3240" s="348" t="str">
        <f t="shared" si="244"/>
        <v>DELETE</v>
      </c>
    </row>
    <row r="3241" spans="3:26" ht="36" customHeight="1" x14ac:dyDescent="0.45">
      <c r="C3241" s="397"/>
      <c r="D3241" s="434"/>
      <c r="E3241" s="434"/>
      <c r="F3241" s="434"/>
      <c r="G3241" s="434"/>
      <c r="H3241" s="434"/>
      <c r="I3241" s="434"/>
      <c r="J3241" s="449"/>
      <c r="K3241" s="292"/>
      <c r="L3241" s="292"/>
      <c r="M3241" s="296"/>
      <c r="N3241" s="296"/>
      <c r="O3241" s="296"/>
      <c r="P3241" s="295"/>
      <c r="R3241" s="348" t="str">
        <f t="shared" si="244"/>
        <v>DELETE</v>
      </c>
    </row>
    <row r="3242" spans="3:26" ht="36" customHeight="1" x14ac:dyDescent="0.45">
      <c r="D3242" s="433" t="s">
        <v>1076</v>
      </c>
      <c r="E3242" s="434"/>
      <c r="F3242" s="434"/>
      <c r="G3242" s="434"/>
      <c r="H3242" s="434"/>
      <c r="I3242" s="434"/>
      <c r="J3242" s="449"/>
      <c r="K3242" s="292"/>
      <c r="L3242" s="292"/>
      <c r="M3242" s="296">
        <f>SUM(M3245:M3278)</f>
        <v>0</v>
      </c>
      <c r="N3242" s="296"/>
      <c r="O3242" s="296">
        <f>SUM(O3245:O3278)</f>
        <v>0</v>
      </c>
      <c r="P3242" s="295"/>
      <c r="R3242" s="348" t="str">
        <f t="shared" ref="R3242" si="245">IF(R$3143="DELETE","DELETE",IF(M3242+O3242=0,"DELETE"," "))</f>
        <v>DELETE</v>
      </c>
      <c r="S3242" s="333">
        <f>-M3242</f>
        <v>0</v>
      </c>
      <c r="T3242" s="333"/>
      <c r="U3242" s="333">
        <f>-O3242</f>
        <v>0</v>
      </c>
      <c r="V3242" s="333"/>
      <c r="W3242" s="333"/>
      <c r="X3242" s="333"/>
    </row>
    <row r="3243" spans="3:26" ht="9" customHeight="1" x14ac:dyDescent="0.45">
      <c r="C3243" s="397"/>
      <c r="D3243" s="434"/>
      <c r="E3243" s="434"/>
      <c r="F3243" s="434"/>
      <c r="G3243" s="434"/>
      <c r="H3243" s="434"/>
      <c r="I3243" s="434"/>
      <c r="J3243" s="449"/>
      <c r="K3243" s="292"/>
      <c r="L3243" s="292"/>
      <c r="M3243" s="296"/>
      <c r="N3243" s="296"/>
      <c r="O3243" s="296"/>
      <c r="P3243" s="295"/>
      <c r="R3243" s="348" t="str">
        <f>R3242</f>
        <v>DELETE</v>
      </c>
    </row>
    <row r="3244" spans="3:26" ht="9" customHeight="1" x14ac:dyDescent="0.45">
      <c r="C3244" s="397"/>
      <c r="D3244" s="434"/>
      <c r="E3244" s="434"/>
      <c r="F3244" s="434"/>
      <c r="G3244" s="434"/>
      <c r="H3244" s="434"/>
      <c r="I3244" s="434"/>
      <c r="J3244" s="449"/>
      <c r="K3244" s="292"/>
      <c r="L3244" s="292"/>
      <c r="M3244" s="398"/>
      <c r="N3244" s="297"/>
      <c r="O3244" s="399"/>
      <c r="P3244" s="295"/>
      <c r="R3244" s="348" t="str">
        <f>R3243</f>
        <v>DELETE</v>
      </c>
    </row>
    <row r="3245" spans="3:26" ht="36" customHeight="1" x14ac:dyDescent="0.45">
      <c r="C3245" s="397"/>
      <c r="D3245" s="434" t="s">
        <v>199</v>
      </c>
      <c r="E3245" s="434"/>
      <c r="F3245" s="434"/>
      <c r="G3245" s="434"/>
      <c r="H3245" s="434"/>
      <c r="I3245" s="434"/>
      <c r="J3245" s="449"/>
      <c r="K3245" s="292"/>
      <c r="L3245" s="292"/>
      <c r="M3245" s="400">
        <f>SUM(TrialBalanceC!I99:I102)</f>
        <v>0</v>
      </c>
      <c r="N3245" s="296"/>
      <c r="O3245" s="401">
        <f>SUM(TrialBalanceC!K99:K102)</f>
        <v>0</v>
      </c>
      <c r="P3245" s="295"/>
      <c r="R3245" s="348" t="str">
        <f t="shared" ref="R3245:R3276" si="246">IF(R$3143="DELETE","DELETE",IF(M3245+O3245=0,"DELETE"," "))</f>
        <v>DELETE</v>
      </c>
    </row>
    <row r="3246" spans="3:26" ht="36" customHeight="1" x14ac:dyDescent="0.45">
      <c r="C3246" s="397"/>
      <c r="D3246" s="434" t="s">
        <v>203</v>
      </c>
      <c r="E3246" s="434"/>
      <c r="F3246" s="434"/>
      <c r="G3246" s="434"/>
      <c r="H3246" s="434"/>
      <c r="I3246" s="434"/>
      <c r="J3246" s="449"/>
      <c r="K3246" s="292"/>
      <c r="L3246" s="292"/>
      <c r="M3246" s="400">
        <f>TrialBalanceC!I104</f>
        <v>0</v>
      </c>
      <c r="N3246" s="296"/>
      <c r="O3246" s="401">
        <f>TrialBalanceC!K104</f>
        <v>0</v>
      </c>
      <c r="P3246" s="295"/>
      <c r="R3246" s="348" t="str">
        <f>IF(R$3143="DELETE","DELETE",IF(M3246+O3246=0,"DELETE"," "))</f>
        <v>DELETE</v>
      </c>
    </row>
    <row r="3247" spans="3:26" ht="36" customHeight="1" x14ac:dyDescent="0.45">
      <c r="C3247" s="397"/>
      <c r="D3247" s="434" t="s">
        <v>201</v>
      </c>
      <c r="E3247" s="434"/>
      <c r="F3247" s="434"/>
      <c r="G3247" s="434"/>
      <c r="H3247" s="434"/>
      <c r="I3247" s="434"/>
      <c r="J3247" s="449"/>
      <c r="K3247" s="292"/>
      <c r="L3247" s="292"/>
      <c r="M3247" s="400">
        <f>TrialBalanceC!I103</f>
        <v>0</v>
      </c>
      <c r="N3247" s="296"/>
      <c r="O3247" s="401">
        <f>TrialBalanceC!K103</f>
        <v>0</v>
      </c>
      <c r="P3247" s="295"/>
      <c r="R3247" s="348" t="str">
        <f>IF(R$3143="DELETE","DELETE",IF(M3247+O3247=0,"DELETE"," "))</f>
        <v>DELETE</v>
      </c>
    </row>
    <row r="3248" spans="3:26" ht="36" customHeight="1" x14ac:dyDescent="0.45">
      <c r="C3248" s="397"/>
      <c r="D3248" s="434" t="s">
        <v>240</v>
      </c>
      <c r="E3248" s="434"/>
      <c r="F3248" s="434"/>
      <c r="G3248" s="434"/>
      <c r="H3248" s="434"/>
      <c r="I3248" s="434"/>
      <c r="J3248" s="449"/>
      <c r="K3248" s="292"/>
      <c r="L3248" s="292"/>
      <c r="M3248" s="400">
        <f>TrialBalanceC!I105</f>
        <v>0</v>
      </c>
      <c r="N3248" s="296"/>
      <c r="O3248" s="401">
        <f>TrialBalanceC!K105</f>
        <v>0</v>
      </c>
      <c r="P3248" s="295"/>
      <c r="R3248" s="348" t="str">
        <f t="shared" si="246"/>
        <v>DELETE</v>
      </c>
    </row>
    <row r="3249" spans="3:18" ht="36" customHeight="1" x14ac:dyDescent="0.45">
      <c r="C3249" s="397"/>
      <c r="D3249" s="434" t="s">
        <v>206</v>
      </c>
      <c r="E3249" s="434"/>
      <c r="F3249" s="434"/>
      <c r="G3249" s="434"/>
      <c r="H3249" s="434"/>
      <c r="I3249" s="434"/>
      <c r="J3249" s="449"/>
      <c r="K3249" s="292"/>
      <c r="L3249" s="292"/>
      <c r="M3249" s="400">
        <f>TrialBalanceC!I106</f>
        <v>0</v>
      </c>
      <c r="N3249" s="296"/>
      <c r="O3249" s="401">
        <f>TrialBalanceC!K106</f>
        <v>0</v>
      </c>
      <c r="P3249" s="295"/>
      <c r="R3249" s="348" t="str">
        <f t="shared" si="246"/>
        <v>DELETE</v>
      </c>
    </row>
    <row r="3250" spans="3:18" ht="36" customHeight="1" x14ac:dyDescent="0.45">
      <c r="C3250" s="397"/>
      <c r="D3250" s="434" t="s">
        <v>680</v>
      </c>
      <c r="E3250" s="434"/>
      <c r="F3250" s="434"/>
      <c r="G3250" s="434"/>
      <c r="H3250" s="434"/>
      <c r="I3250" s="434"/>
      <c r="J3250" s="449"/>
      <c r="K3250" s="292"/>
      <c r="L3250" s="292"/>
      <c r="M3250" s="400">
        <f>TrialBalanceC!I107</f>
        <v>0</v>
      </c>
      <c r="N3250" s="296"/>
      <c r="O3250" s="401">
        <f>TrialBalanceC!K107</f>
        <v>0</v>
      </c>
      <c r="P3250" s="295"/>
      <c r="R3250" s="348" t="str">
        <f t="shared" si="246"/>
        <v>DELETE</v>
      </c>
    </row>
    <row r="3251" spans="3:18" ht="36" customHeight="1" x14ac:dyDescent="0.45">
      <c r="C3251" s="397"/>
      <c r="D3251" s="434" t="s">
        <v>1212</v>
      </c>
      <c r="E3251" s="434"/>
      <c r="F3251" s="434"/>
      <c r="G3251" s="434"/>
      <c r="H3251" s="434"/>
      <c r="I3251" s="434"/>
      <c r="J3251" s="449"/>
      <c r="K3251" s="292"/>
      <c r="L3251" s="292"/>
      <c r="M3251" s="400">
        <f>TrialBalanceC!I108</f>
        <v>0</v>
      </c>
      <c r="N3251" s="296"/>
      <c r="O3251" s="401">
        <f>TrialBalanceC!K108</f>
        <v>0</v>
      </c>
      <c r="P3251" s="295"/>
      <c r="R3251" s="348" t="str">
        <f t="shared" ref="R3251" si="247">IF(R$3143="DELETE","DELETE",IF(M3251+O3251=0,"DELETE"," "))</f>
        <v>DELETE</v>
      </c>
    </row>
    <row r="3252" spans="3:18" ht="36" customHeight="1" x14ac:dyDescent="0.45">
      <c r="C3252" s="397"/>
      <c r="D3252" s="434" t="s">
        <v>252</v>
      </c>
      <c r="E3252" s="434"/>
      <c r="F3252" s="434"/>
      <c r="G3252" s="434"/>
      <c r="H3252" s="434"/>
      <c r="I3252" s="434"/>
      <c r="J3252" s="449"/>
      <c r="K3252" s="292">
        <f>B$958</f>
        <v>5</v>
      </c>
      <c r="L3252" s="292"/>
      <c r="M3252" s="400">
        <f>SUM(TrialBalanceC!I110:I111)</f>
        <v>0</v>
      </c>
      <c r="N3252" s="296"/>
      <c r="O3252" s="401">
        <f>SUM(TrialBalanceC!K110:K111)</f>
        <v>0</v>
      </c>
      <c r="P3252" s="295"/>
      <c r="R3252" s="348" t="str">
        <f t="shared" si="246"/>
        <v>DELETE</v>
      </c>
    </row>
    <row r="3253" spans="3:18" ht="36" customHeight="1" x14ac:dyDescent="0.45">
      <c r="C3253" s="397"/>
      <c r="D3253" s="434" t="str">
        <f>IF(MAX(Criteria!I38:I42)&gt;1,"Directors' remuneration","Director's remuneration")</f>
        <v>Directors' remuneration</v>
      </c>
      <c r="E3253" s="434"/>
      <c r="F3253" s="434"/>
      <c r="G3253" s="434"/>
      <c r="H3253" s="434"/>
      <c r="I3253" s="434"/>
      <c r="J3253" s="449"/>
      <c r="K3253" s="292">
        <f>B$958</f>
        <v>5</v>
      </c>
      <c r="L3253" s="292"/>
      <c r="M3253" s="400">
        <f>SUM(TrialBalanceC!I113:I117)</f>
        <v>0</v>
      </c>
      <c r="N3253" s="296"/>
      <c r="O3253" s="401">
        <f>SUM(TrialBalanceC!K113:K117)</f>
        <v>0</v>
      </c>
      <c r="P3253" s="295"/>
      <c r="R3253" s="348" t="str">
        <f t="shared" si="246"/>
        <v>DELETE</v>
      </c>
    </row>
    <row r="3254" spans="3:18" ht="36" customHeight="1" x14ac:dyDescent="0.45">
      <c r="C3254" s="397"/>
      <c r="D3254" s="434" t="s">
        <v>241</v>
      </c>
      <c r="E3254" s="434"/>
      <c r="F3254" s="434"/>
      <c r="G3254" s="434"/>
      <c r="H3254" s="434"/>
      <c r="I3254" s="434"/>
      <c r="J3254" s="449"/>
      <c r="K3254" s="292"/>
      <c r="L3254" s="292"/>
      <c r="M3254" s="400">
        <f>TrialBalanceC!I118</f>
        <v>0</v>
      </c>
      <c r="N3254" s="296"/>
      <c r="O3254" s="401">
        <f>TrialBalanceC!K118</f>
        <v>0</v>
      </c>
      <c r="P3254" s="295"/>
      <c r="R3254" s="348" t="str">
        <f t="shared" si="246"/>
        <v>DELETE</v>
      </c>
    </row>
    <row r="3255" spans="3:18" ht="36" customHeight="1" x14ac:dyDescent="0.45">
      <c r="C3255" s="397"/>
      <c r="D3255" s="434" t="s">
        <v>344</v>
      </c>
      <c r="E3255" s="434"/>
      <c r="F3255" s="434"/>
      <c r="G3255" s="434"/>
      <c r="H3255" s="434"/>
      <c r="I3255" s="434"/>
      <c r="J3255" s="449"/>
      <c r="K3255" s="292"/>
      <c r="L3255" s="292"/>
      <c r="M3255" s="400">
        <f>TrialBalanceC!I119</f>
        <v>0</v>
      </c>
      <c r="N3255" s="296"/>
      <c r="O3255" s="401">
        <f>TrialBalanceC!K119</f>
        <v>0</v>
      </c>
      <c r="P3255" s="295"/>
      <c r="R3255" s="348" t="str">
        <f t="shared" si="246"/>
        <v>DELETE</v>
      </c>
    </row>
    <row r="3256" spans="3:18" ht="36" customHeight="1" x14ac:dyDescent="0.45">
      <c r="C3256" s="397"/>
      <c r="D3256" s="434" t="s">
        <v>305</v>
      </c>
      <c r="E3256" s="434"/>
      <c r="F3256" s="434"/>
      <c r="G3256" s="434"/>
      <c r="H3256" s="434"/>
      <c r="I3256" s="434"/>
      <c r="J3256" s="449"/>
      <c r="K3256" s="292"/>
      <c r="L3256" s="292"/>
      <c r="M3256" s="400">
        <f>TrialBalanceC!I120</f>
        <v>0</v>
      </c>
      <c r="N3256" s="296"/>
      <c r="O3256" s="401">
        <f>TrialBalanceC!K120</f>
        <v>0</v>
      </c>
      <c r="P3256" s="295"/>
      <c r="R3256" s="348" t="str">
        <f t="shared" si="246"/>
        <v>DELETE</v>
      </c>
    </row>
    <row r="3257" spans="3:18" ht="36" customHeight="1" x14ac:dyDescent="0.45">
      <c r="C3257" s="397"/>
      <c r="D3257" s="434" t="s">
        <v>346</v>
      </c>
      <c r="E3257" s="434"/>
      <c r="F3257" s="434"/>
      <c r="G3257" s="434"/>
      <c r="H3257" s="434"/>
      <c r="I3257" s="434"/>
      <c r="J3257" s="449"/>
      <c r="K3257" s="292"/>
      <c r="L3257" s="292"/>
      <c r="M3257" s="400">
        <f>TrialBalanceC!I121</f>
        <v>0</v>
      </c>
      <c r="N3257" s="296"/>
      <c r="O3257" s="401">
        <f>TrialBalanceC!K121</f>
        <v>0</v>
      </c>
      <c r="P3257" s="295"/>
      <c r="R3257" s="348" t="str">
        <f t="shared" si="246"/>
        <v>DELETE</v>
      </c>
    </row>
    <row r="3258" spans="3:18" ht="36" customHeight="1" x14ac:dyDescent="0.45">
      <c r="C3258" s="397"/>
      <c r="D3258" s="434" t="s">
        <v>921</v>
      </c>
      <c r="E3258" s="434"/>
      <c r="F3258" s="434"/>
      <c r="G3258" s="434"/>
      <c r="H3258" s="434"/>
      <c r="I3258" s="434"/>
      <c r="J3258" s="449"/>
      <c r="K3258" s="292"/>
      <c r="L3258" s="292"/>
      <c r="M3258" s="400">
        <f>TrialBalanceC!I156</f>
        <v>0</v>
      </c>
      <c r="N3258" s="296"/>
      <c r="O3258" s="401">
        <f>TrialBalanceC!K156</f>
        <v>0</v>
      </c>
      <c r="P3258" s="295"/>
      <c r="R3258" s="348" t="str">
        <f>IF(R$3143="DELETE","DELETE",IF(M3258+O3258=0,"DELETE"," "))</f>
        <v>DELETE</v>
      </c>
    </row>
    <row r="3259" spans="3:18" ht="36" customHeight="1" x14ac:dyDescent="0.45">
      <c r="C3259" s="397"/>
      <c r="D3259" s="434" t="s">
        <v>490</v>
      </c>
      <c r="E3259" s="434"/>
      <c r="F3259" s="434"/>
      <c r="G3259" s="434"/>
      <c r="H3259" s="434"/>
      <c r="I3259" s="434"/>
      <c r="J3259" s="449"/>
      <c r="K3259" s="292"/>
      <c r="L3259" s="292"/>
      <c r="M3259" s="400">
        <f>TrialBalanceC!I122+TrialBalanceC!I123</f>
        <v>0</v>
      </c>
      <c r="N3259" s="296"/>
      <c r="O3259" s="401">
        <f>TrialBalanceC!K122+TrialBalanceC!K123</f>
        <v>0</v>
      </c>
      <c r="P3259" s="295"/>
      <c r="R3259" s="348" t="str">
        <f t="shared" si="246"/>
        <v>DELETE</v>
      </c>
    </row>
    <row r="3260" spans="3:18" ht="36" customHeight="1" x14ac:dyDescent="0.45">
      <c r="C3260" s="397"/>
      <c r="D3260" s="434" t="s">
        <v>512</v>
      </c>
      <c r="E3260" s="434"/>
      <c r="F3260" s="434"/>
      <c r="G3260" s="434"/>
      <c r="H3260" s="434"/>
      <c r="I3260" s="434"/>
      <c r="J3260" s="449"/>
      <c r="K3260" s="292"/>
      <c r="L3260" s="292"/>
      <c r="M3260" s="400">
        <f>IF(TrialBalanceC!I94&gt;0,TrialBalanceC!I94,0)</f>
        <v>0</v>
      </c>
      <c r="N3260" s="296"/>
      <c r="O3260" s="401">
        <f>IF(TrialBalanceC!K94&gt;0,TrialBalanceC!K94,0)</f>
        <v>0</v>
      </c>
      <c r="P3260" s="295"/>
      <c r="R3260" s="348" t="str">
        <f>IF(R$3143="DELETE","DELETE",IF(M3260+O3260=0,"DELETE"," "))</f>
        <v>DELETE</v>
      </c>
    </row>
    <row r="3261" spans="3:18" ht="36" customHeight="1" x14ac:dyDescent="0.45">
      <c r="C3261" s="397"/>
      <c r="D3261" s="434" t="s">
        <v>681</v>
      </c>
      <c r="E3261" s="434"/>
      <c r="F3261" s="434"/>
      <c r="G3261" s="434"/>
      <c r="H3261" s="434"/>
      <c r="I3261" s="434"/>
      <c r="J3261" s="449"/>
      <c r="K3261" s="292"/>
      <c r="L3261" s="292"/>
      <c r="M3261" s="400">
        <f>TrialBalanceC!I124</f>
        <v>0</v>
      </c>
      <c r="N3261" s="296"/>
      <c r="O3261" s="401">
        <f>TrialBalanceC!K124</f>
        <v>0</v>
      </c>
      <c r="P3261" s="295"/>
      <c r="R3261" s="348" t="str">
        <f>IF(R$3143="DELETE","DELETE",IF(M3261+O3261=0,"DELETE"," "))</f>
        <v>DELETE</v>
      </c>
    </row>
    <row r="3262" spans="3:18" ht="36" customHeight="1" x14ac:dyDescent="0.45">
      <c r="C3262" s="397"/>
      <c r="D3262" s="434" t="s">
        <v>242</v>
      </c>
      <c r="E3262" s="434"/>
      <c r="F3262" s="434"/>
      <c r="G3262" s="434"/>
      <c r="H3262" s="434"/>
      <c r="I3262" s="434"/>
      <c r="J3262" s="449"/>
      <c r="K3262" s="292"/>
      <c r="L3262" s="292"/>
      <c r="M3262" s="400">
        <f>TrialBalanceC!I125</f>
        <v>0</v>
      </c>
      <c r="N3262" s="296"/>
      <c r="O3262" s="401">
        <f>TrialBalanceC!K125</f>
        <v>0</v>
      </c>
      <c r="P3262" s="295"/>
      <c r="R3262" s="348" t="str">
        <f t="shared" si="246"/>
        <v>DELETE</v>
      </c>
    </row>
    <row r="3263" spans="3:18" ht="36" customHeight="1" x14ac:dyDescent="0.45">
      <c r="C3263" s="397"/>
      <c r="D3263" s="434" t="s">
        <v>235</v>
      </c>
      <c r="E3263" s="434"/>
      <c r="F3263" s="434"/>
      <c r="G3263" s="434"/>
      <c r="H3263" s="434"/>
      <c r="I3263" s="434"/>
      <c r="J3263" s="449"/>
      <c r="K3263" s="292"/>
      <c r="L3263" s="292"/>
      <c r="M3263" s="400">
        <f>SUM(TrialBalanceC!I126:I127)</f>
        <v>0</v>
      </c>
      <c r="N3263" s="296"/>
      <c r="O3263" s="401">
        <f>SUM(TrialBalanceC!K126:K127)</f>
        <v>0</v>
      </c>
      <c r="P3263" s="295"/>
      <c r="R3263" s="348" t="str">
        <f t="shared" si="246"/>
        <v>DELETE</v>
      </c>
    </row>
    <row r="3264" spans="3:18" ht="36" customHeight="1" x14ac:dyDescent="0.45">
      <c r="C3264" s="397"/>
      <c r="D3264" s="434" t="s">
        <v>243</v>
      </c>
      <c r="E3264" s="434"/>
      <c r="F3264" s="434"/>
      <c r="G3264" s="434"/>
      <c r="H3264" s="434"/>
      <c r="I3264" s="434"/>
      <c r="J3264" s="449"/>
      <c r="K3264" s="292"/>
      <c r="L3264" s="292"/>
      <c r="M3264" s="400">
        <f>TrialBalanceC!I128</f>
        <v>0</v>
      </c>
      <c r="N3264" s="296"/>
      <c r="O3264" s="401">
        <f>TrialBalanceC!K128</f>
        <v>0</v>
      </c>
      <c r="P3264" s="295"/>
      <c r="R3264" s="348" t="str">
        <f t="shared" si="246"/>
        <v>DELETE</v>
      </c>
    </row>
    <row r="3265" spans="3:18" ht="36" customHeight="1" x14ac:dyDescent="0.45">
      <c r="C3265" s="397"/>
      <c r="D3265" s="434" t="s">
        <v>682</v>
      </c>
      <c r="E3265" s="434"/>
      <c r="F3265" s="434"/>
      <c r="G3265" s="434"/>
      <c r="H3265" s="434"/>
      <c r="I3265" s="434"/>
      <c r="J3265" s="449"/>
      <c r="K3265" s="292"/>
      <c r="L3265" s="292"/>
      <c r="M3265" s="400">
        <f>TrialBalanceC!I129</f>
        <v>0</v>
      </c>
      <c r="N3265" s="296"/>
      <c r="O3265" s="401">
        <f>TrialBalanceC!K129</f>
        <v>0</v>
      </c>
      <c r="P3265" s="295"/>
      <c r="R3265" s="348" t="str">
        <f t="shared" si="246"/>
        <v>DELETE</v>
      </c>
    </row>
    <row r="3266" spans="3:18" ht="36" customHeight="1" x14ac:dyDescent="0.45">
      <c r="C3266" s="397"/>
      <c r="D3266" s="434" t="s">
        <v>74</v>
      </c>
      <c r="E3266" s="434"/>
      <c r="F3266" s="434"/>
      <c r="G3266" s="434"/>
      <c r="H3266" s="434"/>
      <c r="I3266" s="434"/>
      <c r="J3266" s="449"/>
      <c r="K3266" s="292"/>
      <c r="L3266" s="292"/>
      <c r="M3266" s="400">
        <f>TrialBalanceC!I130</f>
        <v>0</v>
      </c>
      <c r="N3266" s="296"/>
      <c r="O3266" s="401">
        <f>TrialBalanceC!K130</f>
        <v>0</v>
      </c>
      <c r="P3266" s="295"/>
      <c r="R3266" s="348" t="str">
        <f t="shared" si="246"/>
        <v>DELETE</v>
      </c>
    </row>
    <row r="3267" spans="3:18" ht="36" customHeight="1" x14ac:dyDescent="0.45">
      <c r="C3267" s="397"/>
      <c r="D3267" s="434">
        <f>TrialBalanceC!C131</f>
        <v>0</v>
      </c>
      <c r="E3267" s="434"/>
      <c r="F3267" s="434"/>
      <c r="G3267" s="434"/>
      <c r="H3267" s="434"/>
      <c r="I3267" s="434"/>
      <c r="J3267" s="449"/>
      <c r="K3267" s="292"/>
      <c r="L3267" s="292"/>
      <c r="M3267" s="400">
        <f>TrialBalanceC!I131</f>
        <v>0</v>
      </c>
      <c r="N3267" s="296"/>
      <c r="O3267" s="401">
        <f>TrialBalanceC!K131</f>
        <v>0</v>
      </c>
      <c r="P3267" s="295"/>
      <c r="R3267" s="348" t="str">
        <f t="shared" si="246"/>
        <v>DELETE</v>
      </c>
    </row>
    <row r="3268" spans="3:18" ht="36" customHeight="1" x14ac:dyDescent="0.45">
      <c r="C3268" s="397"/>
      <c r="D3268" s="434">
        <f>TrialBalanceC!C132</f>
        <v>0</v>
      </c>
      <c r="E3268" s="434"/>
      <c r="F3268" s="434"/>
      <c r="G3268" s="434"/>
      <c r="H3268" s="434"/>
      <c r="I3268" s="434"/>
      <c r="J3268" s="449"/>
      <c r="K3268" s="292"/>
      <c r="L3268" s="292"/>
      <c r="M3268" s="400">
        <f>TrialBalanceC!I132</f>
        <v>0</v>
      </c>
      <c r="N3268" s="296"/>
      <c r="O3268" s="401">
        <f>TrialBalanceC!K132</f>
        <v>0</v>
      </c>
      <c r="P3268" s="295"/>
      <c r="R3268" s="348" t="str">
        <f t="shared" si="246"/>
        <v>DELETE</v>
      </c>
    </row>
    <row r="3269" spans="3:18" ht="36" customHeight="1" x14ac:dyDescent="0.45">
      <c r="C3269" s="397"/>
      <c r="D3269" s="434">
        <f>TrialBalanceC!C133</f>
        <v>0</v>
      </c>
      <c r="E3269" s="434"/>
      <c r="F3269" s="434"/>
      <c r="G3269" s="434"/>
      <c r="H3269" s="434"/>
      <c r="I3269" s="434"/>
      <c r="J3269" s="449"/>
      <c r="K3269" s="292"/>
      <c r="L3269" s="292"/>
      <c r="M3269" s="400">
        <f>TrialBalanceC!I133</f>
        <v>0</v>
      </c>
      <c r="N3269" s="296"/>
      <c r="O3269" s="401">
        <f>TrialBalanceC!K133</f>
        <v>0</v>
      </c>
      <c r="P3269" s="295"/>
      <c r="R3269" s="348" t="str">
        <f t="shared" si="246"/>
        <v>DELETE</v>
      </c>
    </row>
    <row r="3270" spans="3:18" ht="36" customHeight="1" x14ac:dyDescent="0.45">
      <c r="C3270" s="397"/>
      <c r="D3270" s="434">
        <f>TrialBalanceC!C134</f>
        <v>0</v>
      </c>
      <c r="E3270" s="434"/>
      <c r="F3270" s="434"/>
      <c r="G3270" s="434"/>
      <c r="H3270" s="434"/>
      <c r="I3270" s="434"/>
      <c r="J3270" s="449"/>
      <c r="K3270" s="292"/>
      <c r="L3270" s="292"/>
      <c r="M3270" s="400">
        <f>TrialBalanceC!I134</f>
        <v>0</v>
      </c>
      <c r="N3270" s="296"/>
      <c r="O3270" s="401">
        <f>TrialBalanceC!K134</f>
        <v>0</v>
      </c>
      <c r="P3270" s="295"/>
      <c r="R3270" s="348" t="str">
        <f t="shared" si="246"/>
        <v>DELETE</v>
      </c>
    </row>
    <row r="3271" spans="3:18" ht="36" customHeight="1" x14ac:dyDescent="0.45">
      <c r="C3271" s="397"/>
      <c r="D3271" s="434">
        <f>TrialBalanceC!C135</f>
        <v>0</v>
      </c>
      <c r="E3271" s="434"/>
      <c r="F3271" s="434"/>
      <c r="G3271" s="434"/>
      <c r="H3271" s="434"/>
      <c r="I3271" s="434"/>
      <c r="J3271" s="449"/>
      <c r="K3271" s="292"/>
      <c r="L3271" s="292"/>
      <c r="M3271" s="400">
        <f>TrialBalanceC!I135</f>
        <v>0</v>
      </c>
      <c r="N3271" s="296"/>
      <c r="O3271" s="401">
        <f>TrialBalanceC!K135</f>
        <v>0</v>
      </c>
      <c r="P3271" s="295"/>
      <c r="R3271" s="348" t="str">
        <f t="shared" si="246"/>
        <v>DELETE</v>
      </c>
    </row>
    <row r="3272" spans="3:18" ht="36" customHeight="1" x14ac:dyDescent="0.45">
      <c r="C3272" s="397"/>
      <c r="D3272" s="434">
        <f>TrialBalanceC!C136</f>
        <v>0</v>
      </c>
      <c r="E3272" s="434"/>
      <c r="F3272" s="434"/>
      <c r="G3272" s="434"/>
      <c r="H3272" s="434"/>
      <c r="I3272" s="434"/>
      <c r="J3272" s="449"/>
      <c r="K3272" s="292"/>
      <c r="L3272" s="292"/>
      <c r="M3272" s="400">
        <f>TrialBalanceC!I136</f>
        <v>0</v>
      </c>
      <c r="N3272" s="296"/>
      <c r="O3272" s="401">
        <f>TrialBalanceC!K136</f>
        <v>0</v>
      </c>
      <c r="P3272" s="295"/>
      <c r="R3272" s="348" t="str">
        <f t="shared" si="246"/>
        <v>DELETE</v>
      </c>
    </row>
    <row r="3273" spans="3:18" ht="36" customHeight="1" x14ac:dyDescent="0.45">
      <c r="C3273" s="397"/>
      <c r="D3273" s="434">
        <f>TrialBalanceC!C137</f>
        <v>0</v>
      </c>
      <c r="E3273" s="434"/>
      <c r="F3273" s="434"/>
      <c r="G3273" s="434"/>
      <c r="H3273" s="434"/>
      <c r="I3273" s="434"/>
      <c r="J3273" s="449"/>
      <c r="K3273" s="292"/>
      <c r="L3273" s="292"/>
      <c r="M3273" s="400">
        <f>TrialBalanceC!I137</f>
        <v>0</v>
      </c>
      <c r="N3273" s="296"/>
      <c r="O3273" s="401">
        <f>TrialBalanceC!K137</f>
        <v>0</v>
      </c>
      <c r="P3273" s="295"/>
      <c r="R3273" s="348" t="str">
        <f t="shared" si="246"/>
        <v>DELETE</v>
      </c>
    </row>
    <row r="3274" spans="3:18" ht="36" customHeight="1" x14ac:dyDescent="0.45">
      <c r="C3274" s="397"/>
      <c r="D3274" s="434">
        <f>TrialBalanceC!C138</f>
        <v>0</v>
      </c>
      <c r="E3274" s="434"/>
      <c r="F3274" s="434"/>
      <c r="G3274" s="434"/>
      <c r="H3274" s="434"/>
      <c r="I3274" s="434"/>
      <c r="J3274" s="449"/>
      <c r="K3274" s="292"/>
      <c r="L3274" s="292"/>
      <c r="M3274" s="400">
        <f>TrialBalanceC!I138</f>
        <v>0</v>
      </c>
      <c r="N3274" s="296"/>
      <c r="O3274" s="401">
        <f>TrialBalanceC!K138</f>
        <v>0</v>
      </c>
      <c r="P3274" s="295"/>
      <c r="R3274" s="348" t="str">
        <f t="shared" si="246"/>
        <v>DELETE</v>
      </c>
    </row>
    <row r="3275" spans="3:18" ht="36" customHeight="1" x14ac:dyDescent="0.45">
      <c r="C3275" s="397"/>
      <c r="D3275" s="434">
        <f>TrialBalanceC!C139</f>
        <v>0</v>
      </c>
      <c r="E3275" s="434"/>
      <c r="F3275" s="434"/>
      <c r="G3275" s="434"/>
      <c r="H3275" s="434"/>
      <c r="I3275" s="434"/>
      <c r="J3275" s="449"/>
      <c r="K3275" s="292"/>
      <c r="L3275" s="292"/>
      <c r="M3275" s="400">
        <f>TrialBalanceC!I139</f>
        <v>0</v>
      </c>
      <c r="N3275" s="296"/>
      <c r="O3275" s="401">
        <f>TrialBalanceC!K139</f>
        <v>0</v>
      </c>
      <c r="P3275" s="295"/>
      <c r="R3275" s="348" t="str">
        <f t="shared" si="246"/>
        <v>DELETE</v>
      </c>
    </row>
    <row r="3276" spans="3:18" ht="36" customHeight="1" x14ac:dyDescent="0.45">
      <c r="C3276" s="397"/>
      <c r="D3276" s="434" t="str">
        <f>TrialBalanceC!C140</f>
        <v>Amortisation of prepaid lease agreement</v>
      </c>
      <c r="E3276" s="434"/>
      <c r="F3276" s="434"/>
      <c r="G3276" s="434"/>
      <c r="H3276" s="434"/>
      <c r="I3276" s="434"/>
      <c r="J3276" s="449"/>
      <c r="K3276" s="292"/>
      <c r="L3276" s="292"/>
      <c r="M3276" s="400">
        <f>TrialBalanceC!I140</f>
        <v>0</v>
      </c>
      <c r="N3276" s="296"/>
      <c r="O3276" s="401">
        <f>TrialBalanceC!K140</f>
        <v>0</v>
      </c>
      <c r="P3276" s="295"/>
      <c r="R3276" s="348" t="str">
        <f t="shared" si="246"/>
        <v>DELETE</v>
      </c>
    </row>
    <row r="3277" spans="3:18" ht="36" customHeight="1" x14ac:dyDescent="0.45">
      <c r="C3277" s="397"/>
      <c r="D3277" s="434" t="str">
        <f>TrialBalanceC!C141</f>
        <v>Amortisation of goodwill</v>
      </c>
      <c r="E3277" s="434"/>
      <c r="F3277" s="434"/>
      <c r="G3277" s="434"/>
      <c r="H3277" s="434"/>
      <c r="I3277" s="434"/>
      <c r="J3277" s="449"/>
      <c r="K3277" s="292"/>
      <c r="L3277" s="292"/>
      <c r="M3277" s="400">
        <f>TrialBalanceC!I141</f>
        <v>0</v>
      </c>
      <c r="N3277" s="296"/>
      <c r="O3277" s="401">
        <f>TrialBalanceC!K141</f>
        <v>0</v>
      </c>
      <c r="P3277" s="295"/>
      <c r="R3277" s="348" t="str">
        <f t="shared" ref="R3277" si="248">IF(R$3143="DELETE","DELETE",IF(M3277+O3277=0,"DELETE"," "))</f>
        <v>DELETE</v>
      </c>
    </row>
    <row r="3278" spans="3:18" ht="9" customHeight="1" x14ac:dyDescent="0.45">
      <c r="C3278" s="397"/>
      <c r="D3278" s="434"/>
      <c r="E3278" s="434"/>
      <c r="F3278" s="434"/>
      <c r="G3278" s="434"/>
      <c r="H3278" s="434"/>
      <c r="I3278" s="434"/>
      <c r="J3278" s="449"/>
      <c r="K3278" s="292"/>
      <c r="L3278" s="292"/>
      <c r="M3278" s="402"/>
      <c r="N3278" s="298"/>
      <c r="O3278" s="403"/>
      <c r="P3278" s="295"/>
      <c r="R3278" s="348" t="str">
        <f>R3242</f>
        <v>DELETE</v>
      </c>
    </row>
    <row r="3279" spans="3:18" ht="9" customHeight="1" x14ac:dyDescent="0.45">
      <c r="C3279" s="397"/>
      <c r="D3279" s="434"/>
      <c r="E3279" s="434"/>
      <c r="F3279" s="434"/>
      <c r="G3279" s="434"/>
      <c r="H3279" s="434"/>
      <c r="I3279" s="434"/>
      <c r="J3279" s="449"/>
      <c r="K3279" s="292"/>
      <c r="L3279" s="292"/>
      <c r="M3279" s="298"/>
      <c r="N3279" s="298"/>
      <c r="O3279" s="298"/>
      <c r="P3279" s="295"/>
      <c r="R3279" s="348" t="str">
        <f t="shared" ref="R3279:R3282" si="249">R$3143</f>
        <v>DELETE</v>
      </c>
    </row>
    <row r="3280" spans="3:18" ht="9" customHeight="1" x14ac:dyDescent="0.45">
      <c r="C3280" s="397"/>
      <c r="D3280" s="434"/>
      <c r="E3280" s="434"/>
      <c r="F3280" s="434"/>
      <c r="G3280" s="434"/>
      <c r="H3280" s="434"/>
      <c r="I3280" s="434"/>
      <c r="J3280" s="449"/>
      <c r="K3280" s="292"/>
      <c r="L3280" s="292"/>
      <c r="M3280" s="296"/>
      <c r="N3280" s="296"/>
      <c r="O3280" s="296"/>
      <c r="P3280" s="295"/>
      <c r="R3280" s="348" t="str">
        <f t="shared" si="249"/>
        <v>DELETE</v>
      </c>
    </row>
    <row r="3281" spans="3:26" ht="36" customHeight="1" x14ac:dyDescent="0.45">
      <c r="D3281" s="446" t="str">
        <f>IF((Y3281+Z3281)=3,"Operating profit/(loss) for the year",(IF((Y3281+Z3281=4),"Operating profit for the year","Operating loss for the year")))</f>
        <v>Operating profit for the year</v>
      </c>
      <c r="E3281" s="434"/>
      <c r="F3281" s="434"/>
      <c r="G3281" s="434"/>
      <c r="H3281" s="434"/>
      <c r="I3281" s="434"/>
      <c r="J3281" s="449"/>
      <c r="K3281" s="292">
        <f>FS!B958</f>
        <v>5</v>
      </c>
      <c r="L3281" s="292"/>
      <c r="M3281" s="296">
        <f>SUM(S3155:S3278)</f>
        <v>0</v>
      </c>
      <c r="N3281" s="296"/>
      <c r="O3281" s="296">
        <f>SUM(U3155:U3278)</f>
        <v>0</v>
      </c>
      <c r="P3281" s="295"/>
      <c r="R3281" s="348" t="str">
        <f t="shared" si="249"/>
        <v>DELETE</v>
      </c>
      <c r="Y3281" s="331">
        <f>IF(M3281&lt;0,1,IF(M3281=0,IF(O3281&lt;0,1,2),2))</f>
        <v>2</v>
      </c>
      <c r="Z3281" s="331">
        <f>IF(O3281&lt;0,1,IF(O3281=0,IF(M3281&lt;0,1,2),2))</f>
        <v>2</v>
      </c>
    </row>
    <row r="3282" spans="3:26" ht="36" customHeight="1" x14ac:dyDescent="0.45">
      <c r="C3282" s="397"/>
      <c r="D3282" s="434"/>
      <c r="E3282" s="434"/>
      <c r="F3282" s="434"/>
      <c r="G3282" s="434"/>
      <c r="H3282" s="434"/>
      <c r="I3282" s="434"/>
      <c r="J3282" s="449"/>
      <c r="K3282" s="292"/>
      <c r="L3282" s="292"/>
      <c r="M3282" s="296"/>
      <c r="N3282" s="296"/>
      <c r="O3282" s="296"/>
      <c r="P3282" s="295"/>
      <c r="R3282" s="348" t="str">
        <f t="shared" si="249"/>
        <v>DELETE</v>
      </c>
    </row>
    <row r="3283" spans="3:26" ht="36" customHeight="1" x14ac:dyDescent="0.45">
      <c r="D3283" s="433" t="s">
        <v>191</v>
      </c>
      <c r="E3283" s="434"/>
      <c r="F3283" s="434"/>
      <c r="G3283" s="434"/>
      <c r="H3283" s="434"/>
      <c r="I3283" s="434"/>
      <c r="J3283" s="449"/>
      <c r="K3283" s="292">
        <f>FS!B1072</f>
        <v>6</v>
      </c>
      <c r="L3283" s="292"/>
      <c r="M3283" s="296">
        <f>SUM(M3286:M3293)</f>
        <v>0</v>
      </c>
      <c r="N3283" s="296"/>
      <c r="O3283" s="296">
        <f>SUM(O3286:O3293)</f>
        <v>0</v>
      </c>
      <c r="P3283" s="295"/>
      <c r="R3283" s="348" t="str">
        <f t="shared" ref="R3283" si="250">IF(R$3143="DELETE","DELETE",IF(M3283+O3283=0,"DELETE"," "))</f>
        <v>DELETE</v>
      </c>
      <c r="S3283" s="333">
        <f>M3283</f>
        <v>0</v>
      </c>
      <c r="T3283" s="333"/>
      <c r="U3283" s="333">
        <f>O3283</f>
        <v>0</v>
      </c>
      <c r="V3283" s="333"/>
      <c r="W3283" s="333"/>
      <c r="X3283" s="333"/>
    </row>
    <row r="3284" spans="3:26" ht="9" customHeight="1" x14ac:dyDescent="0.45">
      <c r="C3284" s="397"/>
      <c r="D3284" s="434"/>
      <c r="E3284" s="434"/>
      <c r="F3284" s="434"/>
      <c r="G3284" s="434"/>
      <c r="H3284" s="434"/>
      <c r="I3284" s="434"/>
      <c r="J3284" s="449"/>
      <c r="K3284" s="292"/>
      <c r="L3284" s="292"/>
      <c r="M3284" s="296"/>
      <c r="N3284" s="296"/>
      <c r="O3284" s="296"/>
      <c r="P3284" s="295"/>
      <c r="R3284" s="348" t="str">
        <f>R3283</f>
        <v>DELETE</v>
      </c>
    </row>
    <row r="3285" spans="3:26" ht="9" customHeight="1" x14ac:dyDescent="0.45">
      <c r="C3285" s="397"/>
      <c r="D3285" s="434"/>
      <c r="E3285" s="434"/>
      <c r="F3285" s="434"/>
      <c r="G3285" s="434"/>
      <c r="H3285" s="434"/>
      <c r="I3285" s="434"/>
      <c r="J3285" s="449"/>
      <c r="K3285" s="292"/>
      <c r="L3285" s="292"/>
      <c r="M3285" s="398"/>
      <c r="N3285" s="297"/>
      <c r="O3285" s="399"/>
      <c r="P3285" s="295"/>
      <c r="R3285" s="348" t="str">
        <f>R3284</f>
        <v>DELETE</v>
      </c>
    </row>
    <row r="3286" spans="3:26" ht="36" customHeight="1" x14ac:dyDescent="0.45">
      <c r="C3286" s="397"/>
      <c r="D3286" s="434" t="s">
        <v>189</v>
      </c>
      <c r="E3286" s="434"/>
      <c r="F3286" s="434"/>
      <c r="G3286" s="434"/>
      <c r="H3286" s="434"/>
      <c r="I3286" s="434"/>
      <c r="J3286" s="449"/>
      <c r="K3286" s="292"/>
      <c r="L3286" s="292"/>
      <c r="M3286" s="400">
        <f>-TrialBalanceC!I95</f>
        <v>0</v>
      </c>
      <c r="N3286" s="296"/>
      <c r="O3286" s="401">
        <f>-TrialBalanceC!K95</f>
        <v>0</v>
      </c>
      <c r="P3286" s="295"/>
      <c r="R3286" s="348" t="str">
        <f t="shared" ref="R3286:R3291" si="251">IF(R$3143="DELETE","DELETE",IF(M3286+O3286=0,"DELETE"," "))</f>
        <v>DELETE</v>
      </c>
    </row>
    <row r="3287" spans="3:26" ht="36" customHeight="1" x14ac:dyDescent="0.45">
      <c r="C3287" s="397"/>
      <c r="D3287" s="434" t="s">
        <v>496</v>
      </c>
      <c r="E3287" s="434"/>
      <c r="F3287" s="434"/>
      <c r="G3287" s="434"/>
      <c r="H3287" s="434"/>
      <c r="I3287" s="434"/>
      <c r="J3287" s="449"/>
      <c r="K3287" s="292"/>
      <c r="L3287" s="292"/>
      <c r="M3287" s="400">
        <f>-SUM(TrialBalanceC!I91:I93)</f>
        <v>0</v>
      </c>
      <c r="N3287" s="296"/>
      <c r="O3287" s="401">
        <f>-SUM(TrialBalanceC!K91:K93)</f>
        <v>0</v>
      </c>
      <c r="P3287" s="295"/>
      <c r="R3287" s="348" t="str">
        <f t="shared" si="251"/>
        <v>DELETE</v>
      </c>
    </row>
    <row r="3288" spans="3:26" ht="36" customHeight="1" x14ac:dyDescent="0.45">
      <c r="C3288" s="397"/>
      <c r="D3288" s="434" t="s">
        <v>497</v>
      </c>
      <c r="E3288" s="434"/>
      <c r="F3288" s="434"/>
      <c r="G3288" s="434"/>
      <c r="H3288" s="434"/>
      <c r="I3288" s="434"/>
      <c r="J3288" s="449"/>
      <c r="K3288" s="292"/>
      <c r="L3288" s="292"/>
      <c r="M3288" s="417">
        <f>-SUM(TrialBalanceC!I86:I89)</f>
        <v>0</v>
      </c>
      <c r="N3288" s="302"/>
      <c r="O3288" s="418">
        <f>-SUM(TrialBalanceC!K86:K89)</f>
        <v>0</v>
      </c>
      <c r="P3288" s="295"/>
      <c r="R3288" s="348" t="str">
        <f t="shared" si="251"/>
        <v>DELETE</v>
      </c>
    </row>
    <row r="3289" spans="3:26" ht="36" customHeight="1" x14ac:dyDescent="0.45">
      <c r="C3289" s="397"/>
      <c r="D3289" s="434" t="s">
        <v>191</v>
      </c>
      <c r="E3289" s="434"/>
      <c r="F3289" s="434"/>
      <c r="G3289" s="434"/>
      <c r="H3289" s="434"/>
      <c r="I3289" s="434"/>
      <c r="J3289" s="449"/>
      <c r="K3289" s="292"/>
      <c r="L3289" s="292"/>
      <c r="M3289" s="417">
        <f>-SUM(TrialBalanceC!I96)</f>
        <v>0</v>
      </c>
      <c r="N3289" s="302"/>
      <c r="O3289" s="418">
        <f>-TrialBalanceC!K96</f>
        <v>0</v>
      </c>
      <c r="P3289" s="295"/>
      <c r="R3289" s="348" t="str">
        <f t="shared" si="251"/>
        <v>DELETE</v>
      </c>
    </row>
    <row r="3290" spans="3:26" ht="36" customHeight="1" x14ac:dyDescent="0.45">
      <c r="C3290" s="397"/>
      <c r="D3290" s="434" t="s">
        <v>513</v>
      </c>
      <c r="E3290" s="434"/>
      <c r="F3290" s="434"/>
      <c r="G3290" s="434"/>
      <c r="H3290" s="434"/>
      <c r="I3290" s="434"/>
      <c r="J3290" s="449"/>
      <c r="K3290" s="292"/>
      <c r="L3290" s="292"/>
      <c r="M3290" s="400">
        <f>IF(TrialBalanceC!I94&lt;0,-TrialBalanceC!I94,0)</f>
        <v>0</v>
      </c>
      <c r="N3290" s="296"/>
      <c r="O3290" s="401">
        <f>IF(TrialBalanceC!K94&lt;0,-TrialBalanceC!K94,0)</f>
        <v>0</v>
      </c>
      <c r="P3290" s="295"/>
      <c r="R3290" s="348" t="str">
        <f t="shared" si="251"/>
        <v>DELETE</v>
      </c>
    </row>
    <row r="3291" spans="3:26" ht="36" customHeight="1" x14ac:dyDescent="0.45">
      <c r="C3291" s="397"/>
      <c r="D3291" s="434" t="s">
        <v>334</v>
      </c>
      <c r="E3291" s="434"/>
      <c r="F3291" s="434"/>
      <c r="G3291" s="434"/>
      <c r="H3291" s="434"/>
      <c r="I3291" s="434"/>
      <c r="J3291" s="449"/>
      <c r="K3291" s="292"/>
      <c r="L3291" s="292"/>
      <c r="M3291" s="400">
        <f>-TrialBalanceC!I84</f>
        <v>0</v>
      </c>
      <c r="N3291" s="296"/>
      <c r="O3291" s="401">
        <f>-TrialBalanceC!K84</f>
        <v>0</v>
      </c>
      <c r="P3291" s="295"/>
      <c r="R3291" s="348" t="str">
        <f t="shared" si="251"/>
        <v>DELETE</v>
      </c>
    </row>
    <row r="3292" spans="3:26" ht="36" customHeight="1" x14ac:dyDescent="0.45">
      <c r="C3292" s="397"/>
      <c r="D3292" s="434" t="str">
        <f>TrialBalance!C97</f>
        <v>Revaluation of investment property</v>
      </c>
      <c r="E3292" s="434"/>
      <c r="F3292" s="434"/>
      <c r="G3292" s="434"/>
      <c r="H3292" s="434"/>
      <c r="I3292" s="434"/>
      <c r="J3292" s="449"/>
      <c r="K3292" s="292"/>
      <c r="L3292" s="292"/>
      <c r="M3292" s="400">
        <f>-TrialBalanceC!I97</f>
        <v>0</v>
      </c>
      <c r="N3292" s="296"/>
      <c r="O3292" s="401">
        <f>-TrialBalanceC!K97</f>
        <v>0</v>
      </c>
      <c r="P3292" s="295"/>
      <c r="R3292" s="348" t="str">
        <f>IF(R$3143="DELETE","DELETE",IF(M3292+O3292=0,"DELETE"," "))</f>
        <v>DELETE</v>
      </c>
    </row>
    <row r="3293" spans="3:26" ht="9" customHeight="1" x14ac:dyDescent="0.45">
      <c r="C3293" s="397"/>
      <c r="D3293" s="434"/>
      <c r="E3293" s="434"/>
      <c r="F3293" s="434"/>
      <c r="G3293" s="434"/>
      <c r="H3293" s="434"/>
      <c r="I3293" s="434"/>
      <c r="J3293" s="449"/>
      <c r="K3293" s="292"/>
      <c r="L3293" s="292"/>
      <c r="M3293" s="402"/>
      <c r="N3293" s="298"/>
      <c r="O3293" s="403"/>
      <c r="P3293" s="295"/>
      <c r="R3293" s="348" t="str">
        <f>R3283</f>
        <v>DELETE</v>
      </c>
    </row>
    <row r="3294" spans="3:26" ht="9" customHeight="1" x14ac:dyDescent="0.45">
      <c r="C3294" s="397"/>
      <c r="D3294" s="434"/>
      <c r="E3294" s="434"/>
      <c r="F3294" s="434"/>
      <c r="G3294" s="434"/>
      <c r="H3294" s="434"/>
      <c r="I3294" s="434"/>
      <c r="J3294" s="449"/>
      <c r="K3294" s="292"/>
      <c r="L3294" s="292"/>
      <c r="M3294" s="298"/>
      <c r="N3294" s="298"/>
      <c r="O3294" s="298"/>
      <c r="P3294" s="295"/>
      <c r="R3294" s="348" t="str">
        <f>R3293</f>
        <v>DELETE</v>
      </c>
    </row>
    <row r="3295" spans="3:26" ht="9" customHeight="1" x14ac:dyDescent="0.45">
      <c r="C3295" s="397"/>
      <c r="D3295" s="434"/>
      <c r="E3295" s="434"/>
      <c r="F3295" s="434"/>
      <c r="G3295" s="434"/>
      <c r="H3295" s="434"/>
      <c r="I3295" s="434"/>
      <c r="J3295" s="449"/>
      <c r="K3295" s="292"/>
      <c r="L3295" s="292"/>
      <c r="M3295" s="296"/>
      <c r="N3295" s="296"/>
      <c r="O3295" s="296"/>
      <c r="P3295" s="295"/>
      <c r="R3295" s="348" t="str">
        <f>R3294</f>
        <v>DELETE</v>
      </c>
    </row>
    <row r="3296" spans="3:26" ht="36" customHeight="1" x14ac:dyDescent="0.45">
      <c r="C3296" s="397"/>
      <c r="D3296" s="434"/>
      <c r="E3296" s="434"/>
      <c r="F3296" s="434"/>
      <c r="G3296" s="434"/>
      <c r="H3296" s="434"/>
      <c r="I3296" s="434"/>
      <c r="J3296" s="449"/>
      <c r="K3296" s="292"/>
      <c r="L3296" s="292"/>
      <c r="M3296" s="296">
        <f>SUM(S3155:S3293)</f>
        <v>0</v>
      </c>
      <c r="N3296" s="296"/>
      <c r="O3296" s="296">
        <f>SUM(U3155:U3293)</f>
        <v>0</v>
      </c>
      <c r="P3296" s="295"/>
      <c r="R3296" s="348" t="str">
        <f>R3295</f>
        <v>DELETE</v>
      </c>
    </row>
    <row r="3297" spans="3:26" ht="36" customHeight="1" x14ac:dyDescent="0.45">
      <c r="C3297" s="397"/>
      <c r="D3297" s="434"/>
      <c r="E3297" s="434"/>
      <c r="F3297" s="434"/>
      <c r="G3297" s="434"/>
      <c r="H3297" s="434"/>
      <c r="I3297" s="434"/>
      <c r="J3297" s="449"/>
      <c r="K3297" s="292"/>
      <c r="L3297" s="292"/>
      <c r="M3297" s="296"/>
      <c r="N3297" s="296"/>
      <c r="O3297" s="296"/>
      <c r="P3297" s="295"/>
      <c r="R3297" s="348" t="str">
        <f>R3296</f>
        <v>DELETE</v>
      </c>
    </row>
    <row r="3298" spans="3:26" ht="36" customHeight="1" x14ac:dyDescent="0.45">
      <c r="D3298" s="434" t="s">
        <v>1077</v>
      </c>
      <c r="E3298" s="434"/>
      <c r="F3298" s="434"/>
      <c r="G3298" s="434"/>
      <c r="H3298" s="434"/>
      <c r="I3298" s="434"/>
      <c r="J3298" s="449"/>
      <c r="K3298" s="292">
        <f>FS!B1132</f>
        <v>7</v>
      </c>
      <c r="L3298" s="292"/>
      <c r="M3298" s="296">
        <f>SUM(TrialBalanceC!I144:I154)</f>
        <v>0</v>
      </c>
      <c r="N3298" s="296"/>
      <c r="O3298" s="296">
        <f>SUM(TrialBalanceC!K144:K154)</f>
        <v>0</v>
      </c>
      <c r="P3298" s="295"/>
      <c r="R3298" s="348" t="str">
        <f t="shared" ref="R3298" si="252">IF(R$3143="DELETE","DELETE",IF(M3298+O3298=0,"DELETE"," "))</f>
        <v>DELETE</v>
      </c>
      <c r="S3298" s="333">
        <f>-M3298</f>
        <v>0</v>
      </c>
      <c r="T3298" s="333"/>
      <c r="U3298" s="333">
        <f>-O3298</f>
        <v>0</v>
      </c>
      <c r="V3298" s="333"/>
      <c r="W3298" s="333"/>
      <c r="X3298" s="333"/>
    </row>
    <row r="3299" spans="3:26" ht="9" customHeight="1" x14ac:dyDescent="0.45">
      <c r="C3299" s="397"/>
      <c r="D3299" s="434"/>
      <c r="E3299" s="434"/>
      <c r="F3299" s="434"/>
      <c r="G3299" s="434"/>
      <c r="H3299" s="434"/>
      <c r="I3299" s="434"/>
      <c r="J3299" s="449"/>
      <c r="K3299" s="292"/>
      <c r="L3299" s="292"/>
      <c r="M3299" s="298"/>
      <c r="N3299" s="298"/>
      <c r="O3299" s="298"/>
      <c r="P3299" s="295"/>
      <c r="R3299" s="348" t="str">
        <f t="shared" ref="R3299:R3307" si="253">R$3143</f>
        <v>DELETE</v>
      </c>
    </row>
    <row r="3300" spans="3:26" ht="9" customHeight="1" x14ac:dyDescent="0.45">
      <c r="C3300" s="397"/>
      <c r="D3300" s="434"/>
      <c r="E3300" s="434"/>
      <c r="F3300" s="434"/>
      <c r="G3300" s="434"/>
      <c r="H3300" s="434"/>
      <c r="I3300" s="434"/>
      <c r="J3300" s="449"/>
      <c r="K3300" s="292"/>
      <c r="L3300" s="292"/>
      <c r="M3300" s="296"/>
      <c r="N3300" s="296"/>
      <c r="O3300" s="296"/>
      <c r="P3300" s="295"/>
      <c r="R3300" s="348" t="str">
        <f t="shared" si="253"/>
        <v>DELETE</v>
      </c>
    </row>
    <row r="3301" spans="3:26" ht="36.75" customHeight="1" x14ac:dyDescent="0.45">
      <c r="D3301" s="446" t="str">
        <f>IF((Y3301+Z3301)=3,"Profit/(Loss) before taxation",(IF((Y3301+Z3301=4),"Profit before taxation","Loss before taxation")))</f>
        <v>Profit before taxation</v>
      </c>
      <c r="E3301" s="434"/>
      <c r="F3301" s="434"/>
      <c r="G3301" s="434"/>
      <c r="H3301" s="434"/>
      <c r="I3301" s="434"/>
      <c r="J3301" s="449"/>
      <c r="K3301" s="292"/>
      <c r="L3301" s="292"/>
      <c r="M3301" s="296">
        <f>SUM(S3155:S3300)</f>
        <v>0</v>
      </c>
      <c r="N3301" s="296"/>
      <c r="O3301" s="296">
        <f>SUM(U3155:U3300)</f>
        <v>0</v>
      </c>
      <c r="P3301" s="295"/>
      <c r="R3301" s="348" t="str">
        <f t="shared" si="253"/>
        <v>DELETE</v>
      </c>
      <c r="V3301" s="331" t="b">
        <f>M3301=FS!M2469</f>
        <v>1</v>
      </c>
      <c r="X3301" s="331" t="b">
        <f>O3301=FS!O2469</f>
        <v>1</v>
      </c>
      <c r="Y3301" s="331">
        <f>IF(M3301&lt;0,1,IF(M3301=0,IF(O3301&lt;0,1,2),2))</f>
        <v>2</v>
      </c>
      <c r="Z3301" s="331">
        <f>IF(O3301&lt;0,1,IF(O3301=0,IF(M3301&lt;0,1,2),2))</f>
        <v>2</v>
      </c>
    </row>
    <row r="3302" spans="3:26" ht="9" customHeight="1" thickBot="1" x14ac:dyDescent="0.5">
      <c r="C3302" s="397"/>
      <c r="D3302" s="434"/>
      <c r="E3302" s="434"/>
      <c r="F3302" s="434"/>
      <c r="G3302" s="434"/>
      <c r="H3302" s="434"/>
      <c r="I3302" s="434"/>
      <c r="J3302" s="449"/>
      <c r="K3302" s="292"/>
      <c r="L3302" s="292"/>
      <c r="M3302" s="299"/>
      <c r="N3302" s="299"/>
      <c r="O3302" s="299"/>
      <c r="P3302" s="295"/>
      <c r="R3302" s="348" t="str">
        <f t="shared" si="253"/>
        <v>DELETE</v>
      </c>
    </row>
    <row r="3303" spans="3:26" ht="9" customHeight="1" thickTop="1" x14ac:dyDescent="0.45">
      <c r="C3303" s="397"/>
      <c r="D3303" s="434"/>
      <c r="E3303" s="434"/>
      <c r="F3303" s="434"/>
      <c r="G3303" s="434"/>
      <c r="H3303" s="434"/>
      <c r="I3303" s="434"/>
      <c r="J3303" s="449"/>
      <c r="K3303" s="292"/>
      <c r="L3303" s="292"/>
      <c r="M3303" s="296"/>
      <c r="N3303" s="296"/>
      <c r="O3303" s="296"/>
      <c r="P3303" s="295"/>
      <c r="R3303" s="348" t="str">
        <f t="shared" si="253"/>
        <v>DELETE</v>
      </c>
    </row>
    <row r="3304" spans="3:26" ht="36" customHeight="1" x14ac:dyDescent="0.45">
      <c r="C3304" s="397"/>
      <c r="D3304" s="434"/>
      <c r="E3304" s="434"/>
      <c r="F3304" s="434"/>
      <c r="G3304" s="434"/>
      <c r="H3304" s="434"/>
      <c r="I3304" s="434"/>
      <c r="J3304" s="449"/>
      <c r="K3304" s="292"/>
      <c r="L3304" s="292"/>
      <c r="M3304" s="296"/>
      <c r="N3304" s="296"/>
      <c r="O3304" s="296"/>
      <c r="P3304" s="295"/>
      <c r="R3304" s="348" t="str">
        <f t="shared" si="253"/>
        <v>DELETE</v>
      </c>
    </row>
    <row r="3305" spans="3:26" ht="36" customHeight="1" x14ac:dyDescent="0.45">
      <c r="C3305" s="397"/>
      <c r="D3305" s="434"/>
      <c r="E3305" s="434"/>
      <c r="F3305" s="434"/>
      <c r="G3305" s="434"/>
      <c r="H3305" s="434"/>
      <c r="I3305" s="434"/>
      <c r="J3305" s="449"/>
      <c r="K3305" s="292"/>
      <c r="L3305" s="292"/>
      <c r="M3305" s="296"/>
      <c r="N3305" s="296"/>
      <c r="O3305" s="296"/>
      <c r="P3305" s="295"/>
      <c r="R3305" s="348" t="str">
        <f t="shared" si="253"/>
        <v>DELETE</v>
      </c>
    </row>
    <row r="3306" spans="3:26" ht="36" customHeight="1" x14ac:dyDescent="0.5">
      <c r="C3306" s="353"/>
      <c r="D3306" s="434"/>
      <c r="E3306" s="434"/>
      <c r="F3306" s="434"/>
      <c r="G3306" s="434"/>
      <c r="H3306" s="434"/>
      <c r="I3306" s="434"/>
      <c r="J3306" s="434"/>
      <c r="M3306" s="371"/>
      <c r="N3306" s="371"/>
      <c r="O3306" s="371"/>
      <c r="P3306" s="356"/>
      <c r="R3306" s="348" t="str">
        <f t="shared" si="253"/>
        <v>DELETE</v>
      </c>
    </row>
    <row r="3307" spans="3:26" ht="36" customHeight="1" x14ac:dyDescent="0.5">
      <c r="C3307" s="353"/>
      <c r="D3307" s="434"/>
      <c r="E3307" s="434"/>
      <c r="F3307" s="434"/>
      <c r="G3307" s="434"/>
      <c r="H3307" s="434"/>
      <c r="I3307" s="434"/>
      <c r="J3307" s="434"/>
      <c r="M3307" s="351"/>
      <c r="N3307" s="351"/>
      <c r="O3307" s="351"/>
      <c r="R3307" s="348" t="str">
        <f t="shared" si="253"/>
        <v>DELETE</v>
      </c>
    </row>
    <row r="3308" spans="3:26" ht="36" customHeight="1" x14ac:dyDescent="0.5">
      <c r="C3308" s="353"/>
      <c r="D3308" s="434"/>
      <c r="E3308" s="434"/>
      <c r="F3308" s="434"/>
      <c r="G3308" s="434"/>
      <c r="H3308" s="434"/>
      <c r="I3308" s="434"/>
      <c r="J3308" s="434"/>
      <c r="M3308" s="351"/>
      <c r="N3308" s="351"/>
      <c r="O3308" s="296" t="s">
        <v>89</v>
      </c>
      <c r="Q3308" s="292">
        <v>1</v>
      </c>
      <c r="R3308" s="348" t="str">
        <f>IF(SUM(U3155:U3159)+SUM(U3175:U3184)+SUM(U3283:U3293)+O3301=0,IF(SUM(S3320:S3322)+SUM(S3340:S3347)+SUM(S3448:S3458)+O3466=0,"DELETE"," "),"DELETE")</f>
        <v>DELETE</v>
      </c>
      <c r="V3308" s="335"/>
      <c r="W3308" s="335"/>
      <c r="X3308" s="335"/>
    </row>
    <row r="3309" spans="3:26" ht="36" customHeight="1" x14ac:dyDescent="0.5">
      <c r="C3309" s="353"/>
      <c r="D3309" s="433" t="s">
        <v>610</v>
      </c>
      <c r="E3309" s="434"/>
      <c r="F3309" s="434"/>
      <c r="G3309" s="434"/>
      <c r="H3309" s="434"/>
      <c r="I3309" s="434"/>
      <c r="J3309" s="434"/>
      <c r="M3309" s="351"/>
      <c r="N3309" s="351"/>
      <c r="O3309" s="351"/>
      <c r="R3309" s="348" t="str">
        <f>R$3308</f>
        <v>DELETE</v>
      </c>
      <c r="V3309" s="332"/>
      <c r="X3309" s="332"/>
    </row>
    <row r="3310" spans="3:26" ht="36" customHeight="1" x14ac:dyDescent="0.5">
      <c r="C3310" s="353"/>
      <c r="D3310" s="434"/>
      <c r="E3310" s="434"/>
      <c r="F3310" s="434"/>
      <c r="G3310" s="434"/>
      <c r="H3310" s="434"/>
      <c r="I3310" s="434"/>
      <c r="J3310" s="434"/>
      <c r="M3310" s="351"/>
      <c r="N3310" s="351"/>
      <c r="O3310" s="351"/>
      <c r="R3310" s="348" t="str">
        <f t="shared" ref="R3310:R3319" si="254">R$3308</f>
        <v>DELETE</v>
      </c>
    </row>
    <row r="3311" spans="3:26" ht="36" customHeight="1" x14ac:dyDescent="0.5">
      <c r="C3311" s="353"/>
      <c r="D3311" s="433">
        <f>Criteria!E16</f>
        <v>0</v>
      </c>
      <c r="E3311" s="434"/>
      <c r="F3311" s="434"/>
      <c r="G3311" s="434"/>
      <c r="H3311" s="434"/>
      <c r="I3311" s="434"/>
      <c r="J3311" s="434"/>
      <c r="M3311" s="351"/>
      <c r="N3311" s="351"/>
      <c r="O3311" s="347"/>
      <c r="R3311" s="348" t="str">
        <f t="shared" si="254"/>
        <v>DELETE</v>
      </c>
    </row>
    <row r="3312" spans="3:26" ht="36" customHeight="1" x14ac:dyDescent="0.5">
      <c r="C3312" s="353"/>
      <c r="D3312" s="434"/>
      <c r="E3312" s="434"/>
      <c r="F3312" s="434"/>
      <c r="G3312" s="434"/>
      <c r="H3312" s="434"/>
      <c r="I3312" s="434"/>
      <c r="J3312" s="434"/>
      <c r="M3312" s="351"/>
      <c r="N3312" s="351"/>
      <c r="O3312" s="351"/>
      <c r="R3312" s="348" t="str">
        <f t="shared" si="254"/>
        <v>DELETE</v>
      </c>
    </row>
    <row r="3313" spans="3:24" ht="36" customHeight="1" x14ac:dyDescent="0.5">
      <c r="C3313" s="353"/>
      <c r="D3313" s="434"/>
      <c r="E3313" s="434"/>
      <c r="F3313" s="434"/>
      <c r="G3313" s="434"/>
      <c r="H3313" s="434"/>
      <c r="I3313" s="434"/>
      <c r="J3313" s="434"/>
      <c r="M3313" s="351"/>
      <c r="N3313" s="351"/>
      <c r="O3313" s="351"/>
      <c r="R3313" s="348" t="str">
        <f t="shared" si="254"/>
        <v>DELETE</v>
      </c>
    </row>
    <row r="3314" spans="3:24" ht="36" customHeight="1" x14ac:dyDescent="0.5">
      <c r="C3314" s="353"/>
      <c r="D3314" s="433" t="s">
        <v>86</v>
      </c>
      <c r="E3314" s="434"/>
      <c r="F3314" s="434"/>
      <c r="G3314" s="434"/>
      <c r="H3314" s="434"/>
      <c r="I3314" s="434"/>
      <c r="J3314" s="434"/>
      <c r="M3314" s="351"/>
      <c r="N3314" s="351"/>
      <c r="O3314" s="351"/>
      <c r="R3314" s="348" t="str">
        <f t="shared" si="254"/>
        <v>DELETE</v>
      </c>
    </row>
    <row r="3315" spans="3:24" ht="36" customHeight="1" x14ac:dyDescent="0.5">
      <c r="C3315" s="353"/>
      <c r="D3315" s="433" t="str">
        <f>Criteria!E20</f>
        <v>28 FEBRUARY 2025</v>
      </c>
      <c r="E3315" s="434"/>
      <c r="F3315" s="434"/>
      <c r="G3315" s="434"/>
      <c r="H3315" s="434"/>
      <c r="I3315" s="434"/>
      <c r="J3315" s="434"/>
      <c r="M3315" s="351"/>
      <c r="N3315" s="351"/>
      <c r="O3315" s="351"/>
      <c r="R3315" s="348" t="str">
        <f t="shared" si="254"/>
        <v>DELETE</v>
      </c>
    </row>
    <row r="3316" spans="3:24" ht="36" customHeight="1" x14ac:dyDescent="0.5">
      <c r="C3316" s="353"/>
      <c r="D3316" s="434"/>
      <c r="E3316" s="434"/>
      <c r="F3316" s="434"/>
      <c r="G3316" s="434"/>
      <c r="H3316" s="434"/>
      <c r="I3316" s="434"/>
      <c r="J3316" s="434"/>
      <c r="M3316" s="351"/>
      <c r="N3316" s="351"/>
      <c r="O3316" s="351"/>
      <c r="R3316" s="348" t="str">
        <f t="shared" si="254"/>
        <v>DELETE</v>
      </c>
    </row>
    <row r="3317" spans="3:24" ht="36" customHeight="1" x14ac:dyDescent="0.5">
      <c r="C3317" s="353"/>
      <c r="D3317" s="444"/>
      <c r="E3317" s="444"/>
      <c r="F3317" s="444"/>
      <c r="G3317" s="444"/>
      <c r="H3317" s="444"/>
      <c r="I3317" s="444"/>
      <c r="J3317" s="444"/>
      <c r="K3317" s="364"/>
      <c r="L3317" s="364"/>
      <c r="M3317" s="378"/>
      <c r="N3317" s="378"/>
      <c r="O3317" s="378"/>
      <c r="P3317" s="367"/>
      <c r="Q3317" s="364"/>
      <c r="R3317" s="348" t="str">
        <f t="shared" si="254"/>
        <v>DELETE</v>
      </c>
    </row>
    <row r="3318" spans="3:24" ht="36" customHeight="1" x14ac:dyDescent="0.5">
      <c r="C3318" s="353"/>
      <c r="D3318" s="434"/>
      <c r="E3318" s="434"/>
      <c r="F3318" s="434"/>
      <c r="G3318" s="434"/>
      <c r="H3318" s="434"/>
      <c r="I3318" s="434"/>
      <c r="J3318" s="449"/>
      <c r="K3318" s="292" t="s">
        <v>1041</v>
      </c>
      <c r="L3318" s="350"/>
      <c r="M3318" s="350"/>
      <c r="N3318" s="292"/>
      <c r="O3318" s="294">
        <f>Criteria!E22</f>
        <v>2025</v>
      </c>
      <c r="P3318" s="295"/>
      <c r="R3318" s="348" t="str">
        <f t="shared" si="254"/>
        <v>DELETE</v>
      </c>
    </row>
    <row r="3319" spans="3:24" ht="36" customHeight="1" x14ac:dyDescent="0.5">
      <c r="C3319" s="353"/>
      <c r="D3319" s="434"/>
      <c r="E3319" s="434"/>
      <c r="F3319" s="434"/>
      <c r="G3319" s="434"/>
      <c r="H3319" s="434"/>
      <c r="I3319" s="434"/>
      <c r="J3319" s="449"/>
      <c r="K3319" s="292"/>
      <c r="L3319" s="350"/>
      <c r="M3319" s="350"/>
      <c r="N3319" s="292"/>
      <c r="O3319" s="296"/>
      <c r="P3319" s="295"/>
      <c r="R3319" s="348" t="str">
        <f t="shared" si="254"/>
        <v>DELETE</v>
      </c>
    </row>
    <row r="3320" spans="3:24" ht="36" customHeight="1" x14ac:dyDescent="0.45">
      <c r="D3320" s="433" t="s">
        <v>836</v>
      </c>
      <c r="E3320" s="434"/>
      <c r="F3320" s="434"/>
      <c r="G3320" s="434"/>
      <c r="H3320" s="434"/>
      <c r="I3320" s="434"/>
      <c r="J3320" s="449"/>
      <c r="K3320" s="292"/>
      <c r="L3320" s="350"/>
      <c r="M3320" s="350"/>
      <c r="N3320" s="292"/>
      <c r="O3320" s="296">
        <f>-SUM(TrialBalanceC!I5:I10)</f>
        <v>0</v>
      </c>
      <c r="P3320" s="295"/>
      <c r="R3320" s="348" t="str">
        <f>IF(R3308="DELETE","DELETE",IF(O3320=0,IF(O3322=0," ","DELETE")," "))</f>
        <v>DELETE</v>
      </c>
      <c r="S3320" s="333">
        <f>O3320</f>
        <v>0</v>
      </c>
      <c r="T3320" s="333"/>
      <c r="U3320" s="333"/>
      <c r="V3320" s="333"/>
      <c r="W3320" s="333"/>
      <c r="X3320" s="333"/>
    </row>
    <row r="3321" spans="3:24" ht="36" customHeight="1" x14ac:dyDescent="0.45">
      <c r="D3321" s="433"/>
      <c r="E3321" s="434"/>
      <c r="F3321" s="434"/>
      <c r="G3321" s="434"/>
      <c r="H3321" s="434"/>
      <c r="I3321" s="434"/>
      <c r="J3321" s="449"/>
      <c r="K3321" s="292"/>
      <c r="L3321" s="350"/>
      <c r="M3321" s="350"/>
      <c r="N3321" s="292"/>
      <c r="O3321" s="296"/>
      <c r="P3321" s="295"/>
      <c r="R3321" s="348" t="str">
        <f>R3320</f>
        <v>DELETE</v>
      </c>
      <c r="S3321" s="333"/>
      <c r="T3321" s="333"/>
      <c r="U3321" s="333"/>
      <c r="V3321" s="333"/>
      <c r="W3321" s="333"/>
      <c r="X3321" s="333"/>
    </row>
    <row r="3322" spans="3:24" ht="36" customHeight="1" x14ac:dyDescent="0.45">
      <c r="D3322" s="433" t="s">
        <v>334</v>
      </c>
      <c r="E3322" s="434"/>
      <c r="F3322" s="434"/>
      <c r="G3322" s="434"/>
      <c r="H3322" s="434"/>
      <c r="I3322" s="434"/>
      <c r="J3322" s="449"/>
      <c r="K3322" s="292"/>
      <c r="L3322" s="350"/>
      <c r="M3322" s="350"/>
      <c r="N3322" s="292"/>
      <c r="O3322" s="296">
        <f>-TrialBalanceC!I11</f>
        <v>0</v>
      </c>
      <c r="P3322" s="295"/>
      <c r="R3322" s="348" t="str">
        <f>IF(R3308="DELETE","DELETE",IF(O3322=0,"DELETE"," "))</f>
        <v>DELETE</v>
      </c>
      <c r="S3322" s="333">
        <f>O3322</f>
        <v>0</v>
      </c>
      <c r="T3322" s="333"/>
      <c r="U3322" s="333"/>
      <c r="V3322" s="333"/>
      <c r="W3322" s="333"/>
      <c r="X3322" s="333"/>
    </row>
    <row r="3323" spans="3:24" ht="36" customHeight="1" x14ac:dyDescent="0.45">
      <c r="D3323" s="433"/>
      <c r="E3323" s="434"/>
      <c r="F3323" s="434"/>
      <c r="G3323" s="434"/>
      <c r="H3323" s="434"/>
      <c r="I3323" s="434"/>
      <c r="J3323" s="449"/>
      <c r="K3323" s="292"/>
      <c r="L3323" s="350"/>
      <c r="M3323" s="350"/>
      <c r="N3323" s="292"/>
      <c r="O3323" s="296"/>
      <c r="P3323" s="295"/>
      <c r="R3323" s="348" t="str">
        <f>R3322</f>
        <v>DELETE</v>
      </c>
    </row>
    <row r="3324" spans="3:24" ht="36" customHeight="1" x14ac:dyDescent="0.45">
      <c r="D3324" s="433" t="s">
        <v>1074</v>
      </c>
      <c r="E3324" s="434"/>
      <c r="F3324" s="434"/>
      <c r="G3324" s="434"/>
      <c r="H3324" s="434"/>
      <c r="I3324" s="434"/>
      <c r="J3324" s="449"/>
      <c r="K3324" s="292"/>
      <c r="L3324" s="350"/>
      <c r="M3324" s="350"/>
      <c r="N3324" s="292"/>
      <c r="O3324" s="296">
        <f>SUM(O3327:O3334)</f>
        <v>0</v>
      </c>
      <c r="P3324" s="295"/>
      <c r="R3324" s="348" t="str">
        <f>IF(R$3308="DELETE","DELETE",IF(O3324=0,"DELETE"," "))</f>
        <v>DELETE</v>
      </c>
      <c r="S3324" s="333">
        <f>-O3324</f>
        <v>0</v>
      </c>
      <c r="T3324" s="333"/>
      <c r="U3324" s="333"/>
      <c r="V3324" s="333"/>
      <c r="W3324" s="333"/>
      <c r="X3324" s="333"/>
    </row>
    <row r="3325" spans="3:24" ht="9" customHeight="1" x14ac:dyDescent="0.45">
      <c r="C3325" s="397"/>
      <c r="D3325" s="434"/>
      <c r="E3325" s="434"/>
      <c r="F3325" s="434"/>
      <c r="G3325" s="434"/>
      <c r="H3325" s="434"/>
      <c r="I3325" s="434"/>
      <c r="J3325" s="449"/>
      <c r="K3325" s="292"/>
      <c r="L3325" s="350"/>
      <c r="M3325" s="350"/>
      <c r="N3325" s="292"/>
      <c r="O3325" s="296"/>
      <c r="P3325" s="295"/>
      <c r="R3325" s="348" t="str">
        <f>R3324</f>
        <v>DELETE</v>
      </c>
    </row>
    <row r="3326" spans="3:24" ht="9" customHeight="1" x14ac:dyDescent="0.45">
      <c r="C3326" s="397"/>
      <c r="D3326" s="434"/>
      <c r="E3326" s="434"/>
      <c r="F3326" s="434"/>
      <c r="G3326" s="434"/>
      <c r="H3326" s="434"/>
      <c r="I3326" s="434"/>
      <c r="J3326" s="449"/>
      <c r="K3326" s="292"/>
      <c r="L3326" s="350"/>
      <c r="M3326" s="350"/>
      <c r="N3326" s="292"/>
      <c r="O3326" s="407"/>
      <c r="P3326" s="295"/>
      <c r="R3326" s="348" t="str">
        <f>R3325</f>
        <v>DELETE</v>
      </c>
    </row>
    <row r="3327" spans="3:24" ht="36" customHeight="1" x14ac:dyDescent="0.45">
      <c r="C3327" s="397"/>
      <c r="D3327" s="434" t="s">
        <v>492</v>
      </c>
      <c r="E3327" s="434"/>
      <c r="F3327" s="434"/>
      <c r="G3327" s="434"/>
      <c r="H3327" s="434"/>
      <c r="I3327" s="434"/>
      <c r="J3327" s="449"/>
      <c r="K3327" s="292"/>
      <c r="L3327" s="350"/>
      <c r="M3327" s="350"/>
      <c r="N3327" s="292"/>
      <c r="O3327" s="408">
        <f>SUM(TrialBalanceC!I13:I16)</f>
        <v>0</v>
      </c>
      <c r="P3327" s="295"/>
      <c r="R3327" s="348" t="str">
        <f t="shared" ref="R3327:R3334" si="255">IF(R$3308="DELETE","DELETE",IF(O3327=0,"DELETE"," "))</f>
        <v>DELETE</v>
      </c>
    </row>
    <row r="3328" spans="3:24" ht="36" customHeight="1" x14ac:dyDescent="0.45">
      <c r="C3328" s="397"/>
      <c r="D3328" s="434" t="s">
        <v>249</v>
      </c>
      <c r="E3328" s="434"/>
      <c r="F3328" s="434"/>
      <c r="G3328" s="434"/>
      <c r="H3328" s="434"/>
      <c r="I3328" s="434"/>
      <c r="J3328" s="449"/>
      <c r="K3328" s="292"/>
      <c r="L3328" s="350"/>
      <c r="M3328" s="350"/>
      <c r="N3328" s="292"/>
      <c r="O3328" s="408">
        <f>TrialBalanceC!I17</f>
        <v>0</v>
      </c>
      <c r="P3328" s="295"/>
      <c r="R3328" s="348" t="str">
        <f t="shared" si="255"/>
        <v>DELETE</v>
      </c>
    </row>
    <row r="3329" spans="3:21" ht="36" customHeight="1" x14ac:dyDescent="0.45">
      <c r="C3329" s="397"/>
      <c r="D3329" s="434">
        <f>TrialBalanceC!C18</f>
        <v>0</v>
      </c>
      <c r="E3329" s="434"/>
      <c r="F3329" s="434"/>
      <c r="G3329" s="434"/>
      <c r="H3329" s="434"/>
      <c r="I3329" s="434"/>
      <c r="J3329" s="449"/>
      <c r="K3329" s="292"/>
      <c r="L3329" s="350"/>
      <c r="M3329" s="350"/>
      <c r="N3329" s="292"/>
      <c r="O3329" s="408">
        <f>TrialBalanceC!I18</f>
        <v>0</v>
      </c>
      <c r="P3329" s="295"/>
      <c r="R3329" s="348" t="str">
        <f t="shared" si="255"/>
        <v>DELETE</v>
      </c>
    </row>
    <row r="3330" spans="3:21" ht="36" customHeight="1" x14ac:dyDescent="0.45">
      <c r="C3330" s="397"/>
      <c r="D3330" s="434">
        <f>TrialBalanceC!C19</f>
        <v>0</v>
      </c>
      <c r="E3330" s="434"/>
      <c r="F3330" s="434"/>
      <c r="G3330" s="434"/>
      <c r="H3330" s="434"/>
      <c r="I3330" s="434"/>
      <c r="J3330" s="449"/>
      <c r="K3330" s="292"/>
      <c r="L3330" s="350"/>
      <c r="M3330" s="350"/>
      <c r="N3330" s="292"/>
      <c r="O3330" s="408">
        <f>TrialBalanceC!I19</f>
        <v>0</v>
      </c>
      <c r="P3330" s="295"/>
      <c r="R3330" s="348" t="str">
        <f t="shared" si="255"/>
        <v>DELETE</v>
      </c>
    </row>
    <row r="3331" spans="3:21" ht="36" customHeight="1" x14ac:dyDescent="0.45">
      <c r="C3331" s="397"/>
      <c r="D3331" s="434">
        <f>TrialBalanceC!C20</f>
        <v>0</v>
      </c>
      <c r="E3331" s="434"/>
      <c r="F3331" s="434"/>
      <c r="G3331" s="434"/>
      <c r="H3331" s="434"/>
      <c r="I3331" s="434"/>
      <c r="J3331" s="449"/>
      <c r="K3331" s="292"/>
      <c r="L3331" s="350"/>
      <c r="M3331" s="350"/>
      <c r="N3331" s="292"/>
      <c r="O3331" s="408">
        <f>TrialBalanceC!I20</f>
        <v>0</v>
      </c>
      <c r="P3331" s="295"/>
      <c r="R3331" s="348" t="str">
        <f t="shared" si="255"/>
        <v>DELETE</v>
      </c>
    </row>
    <row r="3332" spans="3:21" ht="36" customHeight="1" x14ac:dyDescent="0.45">
      <c r="C3332" s="397"/>
      <c r="D3332" s="434">
        <f>TrialBalanceC!C21</f>
        <v>0</v>
      </c>
      <c r="E3332" s="434"/>
      <c r="F3332" s="434"/>
      <c r="G3332" s="434"/>
      <c r="H3332" s="434"/>
      <c r="I3332" s="434"/>
      <c r="J3332" s="449"/>
      <c r="K3332" s="292"/>
      <c r="L3332" s="350"/>
      <c r="M3332" s="350"/>
      <c r="N3332" s="292"/>
      <c r="O3332" s="408">
        <f>TrialBalanceC!I21</f>
        <v>0</v>
      </c>
      <c r="P3332" s="295"/>
      <c r="R3332" s="348" t="str">
        <f t="shared" si="255"/>
        <v>DELETE</v>
      </c>
    </row>
    <row r="3333" spans="3:21" ht="36" customHeight="1" x14ac:dyDescent="0.45">
      <c r="C3333" s="397"/>
      <c r="D3333" s="434">
        <f>TrialBalanceC!C22</f>
        <v>0</v>
      </c>
      <c r="E3333" s="434"/>
      <c r="F3333" s="434"/>
      <c r="G3333" s="434"/>
      <c r="H3333" s="434"/>
      <c r="I3333" s="434"/>
      <c r="J3333" s="449"/>
      <c r="K3333" s="292"/>
      <c r="L3333" s="350"/>
      <c r="M3333" s="350"/>
      <c r="N3333" s="292"/>
      <c r="O3333" s="408">
        <f>TrialBalanceC!I22</f>
        <v>0</v>
      </c>
      <c r="P3333" s="295"/>
      <c r="R3333" s="348" t="str">
        <f t="shared" si="255"/>
        <v>DELETE</v>
      </c>
    </row>
    <row r="3334" spans="3:21" ht="36" customHeight="1" x14ac:dyDescent="0.45">
      <c r="C3334" s="397"/>
      <c r="D3334" s="434" t="s">
        <v>493</v>
      </c>
      <c r="E3334" s="434"/>
      <c r="F3334" s="434"/>
      <c r="G3334" s="434"/>
      <c r="H3334" s="434"/>
      <c r="I3334" s="434"/>
      <c r="J3334" s="449"/>
      <c r="K3334" s="292"/>
      <c r="L3334" s="350"/>
      <c r="M3334" s="350"/>
      <c r="N3334" s="292"/>
      <c r="O3334" s="408">
        <f>SUM(TrialBalanceC!I23:I26)</f>
        <v>0</v>
      </c>
      <c r="P3334" s="295"/>
      <c r="R3334" s="348" t="str">
        <f t="shared" si="255"/>
        <v>DELETE</v>
      </c>
    </row>
    <row r="3335" spans="3:21" ht="9" customHeight="1" x14ac:dyDescent="0.45">
      <c r="C3335" s="397"/>
      <c r="D3335" s="434"/>
      <c r="E3335" s="434"/>
      <c r="F3335" s="434"/>
      <c r="G3335" s="434"/>
      <c r="H3335" s="434"/>
      <c r="I3335" s="434"/>
      <c r="J3335" s="449"/>
      <c r="K3335" s="292"/>
      <c r="L3335" s="350"/>
      <c r="M3335" s="350"/>
      <c r="N3335" s="292"/>
      <c r="O3335" s="409"/>
      <c r="P3335" s="295"/>
      <c r="R3335" s="348" t="str">
        <f>R3324</f>
        <v>DELETE</v>
      </c>
    </row>
    <row r="3336" spans="3:21" ht="9" customHeight="1" x14ac:dyDescent="0.45">
      <c r="C3336" s="397"/>
      <c r="D3336" s="434"/>
      <c r="E3336" s="434"/>
      <c r="F3336" s="434"/>
      <c r="G3336" s="434"/>
      <c r="H3336" s="434"/>
      <c r="I3336" s="434"/>
      <c r="J3336" s="449"/>
      <c r="K3336" s="292"/>
      <c r="L3336" s="350"/>
      <c r="M3336" s="350"/>
      <c r="N3336" s="292"/>
      <c r="O3336" s="298"/>
      <c r="P3336" s="295"/>
      <c r="R3336" s="348" t="str">
        <f>R3324</f>
        <v>DELETE</v>
      </c>
    </row>
    <row r="3337" spans="3:21" ht="9" customHeight="1" x14ac:dyDescent="0.45">
      <c r="C3337" s="397"/>
      <c r="D3337" s="434"/>
      <c r="E3337" s="434"/>
      <c r="F3337" s="434"/>
      <c r="G3337" s="434"/>
      <c r="H3337" s="434"/>
      <c r="I3337" s="434"/>
      <c r="J3337" s="449"/>
      <c r="K3337" s="292"/>
      <c r="L3337" s="350"/>
      <c r="M3337" s="350"/>
      <c r="N3337" s="292"/>
      <c r="O3337" s="296"/>
      <c r="P3337" s="295"/>
      <c r="R3337" s="348" t="str">
        <f>R3336</f>
        <v>DELETE</v>
      </c>
    </row>
    <row r="3338" spans="3:21" ht="36" customHeight="1" x14ac:dyDescent="0.45">
      <c r="D3338" s="446" t="str">
        <f>IF(O3338&lt;0,"Gross loss","Gross profit")</f>
        <v>Gross profit</v>
      </c>
      <c r="E3338" s="434"/>
      <c r="F3338" s="434"/>
      <c r="G3338" s="434"/>
      <c r="H3338" s="434"/>
      <c r="I3338" s="434"/>
      <c r="J3338" s="449"/>
      <c r="K3338" s="292"/>
      <c r="L3338" s="350"/>
      <c r="M3338" s="350"/>
      <c r="N3338" s="292"/>
      <c r="O3338" s="296">
        <f>SUM(S3320:S3335)</f>
        <v>0</v>
      </c>
      <c r="P3338" s="295"/>
      <c r="R3338" s="348" t="str">
        <f>R3337</f>
        <v>DELETE</v>
      </c>
    </row>
    <row r="3339" spans="3:21" ht="36" customHeight="1" x14ac:dyDescent="0.45">
      <c r="C3339" s="397"/>
      <c r="D3339" s="434"/>
      <c r="E3339" s="434"/>
      <c r="F3339" s="434"/>
      <c r="G3339" s="434"/>
      <c r="H3339" s="434"/>
      <c r="I3339" s="434"/>
      <c r="J3339" s="449"/>
      <c r="K3339" s="292"/>
      <c r="L3339" s="350"/>
      <c r="M3339" s="350"/>
      <c r="N3339" s="292"/>
      <c r="O3339" s="296"/>
      <c r="P3339" s="295"/>
      <c r="R3339" s="348" t="str">
        <f>R3338</f>
        <v>DELETE</v>
      </c>
    </row>
    <row r="3340" spans="3:21" ht="36" customHeight="1" x14ac:dyDescent="0.45">
      <c r="D3340" s="433" t="s">
        <v>1037</v>
      </c>
      <c r="E3340" s="434"/>
      <c r="F3340" s="434"/>
      <c r="G3340" s="434"/>
      <c r="H3340" s="434"/>
      <c r="I3340" s="434"/>
      <c r="J3340" s="449"/>
      <c r="K3340" s="292"/>
      <c r="L3340" s="350"/>
      <c r="M3340" s="350"/>
      <c r="N3340" s="292"/>
      <c r="O3340" s="296">
        <f>SUM(O3342:O3349)</f>
        <v>0</v>
      </c>
      <c r="P3340" s="295"/>
      <c r="R3340" s="348" t="str">
        <f t="shared" ref="R3340" si="256">IF(R$3308="DELETE","DELETE",IF(O3340=0,"DELETE"," "))</f>
        <v>DELETE</v>
      </c>
      <c r="S3340" s="333">
        <f>O3340</f>
        <v>0</v>
      </c>
      <c r="T3340" s="333"/>
      <c r="U3340" s="333"/>
    </row>
    <row r="3341" spans="3:21" ht="9" customHeight="1" x14ac:dyDescent="0.45">
      <c r="C3341" s="397"/>
      <c r="D3341" s="434"/>
      <c r="E3341" s="434"/>
      <c r="F3341" s="434"/>
      <c r="G3341" s="434"/>
      <c r="H3341" s="434"/>
      <c r="I3341" s="434"/>
      <c r="J3341" s="449"/>
      <c r="K3341" s="292"/>
      <c r="L3341" s="350"/>
      <c r="M3341" s="350"/>
      <c r="N3341" s="292"/>
      <c r="O3341" s="296"/>
      <c r="P3341" s="295"/>
      <c r="R3341" s="348" t="str">
        <f>R3340</f>
        <v>DELETE</v>
      </c>
    </row>
    <row r="3342" spans="3:21" ht="9" customHeight="1" x14ac:dyDescent="0.45">
      <c r="C3342" s="397"/>
      <c r="D3342" s="434"/>
      <c r="E3342" s="434"/>
      <c r="F3342" s="434"/>
      <c r="G3342" s="434"/>
      <c r="H3342" s="434"/>
      <c r="I3342" s="434"/>
      <c r="J3342" s="449"/>
      <c r="K3342" s="292"/>
      <c r="L3342" s="350"/>
      <c r="M3342" s="350"/>
      <c r="N3342" s="292"/>
      <c r="O3342" s="407"/>
      <c r="P3342" s="295"/>
      <c r="R3342" s="348" t="str">
        <f>R3340</f>
        <v>DELETE</v>
      </c>
    </row>
    <row r="3343" spans="3:21" ht="36" customHeight="1" x14ac:dyDescent="0.45">
      <c r="C3343" s="397"/>
      <c r="D3343" s="434" t="str">
        <f>TrialBalanceC!C28</f>
        <v xml:space="preserve">Insurance claims - </v>
      </c>
      <c r="E3343" s="434"/>
      <c r="F3343" s="434"/>
      <c r="G3343" s="434"/>
      <c r="H3343" s="434"/>
      <c r="I3343" s="434"/>
      <c r="J3343" s="449"/>
      <c r="K3343" s="292"/>
      <c r="L3343" s="350"/>
      <c r="M3343" s="350"/>
      <c r="N3343" s="292"/>
      <c r="O3343" s="408">
        <f>-TrialBalanceC!I28</f>
        <v>0</v>
      </c>
      <c r="P3343" s="295"/>
      <c r="R3343" s="348" t="str">
        <f t="shared" ref="R3343:R3347" si="257">IF(R$3308="DELETE","DELETE",IF(O3343=0,"DELETE"," "))</f>
        <v>DELETE</v>
      </c>
    </row>
    <row r="3344" spans="3:21" ht="36" customHeight="1" x14ac:dyDescent="0.45">
      <c r="C3344" s="397"/>
      <c r="D3344" s="434" t="str">
        <f>TrialBalanceC!C29</f>
        <v>Government grants received</v>
      </c>
      <c r="E3344" s="434"/>
      <c r="F3344" s="434"/>
      <c r="G3344" s="434"/>
      <c r="H3344" s="434"/>
      <c r="I3344" s="434"/>
      <c r="J3344" s="449"/>
      <c r="K3344" s="292"/>
      <c r="L3344" s="350"/>
      <c r="M3344" s="350"/>
      <c r="N3344" s="292"/>
      <c r="O3344" s="408">
        <f>-TrialBalanceC!I29</f>
        <v>0</v>
      </c>
      <c r="P3344" s="295"/>
      <c r="R3344" s="348" t="str">
        <f t="shared" si="257"/>
        <v>DELETE</v>
      </c>
    </row>
    <row r="3345" spans="3:24" ht="36" customHeight="1" x14ac:dyDescent="0.45">
      <c r="C3345" s="397"/>
      <c r="D3345" s="434">
        <f>TrialBalanceC!C30</f>
        <v>0</v>
      </c>
      <c r="E3345" s="434"/>
      <c r="F3345" s="434"/>
      <c r="G3345" s="434"/>
      <c r="H3345" s="434"/>
      <c r="I3345" s="434"/>
      <c r="J3345" s="449"/>
      <c r="K3345" s="292"/>
      <c r="L3345" s="350"/>
      <c r="M3345" s="350"/>
      <c r="N3345" s="292"/>
      <c r="O3345" s="408">
        <f>-TrialBalanceC!I30</f>
        <v>0</v>
      </c>
      <c r="P3345" s="295"/>
      <c r="R3345" s="348" t="str">
        <f t="shared" si="257"/>
        <v>DELETE</v>
      </c>
    </row>
    <row r="3346" spans="3:24" ht="36" customHeight="1" x14ac:dyDescent="0.45">
      <c r="C3346" s="397"/>
      <c r="D3346" s="434">
        <f>TrialBalanceC!C31</f>
        <v>0</v>
      </c>
      <c r="E3346" s="434"/>
      <c r="F3346" s="434"/>
      <c r="G3346" s="434"/>
      <c r="H3346" s="434"/>
      <c r="I3346" s="434"/>
      <c r="J3346" s="449"/>
      <c r="K3346" s="292"/>
      <c r="L3346" s="350"/>
      <c r="M3346" s="350"/>
      <c r="N3346" s="292"/>
      <c r="O3346" s="408">
        <f>-TrialBalanceC!I31</f>
        <v>0</v>
      </c>
      <c r="P3346" s="295"/>
      <c r="R3346" s="348" t="str">
        <f t="shared" si="257"/>
        <v>DELETE</v>
      </c>
    </row>
    <row r="3347" spans="3:24" ht="36" customHeight="1" x14ac:dyDescent="0.45">
      <c r="C3347" s="397"/>
      <c r="D3347" s="434">
        <f>TrialBalanceC!C32</f>
        <v>0</v>
      </c>
      <c r="E3347" s="434"/>
      <c r="F3347" s="434"/>
      <c r="G3347" s="434"/>
      <c r="H3347" s="434"/>
      <c r="I3347" s="434"/>
      <c r="J3347" s="449"/>
      <c r="K3347" s="292"/>
      <c r="L3347" s="350"/>
      <c r="M3347" s="350"/>
      <c r="N3347" s="292"/>
      <c r="O3347" s="408">
        <f>-TrialBalanceC!I32</f>
        <v>0</v>
      </c>
      <c r="P3347" s="295"/>
      <c r="R3347" s="348" t="str">
        <f t="shared" si="257"/>
        <v>DELETE</v>
      </c>
    </row>
    <row r="3348" spans="3:24" ht="36" customHeight="1" x14ac:dyDescent="0.45">
      <c r="C3348" s="397"/>
      <c r="D3348" s="434" t="str">
        <f>TrialBalanceC!C33</f>
        <v>Recoupment of depreciation</v>
      </c>
      <c r="E3348" s="434"/>
      <c r="F3348" s="434"/>
      <c r="G3348" s="434"/>
      <c r="H3348" s="434"/>
      <c r="I3348" s="434"/>
      <c r="J3348" s="449"/>
      <c r="K3348" s="292"/>
      <c r="L3348" s="350"/>
      <c r="M3348" s="350"/>
      <c r="N3348" s="292"/>
      <c r="O3348" s="408">
        <f>-TrialBalanceC!I33</f>
        <v>0</v>
      </c>
      <c r="P3348" s="295"/>
      <c r="R3348" s="348" t="str">
        <f t="shared" ref="R3348" si="258">IF(R$3308="DELETE","DELETE",IF(O3348=0,"DELETE"," "))</f>
        <v>DELETE</v>
      </c>
    </row>
    <row r="3349" spans="3:24" ht="9" customHeight="1" x14ac:dyDescent="0.45">
      <c r="C3349" s="397"/>
      <c r="D3349" s="434"/>
      <c r="E3349" s="434"/>
      <c r="F3349" s="434"/>
      <c r="G3349" s="434"/>
      <c r="H3349" s="434"/>
      <c r="I3349" s="434"/>
      <c r="J3349" s="449"/>
      <c r="K3349" s="292"/>
      <c r="L3349" s="350"/>
      <c r="M3349" s="350"/>
      <c r="N3349" s="292"/>
      <c r="O3349" s="409"/>
      <c r="P3349" s="295"/>
      <c r="R3349" s="348" t="str">
        <f>R3340</f>
        <v>DELETE</v>
      </c>
    </row>
    <row r="3350" spans="3:24" ht="9" customHeight="1" x14ac:dyDescent="0.45">
      <c r="C3350" s="397"/>
      <c r="D3350" s="434"/>
      <c r="E3350" s="434"/>
      <c r="F3350" s="434"/>
      <c r="G3350" s="434"/>
      <c r="H3350" s="434"/>
      <c r="I3350" s="434"/>
      <c r="J3350" s="449"/>
      <c r="K3350" s="292"/>
      <c r="L3350" s="350"/>
      <c r="M3350" s="350"/>
      <c r="N3350" s="292"/>
      <c r="O3350" s="314"/>
      <c r="P3350" s="295"/>
      <c r="R3350" s="348" t="str">
        <f>R3349</f>
        <v>DELETE</v>
      </c>
    </row>
    <row r="3351" spans="3:24" ht="9" customHeight="1" x14ac:dyDescent="0.45">
      <c r="C3351" s="397"/>
      <c r="D3351" s="434"/>
      <c r="E3351" s="434"/>
      <c r="F3351" s="434"/>
      <c r="G3351" s="434"/>
      <c r="H3351" s="434"/>
      <c r="I3351" s="434"/>
      <c r="J3351" s="449"/>
      <c r="K3351" s="292"/>
      <c r="L3351" s="350"/>
      <c r="M3351" s="350"/>
      <c r="N3351" s="292"/>
      <c r="O3351" s="296"/>
      <c r="P3351" s="295"/>
      <c r="R3351" s="348" t="str">
        <f>R3350</f>
        <v>DELETE</v>
      </c>
    </row>
    <row r="3352" spans="3:24" ht="36" customHeight="1" x14ac:dyDescent="0.45">
      <c r="C3352" s="397"/>
      <c r="D3352" s="434"/>
      <c r="E3352" s="434"/>
      <c r="F3352" s="434"/>
      <c r="G3352" s="434"/>
      <c r="H3352" s="434"/>
      <c r="I3352" s="434"/>
      <c r="J3352" s="449"/>
      <c r="K3352" s="292"/>
      <c r="L3352" s="350"/>
      <c r="M3352" s="350"/>
      <c r="N3352" s="292"/>
      <c r="O3352" s="296">
        <f>SUM(S3320:S3340)</f>
        <v>0</v>
      </c>
      <c r="P3352" s="295"/>
      <c r="R3352" s="348" t="str">
        <f>R3340</f>
        <v>DELETE</v>
      </c>
    </row>
    <row r="3353" spans="3:24" ht="36" customHeight="1" x14ac:dyDescent="0.45">
      <c r="C3353" s="397"/>
      <c r="D3353" s="434"/>
      <c r="E3353" s="434"/>
      <c r="F3353" s="434"/>
      <c r="G3353" s="434"/>
      <c r="H3353" s="434"/>
      <c r="I3353" s="434"/>
      <c r="J3353" s="449"/>
      <c r="K3353" s="292"/>
      <c r="L3353" s="350"/>
      <c r="M3353" s="350"/>
      <c r="N3353" s="292"/>
      <c r="O3353" s="296"/>
      <c r="P3353" s="295"/>
      <c r="R3353" s="348" t="str">
        <f>R3352</f>
        <v>DELETE</v>
      </c>
    </row>
    <row r="3354" spans="3:24" ht="36" customHeight="1" x14ac:dyDescent="0.45">
      <c r="D3354" s="433" t="s">
        <v>1075</v>
      </c>
      <c r="E3354" s="434"/>
      <c r="F3354" s="434"/>
      <c r="G3354" s="434"/>
      <c r="H3354" s="434"/>
      <c r="I3354" s="434"/>
      <c r="J3354" s="449"/>
      <c r="K3354" s="292"/>
      <c r="L3354" s="350"/>
      <c r="M3354" s="350"/>
      <c r="N3354" s="292"/>
      <c r="O3354" s="296">
        <f>SUM(O3356:O3385)</f>
        <v>0</v>
      </c>
      <c r="P3354" s="295"/>
      <c r="R3354" s="348" t="str">
        <f t="shared" ref="R3354" si="259">IF(R$3308="DELETE","DELETE",IF(O3354=0,"DELETE"," "))</f>
        <v>DELETE</v>
      </c>
      <c r="S3354" s="333">
        <f>-O3354</f>
        <v>0</v>
      </c>
      <c r="T3354" s="333"/>
      <c r="U3354" s="333"/>
      <c r="V3354" s="333"/>
      <c r="W3354" s="333"/>
      <c r="X3354" s="333"/>
    </row>
    <row r="3355" spans="3:24" ht="9" customHeight="1" x14ac:dyDescent="0.45">
      <c r="C3355" s="397"/>
      <c r="D3355" s="434"/>
      <c r="E3355" s="434"/>
      <c r="F3355" s="434"/>
      <c r="G3355" s="434"/>
      <c r="H3355" s="434"/>
      <c r="I3355" s="434"/>
      <c r="J3355" s="449"/>
      <c r="K3355" s="292"/>
      <c r="L3355" s="350"/>
      <c r="M3355" s="350"/>
      <c r="N3355" s="292"/>
      <c r="O3355" s="296"/>
      <c r="P3355" s="295"/>
      <c r="R3355" s="348" t="str">
        <f>R3354</f>
        <v>DELETE</v>
      </c>
    </row>
    <row r="3356" spans="3:24" ht="9" customHeight="1" x14ac:dyDescent="0.45">
      <c r="C3356" s="397"/>
      <c r="D3356" s="434"/>
      <c r="E3356" s="434"/>
      <c r="F3356" s="434"/>
      <c r="G3356" s="434"/>
      <c r="H3356" s="434"/>
      <c r="I3356" s="434"/>
      <c r="J3356" s="449"/>
      <c r="K3356" s="292"/>
      <c r="L3356" s="350"/>
      <c r="M3356" s="350"/>
      <c r="N3356" s="292"/>
      <c r="O3356" s="407"/>
      <c r="P3356" s="295"/>
      <c r="R3356" s="348" t="str">
        <f>R3355</f>
        <v>DELETE</v>
      </c>
    </row>
    <row r="3357" spans="3:24" ht="36" customHeight="1" x14ac:dyDescent="0.45">
      <c r="C3357" s="397"/>
      <c r="D3357" s="434" t="s">
        <v>250</v>
      </c>
      <c r="E3357" s="434"/>
      <c r="F3357" s="434"/>
      <c r="G3357" s="434"/>
      <c r="H3357" s="434"/>
      <c r="I3357" s="434"/>
      <c r="J3357" s="449"/>
      <c r="K3357" s="292"/>
      <c r="L3357" s="350"/>
      <c r="M3357" s="350"/>
      <c r="N3357" s="292"/>
      <c r="O3357" s="408">
        <f>TrialBalanceC!I40</f>
        <v>0</v>
      </c>
      <c r="P3357" s="295"/>
      <c r="R3357" s="348" t="str">
        <f t="shared" ref="R3357:R3384" si="260">IF(R$3308="DELETE","DELETE",IF(O3357=0,"DELETE"," "))</f>
        <v>DELETE</v>
      </c>
    </row>
    <row r="3358" spans="3:24" ht="36" customHeight="1" x14ac:dyDescent="0.45">
      <c r="C3358" s="397"/>
      <c r="D3358" s="434" t="s">
        <v>658</v>
      </c>
      <c r="E3358" s="434"/>
      <c r="F3358" s="434"/>
      <c r="G3358" s="434"/>
      <c r="H3358" s="434"/>
      <c r="I3358" s="434"/>
      <c r="J3358" s="449"/>
      <c r="K3358" s="292"/>
      <c r="L3358" s="350"/>
      <c r="M3358" s="350"/>
      <c r="N3358" s="292"/>
      <c r="O3358" s="408">
        <f>TrialBalanceC!I41</f>
        <v>0</v>
      </c>
      <c r="P3358" s="295"/>
      <c r="R3358" s="348" t="str">
        <f t="shared" si="260"/>
        <v>DELETE</v>
      </c>
    </row>
    <row r="3359" spans="3:24" ht="36" customHeight="1" x14ac:dyDescent="0.45">
      <c r="C3359" s="397"/>
      <c r="D3359" s="434" t="s">
        <v>251</v>
      </c>
      <c r="E3359" s="434"/>
      <c r="F3359" s="434"/>
      <c r="G3359" s="434"/>
      <c r="H3359" s="434"/>
      <c r="I3359" s="434"/>
      <c r="J3359" s="449"/>
      <c r="K3359" s="292"/>
      <c r="L3359" s="350"/>
      <c r="M3359" s="350"/>
      <c r="N3359" s="292"/>
      <c r="O3359" s="408">
        <f>TrialBalanceC!I42</f>
        <v>0</v>
      </c>
      <c r="P3359" s="295"/>
      <c r="R3359" s="348" t="str">
        <f t="shared" si="260"/>
        <v>DELETE</v>
      </c>
    </row>
    <row r="3360" spans="3:24" ht="36" customHeight="1" x14ac:dyDescent="0.45">
      <c r="C3360" s="397"/>
      <c r="D3360" s="434" t="s">
        <v>252</v>
      </c>
      <c r="E3360" s="434"/>
      <c r="F3360" s="434"/>
      <c r="G3360" s="434"/>
      <c r="H3360" s="434"/>
      <c r="I3360" s="434"/>
      <c r="J3360" s="449"/>
      <c r="K3360" s="292">
        <f>B$958</f>
        <v>5</v>
      </c>
      <c r="L3360" s="350"/>
      <c r="M3360" s="350"/>
      <c r="N3360" s="292"/>
      <c r="O3360" s="408">
        <f>SUM(TrialBalanceC!I44:I46)</f>
        <v>0</v>
      </c>
      <c r="P3360" s="295"/>
      <c r="R3360" s="348" t="str">
        <f t="shared" si="260"/>
        <v>DELETE</v>
      </c>
    </row>
    <row r="3361" spans="3:24" ht="36" customHeight="1" x14ac:dyDescent="0.45">
      <c r="C3361" s="397"/>
      <c r="D3361" s="434" t="s">
        <v>494</v>
      </c>
      <c r="E3361" s="434"/>
      <c r="F3361" s="434"/>
      <c r="G3361" s="434"/>
      <c r="H3361" s="434"/>
      <c r="I3361" s="434"/>
      <c r="J3361" s="449"/>
      <c r="K3361" s="292"/>
      <c r="L3361" s="350"/>
      <c r="M3361" s="350"/>
      <c r="N3361" s="292"/>
      <c r="O3361" s="408">
        <f>TrialBalanceC!I47</f>
        <v>0</v>
      </c>
      <c r="P3361" s="295"/>
      <c r="R3361" s="348" t="str">
        <f t="shared" si="260"/>
        <v>DELETE</v>
      </c>
      <c r="S3361" s="336"/>
      <c r="T3361" s="336"/>
      <c r="U3361" s="336"/>
      <c r="V3361" s="336"/>
      <c r="W3361" s="336"/>
      <c r="X3361" s="336"/>
    </row>
    <row r="3362" spans="3:24" ht="36" customHeight="1" x14ac:dyDescent="0.45">
      <c r="C3362" s="397"/>
      <c r="D3362" s="434" t="s">
        <v>678</v>
      </c>
      <c r="E3362" s="434"/>
      <c r="F3362" s="434"/>
      <c r="G3362" s="434"/>
      <c r="H3362" s="434"/>
      <c r="I3362" s="434"/>
      <c r="J3362" s="449"/>
      <c r="K3362" s="292"/>
      <c r="L3362" s="350"/>
      <c r="M3362" s="350"/>
      <c r="N3362" s="292"/>
      <c r="O3362" s="408">
        <f>TrialBalanceC!I48</f>
        <v>0</v>
      </c>
      <c r="P3362" s="295"/>
      <c r="R3362" s="348" t="str">
        <f t="shared" si="260"/>
        <v>DELETE</v>
      </c>
    </row>
    <row r="3363" spans="3:24" ht="36" customHeight="1" x14ac:dyDescent="0.45">
      <c r="C3363" s="397"/>
      <c r="D3363" s="434" t="s">
        <v>54</v>
      </c>
      <c r="E3363" s="434"/>
      <c r="F3363" s="434"/>
      <c r="G3363" s="434"/>
      <c r="H3363" s="434"/>
      <c r="I3363" s="434"/>
      <c r="J3363" s="449"/>
      <c r="K3363" s="292"/>
      <c r="L3363" s="350"/>
      <c r="M3363" s="350"/>
      <c r="N3363" s="292"/>
      <c r="O3363" s="408">
        <f>TrialBalanceC!I49</f>
        <v>0</v>
      </c>
      <c r="P3363" s="295"/>
      <c r="R3363" s="348" t="str">
        <f t="shared" si="260"/>
        <v>DELETE</v>
      </c>
    </row>
    <row r="3364" spans="3:24" ht="36" customHeight="1" x14ac:dyDescent="0.45">
      <c r="C3364" s="397"/>
      <c r="D3364" s="434" t="s">
        <v>253</v>
      </c>
      <c r="E3364" s="434"/>
      <c r="F3364" s="434"/>
      <c r="G3364" s="434"/>
      <c r="H3364" s="434"/>
      <c r="I3364" s="434"/>
      <c r="J3364" s="449"/>
      <c r="K3364" s="292"/>
      <c r="L3364" s="350"/>
      <c r="M3364" s="350"/>
      <c r="N3364" s="292"/>
      <c r="O3364" s="408">
        <f>TrialBalanceC!I50</f>
        <v>0</v>
      </c>
      <c r="P3364" s="295"/>
      <c r="R3364" s="348" t="str">
        <f t="shared" si="260"/>
        <v>DELETE</v>
      </c>
    </row>
    <row r="3365" spans="3:24" ht="36" customHeight="1" x14ac:dyDescent="0.45">
      <c r="C3365" s="397"/>
      <c r="D3365" s="434" t="s">
        <v>511</v>
      </c>
      <c r="E3365" s="434"/>
      <c r="F3365" s="434"/>
      <c r="G3365" s="434"/>
      <c r="H3365" s="434"/>
      <c r="I3365" s="434"/>
      <c r="J3365" s="449"/>
      <c r="K3365" s="292"/>
      <c r="L3365" s="350"/>
      <c r="M3365" s="350"/>
      <c r="N3365" s="292"/>
      <c r="O3365" s="408">
        <f>SUM(TrialBalanceC!I51:I52)</f>
        <v>0</v>
      </c>
      <c r="P3365" s="295"/>
      <c r="R3365" s="348" t="str">
        <f t="shared" si="260"/>
        <v>DELETE</v>
      </c>
    </row>
    <row r="3366" spans="3:24" ht="36" customHeight="1" x14ac:dyDescent="0.45">
      <c r="C3366" s="397"/>
      <c r="D3366" s="434" t="s">
        <v>510</v>
      </c>
      <c r="E3366" s="434"/>
      <c r="F3366" s="434"/>
      <c r="G3366" s="434"/>
      <c r="H3366" s="434"/>
      <c r="I3366" s="434"/>
      <c r="J3366" s="449"/>
      <c r="K3366" s="292"/>
      <c r="L3366" s="350"/>
      <c r="M3366" s="350"/>
      <c r="N3366" s="292"/>
      <c r="O3366" s="408">
        <f>TrialBalanceC!I53</f>
        <v>0</v>
      </c>
      <c r="P3366" s="295"/>
      <c r="R3366" s="348" t="str">
        <f t="shared" si="260"/>
        <v>DELETE</v>
      </c>
    </row>
    <row r="3367" spans="3:24" ht="36" customHeight="1" x14ac:dyDescent="0.45">
      <c r="C3367" s="397"/>
      <c r="D3367" s="434" t="s">
        <v>495</v>
      </c>
      <c r="E3367" s="434"/>
      <c r="F3367" s="434"/>
      <c r="G3367" s="434"/>
      <c r="H3367" s="434"/>
      <c r="I3367" s="434"/>
      <c r="J3367" s="449"/>
      <c r="K3367" s="292"/>
      <c r="L3367" s="350"/>
      <c r="M3367" s="350"/>
      <c r="N3367" s="292"/>
      <c r="O3367" s="408">
        <f>SUM(TrialBalanceC!I55:I59)</f>
        <v>0</v>
      </c>
      <c r="P3367" s="295"/>
      <c r="R3367" s="348" t="str">
        <f t="shared" si="260"/>
        <v>DELETE</v>
      </c>
    </row>
    <row r="3368" spans="3:24" ht="36" customHeight="1" x14ac:dyDescent="0.45">
      <c r="C3368" s="397"/>
      <c r="D3368" s="434" t="s">
        <v>479</v>
      </c>
      <c r="E3368" s="434"/>
      <c r="F3368" s="434"/>
      <c r="G3368" s="434"/>
      <c r="H3368" s="434"/>
      <c r="I3368" s="434"/>
      <c r="J3368" s="449"/>
      <c r="K3368" s="292">
        <f>B$958</f>
        <v>5</v>
      </c>
      <c r="L3368" s="350"/>
      <c r="M3368" s="350"/>
      <c r="N3368" s="292"/>
      <c r="O3368" s="408">
        <f>SUM(TrialBalanceC!I61:I63)</f>
        <v>0</v>
      </c>
      <c r="P3368" s="295"/>
      <c r="R3368" s="348" t="str">
        <f t="shared" si="260"/>
        <v>DELETE</v>
      </c>
    </row>
    <row r="3369" spans="3:24" ht="36" customHeight="1" x14ac:dyDescent="0.45">
      <c r="C3369" s="397"/>
      <c r="D3369" s="434" t="s">
        <v>57</v>
      </c>
      <c r="E3369" s="434"/>
      <c r="F3369" s="434"/>
      <c r="G3369" s="434"/>
      <c r="H3369" s="434"/>
      <c r="I3369" s="434"/>
      <c r="J3369" s="449"/>
      <c r="K3369" s="292"/>
      <c r="L3369" s="350"/>
      <c r="M3369" s="350"/>
      <c r="N3369" s="292"/>
      <c r="O3369" s="408">
        <f>TrialBalanceC!I64</f>
        <v>0</v>
      </c>
      <c r="P3369" s="295"/>
      <c r="R3369" s="348" t="str">
        <f t="shared" si="260"/>
        <v>DELETE</v>
      </c>
    </row>
    <row r="3370" spans="3:24" ht="36" customHeight="1" x14ac:dyDescent="0.45">
      <c r="C3370" s="397"/>
      <c r="D3370" s="434" t="s">
        <v>1210</v>
      </c>
      <c r="E3370" s="434"/>
      <c r="F3370" s="434"/>
      <c r="G3370" s="434"/>
      <c r="H3370" s="434"/>
      <c r="I3370" s="434"/>
      <c r="J3370" s="449"/>
      <c r="K3370" s="292"/>
      <c r="L3370" s="350"/>
      <c r="M3370" s="350"/>
      <c r="N3370" s="292"/>
      <c r="O3370" s="408">
        <f>TrialBalanceC!I65</f>
        <v>0</v>
      </c>
      <c r="P3370" s="295"/>
      <c r="R3370" s="348" t="str">
        <f t="shared" ref="R3370" si="261">IF(R$3308="DELETE","DELETE",IF(O3370=0,"DELETE"," "))</f>
        <v>DELETE</v>
      </c>
    </row>
    <row r="3371" spans="3:24" ht="36" customHeight="1" x14ac:dyDescent="0.45">
      <c r="C3371" s="397"/>
      <c r="D3371" s="434" t="s">
        <v>235</v>
      </c>
      <c r="E3371" s="434"/>
      <c r="F3371" s="434"/>
      <c r="G3371" s="434"/>
      <c r="H3371" s="434"/>
      <c r="I3371" s="434"/>
      <c r="J3371" s="449"/>
      <c r="K3371" s="292"/>
      <c r="L3371" s="350"/>
      <c r="M3371" s="350"/>
      <c r="N3371" s="292"/>
      <c r="O3371" s="408">
        <f>SUM(TrialBalanceC!I66:I68)</f>
        <v>0</v>
      </c>
      <c r="P3371" s="295"/>
      <c r="R3371" s="348" t="str">
        <f t="shared" si="260"/>
        <v>DELETE</v>
      </c>
    </row>
    <row r="3372" spans="3:24" ht="36" customHeight="1" x14ac:dyDescent="0.45">
      <c r="C3372" s="397"/>
      <c r="D3372" s="434" t="s">
        <v>679</v>
      </c>
      <c r="E3372" s="434"/>
      <c r="F3372" s="434"/>
      <c r="G3372" s="434"/>
      <c r="H3372" s="434"/>
      <c r="I3372" s="434"/>
      <c r="J3372" s="449"/>
      <c r="K3372" s="292"/>
      <c r="L3372" s="350"/>
      <c r="M3372" s="350"/>
      <c r="N3372" s="292"/>
      <c r="O3372" s="408">
        <f>SUM(TrialBalanceC!I69:I70)</f>
        <v>0</v>
      </c>
      <c r="P3372" s="295"/>
      <c r="R3372" s="348" t="str">
        <f t="shared" si="260"/>
        <v>DELETE</v>
      </c>
    </row>
    <row r="3373" spans="3:24" ht="36" customHeight="1" x14ac:dyDescent="0.45">
      <c r="C3373" s="397"/>
      <c r="D3373" s="434" t="s">
        <v>236</v>
      </c>
      <c r="E3373" s="434"/>
      <c r="F3373" s="434"/>
      <c r="G3373" s="434"/>
      <c r="H3373" s="434"/>
      <c r="I3373" s="434"/>
      <c r="J3373" s="449"/>
      <c r="K3373" s="292"/>
      <c r="L3373" s="350"/>
      <c r="M3373" s="350"/>
      <c r="N3373" s="292"/>
      <c r="O3373" s="408">
        <f>TrialBalanceC!I71</f>
        <v>0</v>
      </c>
      <c r="P3373" s="295"/>
      <c r="R3373" s="348" t="str">
        <f t="shared" si="260"/>
        <v>DELETE</v>
      </c>
    </row>
    <row r="3374" spans="3:24" ht="36" customHeight="1" x14ac:dyDescent="0.45">
      <c r="C3374" s="397"/>
      <c r="D3374" s="434" t="s">
        <v>361</v>
      </c>
      <c r="E3374" s="434"/>
      <c r="F3374" s="434"/>
      <c r="G3374" s="434"/>
      <c r="H3374" s="434"/>
      <c r="I3374" s="434"/>
      <c r="J3374" s="449"/>
      <c r="K3374" s="292"/>
      <c r="L3374" s="350"/>
      <c r="M3374" s="350"/>
      <c r="N3374" s="292"/>
      <c r="O3374" s="408">
        <f>TrialBalanceC!I72</f>
        <v>0</v>
      </c>
      <c r="P3374" s="295"/>
      <c r="R3374" s="348" t="str">
        <f t="shared" si="260"/>
        <v>DELETE</v>
      </c>
    </row>
    <row r="3375" spans="3:24" ht="36" customHeight="1" x14ac:dyDescent="0.45">
      <c r="C3375" s="397"/>
      <c r="D3375" s="434">
        <f>TrialBalanceC!C73</f>
        <v>0</v>
      </c>
      <c r="E3375" s="434"/>
      <c r="F3375" s="434"/>
      <c r="G3375" s="434"/>
      <c r="H3375" s="434"/>
      <c r="I3375" s="434"/>
      <c r="J3375" s="449"/>
      <c r="K3375" s="292"/>
      <c r="L3375" s="350"/>
      <c r="M3375" s="350"/>
      <c r="N3375" s="292"/>
      <c r="O3375" s="408">
        <f>TrialBalanceC!I73</f>
        <v>0</v>
      </c>
      <c r="P3375" s="295"/>
      <c r="R3375" s="348" t="str">
        <f t="shared" si="260"/>
        <v>DELETE</v>
      </c>
    </row>
    <row r="3376" spans="3:24" ht="36" customHeight="1" x14ac:dyDescent="0.45">
      <c r="C3376" s="397"/>
      <c r="D3376" s="434">
        <f>TrialBalanceC!C74</f>
        <v>0</v>
      </c>
      <c r="E3376" s="434"/>
      <c r="F3376" s="434"/>
      <c r="G3376" s="434"/>
      <c r="H3376" s="434"/>
      <c r="I3376" s="434"/>
      <c r="J3376" s="449"/>
      <c r="K3376" s="292"/>
      <c r="L3376" s="350"/>
      <c r="M3376" s="350"/>
      <c r="N3376" s="292"/>
      <c r="O3376" s="408">
        <f>TrialBalanceC!I74</f>
        <v>0</v>
      </c>
      <c r="P3376" s="295"/>
      <c r="R3376" s="348" t="str">
        <f t="shared" si="260"/>
        <v>DELETE</v>
      </c>
    </row>
    <row r="3377" spans="3:18" ht="36" customHeight="1" x14ac:dyDescent="0.45">
      <c r="C3377" s="397"/>
      <c r="D3377" s="434">
        <f>TrialBalanceC!C75</f>
        <v>0</v>
      </c>
      <c r="E3377" s="434"/>
      <c r="F3377" s="434"/>
      <c r="G3377" s="434"/>
      <c r="H3377" s="434"/>
      <c r="I3377" s="434"/>
      <c r="J3377" s="449"/>
      <c r="K3377" s="292"/>
      <c r="L3377" s="350"/>
      <c r="M3377" s="350"/>
      <c r="N3377" s="292"/>
      <c r="O3377" s="408">
        <f>TrialBalanceC!I75</f>
        <v>0</v>
      </c>
      <c r="P3377" s="295"/>
      <c r="R3377" s="348" t="str">
        <f t="shared" si="260"/>
        <v>DELETE</v>
      </c>
    </row>
    <row r="3378" spans="3:18" ht="36" customHeight="1" x14ac:dyDescent="0.45">
      <c r="C3378" s="397"/>
      <c r="D3378" s="434">
        <f>TrialBalanceC!C76</f>
        <v>0</v>
      </c>
      <c r="E3378" s="434"/>
      <c r="F3378" s="434"/>
      <c r="G3378" s="434"/>
      <c r="H3378" s="434"/>
      <c r="I3378" s="434"/>
      <c r="J3378" s="449"/>
      <c r="K3378" s="292"/>
      <c r="L3378" s="350"/>
      <c r="M3378" s="350"/>
      <c r="N3378" s="292"/>
      <c r="O3378" s="408">
        <f>TrialBalanceC!I76</f>
        <v>0</v>
      </c>
      <c r="P3378" s="295"/>
      <c r="R3378" s="348" t="str">
        <f t="shared" si="260"/>
        <v>DELETE</v>
      </c>
    </row>
    <row r="3379" spans="3:18" ht="36" customHeight="1" x14ac:dyDescent="0.45">
      <c r="C3379" s="397"/>
      <c r="D3379" s="434">
        <f>TrialBalanceC!C77</f>
        <v>0</v>
      </c>
      <c r="E3379" s="434"/>
      <c r="F3379" s="434"/>
      <c r="G3379" s="434"/>
      <c r="H3379" s="434"/>
      <c r="I3379" s="434"/>
      <c r="J3379" s="449"/>
      <c r="K3379" s="292"/>
      <c r="L3379" s="350"/>
      <c r="M3379" s="350"/>
      <c r="N3379" s="292"/>
      <c r="O3379" s="408">
        <f>TrialBalanceC!I77</f>
        <v>0</v>
      </c>
      <c r="P3379" s="295"/>
      <c r="R3379" s="348" t="str">
        <f t="shared" si="260"/>
        <v>DELETE</v>
      </c>
    </row>
    <row r="3380" spans="3:18" ht="36" customHeight="1" x14ac:dyDescent="0.45">
      <c r="C3380" s="397"/>
      <c r="D3380" s="434">
        <f>TrialBalanceC!C78</f>
        <v>0</v>
      </c>
      <c r="E3380" s="434"/>
      <c r="F3380" s="434"/>
      <c r="G3380" s="434"/>
      <c r="H3380" s="434"/>
      <c r="I3380" s="434"/>
      <c r="J3380" s="449"/>
      <c r="K3380" s="292"/>
      <c r="L3380" s="350"/>
      <c r="M3380" s="350"/>
      <c r="N3380" s="292"/>
      <c r="O3380" s="408">
        <f>TrialBalanceC!I78</f>
        <v>0</v>
      </c>
      <c r="P3380" s="295"/>
      <c r="R3380" s="348" t="str">
        <f t="shared" si="260"/>
        <v>DELETE</v>
      </c>
    </row>
    <row r="3381" spans="3:18" ht="36" customHeight="1" x14ac:dyDescent="0.45">
      <c r="C3381" s="397"/>
      <c r="D3381" s="434">
        <f>TrialBalanceC!C79</f>
        <v>0</v>
      </c>
      <c r="E3381" s="434"/>
      <c r="F3381" s="434"/>
      <c r="G3381" s="434"/>
      <c r="H3381" s="434"/>
      <c r="I3381" s="434"/>
      <c r="J3381" s="449"/>
      <c r="K3381" s="292"/>
      <c r="L3381" s="350"/>
      <c r="M3381" s="350"/>
      <c r="N3381" s="292"/>
      <c r="O3381" s="408">
        <f>TrialBalanceC!I79</f>
        <v>0</v>
      </c>
      <c r="P3381" s="295"/>
      <c r="R3381" s="348" t="str">
        <f t="shared" si="260"/>
        <v>DELETE</v>
      </c>
    </row>
    <row r="3382" spans="3:18" ht="36" customHeight="1" x14ac:dyDescent="0.45">
      <c r="C3382" s="397"/>
      <c r="D3382" s="434">
        <f>TrialBalanceC!C80</f>
        <v>0</v>
      </c>
      <c r="E3382" s="434"/>
      <c r="F3382" s="434"/>
      <c r="G3382" s="434"/>
      <c r="H3382" s="434"/>
      <c r="I3382" s="434"/>
      <c r="J3382" s="449"/>
      <c r="K3382" s="292"/>
      <c r="L3382" s="350"/>
      <c r="M3382" s="350"/>
      <c r="N3382" s="292"/>
      <c r="O3382" s="408">
        <f>TrialBalanceC!I80</f>
        <v>0</v>
      </c>
      <c r="P3382" s="295"/>
      <c r="R3382" s="348" t="str">
        <f t="shared" si="260"/>
        <v>DELETE</v>
      </c>
    </row>
    <row r="3383" spans="3:18" ht="36" customHeight="1" x14ac:dyDescent="0.45">
      <c r="C3383" s="397"/>
      <c r="D3383" s="434">
        <f>TrialBalanceC!C81</f>
        <v>0</v>
      </c>
      <c r="E3383" s="434"/>
      <c r="F3383" s="434"/>
      <c r="G3383" s="434"/>
      <c r="H3383" s="434"/>
      <c r="I3383" s="434"/>
      <c r="J3383" s="449"/>
      <c r="K3383" s="292"/>
      <c r="L3383" s="350"/>
      <c r="M3383" s="350"/>
      <c r="N3383" s="292"/>
      <c r="O3383" s="408">
        <f>TrialBalanceC!I81</f>
        <v>0</v>
      </c>
      <c r="P3383" s="295"/>
      <c r="R3383" s="348" t="str">
        <f t="shared" si="260"/>
        <v>DELETE</v>
      </c>
    </row>
    <row r="3384" spans="3:18" ht="36" customHeight="1" x14ac:dyDescent="0.45">
      <c r="C3384" s="397"/>
      <c r="D3384" s="434">
        <f>TrialBalanceC!C82</f>
        <v>0</v>
      </c>
      <c r="E3384" s="434"/>
      <c r="F3384" s="434"/>
      <c r="G3384" s="434"/>
      <c r="H3384" s="434"/>
      <c r="I3384" s="434"/>
      <c r="J3384" s="449"/>
      <c r="K3384" s="292"/>
      <c r="L3384" s="350"/>
      <c r="M3384" s="350"/>
      <c r="N3384" s="292"/>
      <c r="O3384" s="408">
        <f>TrialBalanceC!I82</f>
        <v>0</v>
      </c>
      <c r="P3384" s="295"/>
      <c r="R3384" s="348" t="str">
        <f t="shared" si="260"/>
        <v>DELETE</v>
      </c>
    </row>
    <row r="3385" spans="3:18" ht="9" customHeight="1" x14ac:dyDescent="0.45">
      <c r="C3385" s="397"/>
      <c r="D3385" s="434"/>
      <c r="E3385" s="434"/>
      <c r="F3385" s="434"/>
      <c r="G3385" s="434"/>
      <c r="H3385" s="434"/>
      <c r="I3385" s="434"/>
      <c r="J3385" s="449"/>
      <c r="K3385" s="292"/>
      <c r="L3385" s="350"/>
      <c r="M3385" s="350"/>
      <c r="N3385" s="292"/>
      <c r="O3385" s="409"/>
      <c r="P3385" s="295"/>
      <c r="R3385" s="348" t="str">
        <f>R3354</f>
        <v>DELETE</v>
      </c>
    </row>
    <row r="3386" spans="3:18" ht="9" customHeight="1" x14ac:dyDescent="0.45">
      <c r="C3386" s="397"/>
      <c r="D3386" s="434"/>
      <c r="E3386" s="434"/>
      <c r="F3386" s="434"/>
      <c r="G3386" s="434"/>
      <c r="H3386" s="434"/>
      <c r="I3386" s="434"/>
      <c r="J3386" s="449"/>
      <c r="K3386" s="292"/>
      <c r="L3386" s="350"/>
      <c r="M3386" s="350"/>
      <c r="N3386" s="292"/>
      <c r="O3386" s="298"/>
      <c r="P3386" s="295"/>
      <c r="R3386" s="348" t="str">
        <f t="shared" ref="R3386:R3406" si="262">R$3308</f>
        <v>DELETE</v>
      </c>
    </row>
    <row r="3387" spans="3:18" ht="9" customHeight="1" x14ac:dyDescent="0.45">
      <c r="C3387" s="397"/>
      <c r="D3387" s="434"/>
      <c r="E3387" s="434"/>
      <c r="F3387" s="434"/>
      <c r="G3387" s="434"/>
      <c r="H3387" s="434"/>
      <c r="I3387" s="434"/>
      <c r="J3387" s="449"/>
      <c r="K3387" s="292"/>
      <c r="L3387" s="350"/>
      <c r="M3387" s="350"/>
      <c r="N3387" s="292"/>
      <c r="O3387" s="296"/>
      <c r="P3387" s="295"/>
      <c r="R3387" s="348" t="str">
        <f t="shared" si="262"/>
        <v>DELETE</v>
      </c>
    </row>
    <row r="3388" spans="3:18" ht="36" customHeight="1" x14ac:dyDescent="0.45">
      <c r="D3388" s="446" t="str">
        <f>IF(O3388&lt;0,"Operating loss","Operating profit")</f>
        <v>Operating profit</v>
      </c>
      <c r="E3388" s="434"/>
      <c r="F3388" s="434"/>
      <c r="G3388" s="434"/>
      <c r="H3388" s="434"/>
      <c r="I3388" s="434"/>
      <c r="J3388" s="449"/>
      <c r="K3388" s="292"/>
      <c r="L3388" s="350"/>
      <c r="M3388" s="350"/>
      <c r="N3388" s="292"/>
      <c r="O3388" s="296">
        <f>SUM(S3320:S3386)</f>
        <v>0</v>
      </c>
      <c r="P3388" s="295"/>
      <c r="R3388" s="348" t="str">
        <f t="shared" si="262"/>
        <v>DELETE</v>
      </c>
    </row>
    <row r="3389" spans="3:18" ht="36" customHeight="1" x14ac:dyDescent="0.45">
      <c r="C3389" s="397"/>
      <c r="D3389" s="434"/>
      <c r="E3389" s="434" t="s">
        <v>238</v>
      </c>
      <c r="F3389" s="434"/>
      <c r="G3389" s="434"/>
      <c r="H3389" s="434"/>
      <c r="I3389" s="434"/>
      <c r="J3389" s="449"/>
      <c r="K3389" s="292"/>
      <c r="L3389" s="350"/>
      <c r="M3389" s="350"/>
      <c r="N3389" s="292"/>
      <c r="O3389" s="296"/>
      <c r="P3389" s="295"/>
      <c r="R3389" s="348" t="str">
        <f t="shared" si="262"/>
        <v>DELETE</v>
      </c>
    </row>
    <row r="3390" spans="3:18" ht="36" customHeight="1" x14ac:dyDescent="0.45">
      <c r="C3390" s="397"/>
      <c r="D3390" s="434"/>
      <c r="E3390" s="434"/>
      <c r="F3390" s="434"/>
      <c r="G3390" s="434"/>
      <c r="H3390" s="434"/>
      <c r="I3390" s="434"/>
      <c r="J3390" s="449"/>
      <c r="K3390" s="292"/>
      <c r="L3390" s="292"/>
      <c r="M3390" s="296"/>
      <c r="N3390" s="296"/>
      <c r="O3390" s="296"/>
      <c r="P3390" s="295"/>
      <c r="R3390" s="348" t="str">
        <f t="shared" si="262"/>
        <v>DELETE</v>
      </c>
    </row>
    <row r="3391" spans="3:18" ht="36" customHeight="1" x14ac:dyDescent="0.45">
      <c r="C3391" s="397"/>
      <c r="D3391" s="434"/>
      <c r="E3391" s="434"/>
      <c r="F3391" s="434"/>
      <c r="G3391" s="434"/>
      <c r="H3391" s="434"/>
      <c r="I3391" s="434"/>
      <c r="J3391" s="449"/>
      <c r="K3391" s="292"/>
      <c r="L3391" s="292"/>
      <c r="M3391" s="296"/>
      <c r="N3391" s="296"/>
      <c r="O3391" s="296"/>
      <c r="P3391" s="295"/>
      <c r="R3391" s="348" t="str">
        <f t="shared" si="262"/>
        <v>DELETE</v>
      </c>
    </row>
    <row r="3392" spans="3:18" ht="36" customHeight="1" x14ac:dyDescent="0.45">
      <c r="C3392" s="397"/>
      <c r="D3392" s="434"/>
      <c r="E3392" s="434"/>
      <c r="F3392" s="434"/>
      <c r="G3392" s="434"/>
      <c r="H3392" s="434"/>
      <c r="I3392" s="434"/>
      <c r="J3392" s="449"/>
      <c r="K3392" s="292"/>
      <c r="L3392" s="292"/>
      <c r="M3392" s="310"/>
      <c r="N3392" s="310"/>
      <c r="O3392" s="310"/>
      <c r="P3392" s="330"/>
      <c r="R3392" s="348" t="str">
        <f t="shared" si="262"/>
        <v>DELETE</v>
      </c>
    </row>
    <row r="3393" spans="3:24" ht="36" customHeight="1" x14ac:dyDescent="0.45">
      <c r="C3393" s="397"/>
      <c r="D3393" s="434"/>
      <c r="E3393" s="434"/>
      <c r="F3393" s="434"/>
      <c r="G3393" s="434"/>
      <c r="H3393" s="434"/>
      <c r="I3393" s="434"/>
      <c r="J3393" s="449"/>
      <c r="K3393" s="292"/>
      <c r="L3393" s="292"/>
      <c r="M3393" s="296"/>
      <c r="N3393" s="296"/>
      <c r="O3393" s="296"/>
      <c r="P3393" s="295"/>
      <c r="R3393" s="348" t="str">
        <f t="shared" si="262"/>
        <v>DELETE</v>
      </c>
    </row>
    <row r="3394" spans="3:24" ht="36" customHeight="1" x14ac:dyDescent="0.45">
      <c r="C3394" s="397"/>
      <c r="D3394" s="434"/>
      <c r="E3394" s="434"/>
      <c r="F3394" s="434"/>
      <c r="G3394" s="434"/>
      <c r="H3394" s="434"/>
      <c r="I3394" s="434"/>
      <c r="J3394" s="449"/>
      <c r="K3394" s="292"/>
      <c r="L3394" s="292"/>
      <c r="M3394" s="296"/>
      <c r="N3394" s="296"/>
      <c r="O3394" s="296" t="s">
        <v>89</v>
      </c>
      <c r="P3394" s="295"/>
      <c r="Q3394" s="292">
        <f>MAX($Q$3308:Q3393)+1</f>
        <v>2</v>
      </c>
      <c r="R3394" s="348" t="str">
        <f t="shared" si="262"/>
        <v>DELETE</v>
      </c>
    </row>
    <row r="3395" spans="3:24" ht="36" customHeight="1" x14ac:dyDescent="0.45">
      <c r="C3395" s="397"/>
      <c r="D3395" s="433">
        <f>Criteria!E16</f>
        <v>0</v>
      </c>
      <c r="E3395" s="434"/>
      <c r="F3395" s="434"/>
      <c r="G3395" s="434"/>
      <c r="H3395" s="434"/>
      <c r="I3395" s="434"/>
      <c r="J3395" s="449"/>
      <c r="K3395" s="292"/>
      <c r="L3395" s="292"/>
      <c r="M3395" s="296"/>
      <c r="N3395" s="296"/>
      <c r="O3395" s="347"/>
      <c r="R3395" s="348" t="str">
        <f t="shared" si="262"/>
        <v>DELETE</v>
      </c>
    </row>
    <row r="3396" spans="3:24" ht="36" customHeight="1" x14ac:dyDescent="0.45">
      <c r="C3396" s="397"/>
      <c r="D3396" s="434"/>
      <c r="E3396" s="434"/>
      <c r="F3396" s="434"/>
      <c r="G3396" s="434"/>
      <c r="H3396" s="434"/>
      <c r="I3396" s="434"/>
      <c r="J3396" s="449"/>
      <c r="K3396" s="292"/>
      <c r="L3396" s="292"/>
      <c r="M3396" s="296"/>
      <c r="N3396" s="296"/>
      <c r="O3396" s="296"/>
      <c r="P3396" s="295"/>
      <c r="R3396" s="348" t="str">
        <f t="shared" si="262"/>
        <v>DELETE</v>
      </c>
    </row>
    <row r="3397" spans="3:24" ht="36" customHeight="1" x14ac:dyDescent="0.45">
      <c r="C3397" s="397"/>
      <c r="D3397" s="434"/>
      <c r="E3397" s="434"/>
      <c r="F3397" s="434"/>
      <c r="G3397" s="434"/>
      <c r="H3397" s="434"/>
      <c r="I3397" s="434"/>
      <c r="J3397" s="449"/>
      <c r="K3397" s="292"/>
      <c r="L3397" s="292"/>
      <c r="M3397" s="296"/>
      <c r="N3397" s="296"/>
      <c r="O3397" s="296"/>
      <c r="P3397" s="295"/>
      <c r="R3397" s="348" t="str">
        <f t="shared" si="262"/>
        <v>DELETE</v>
      </c>
    </row>
    <row r="3398" spans="3:24" ht="36" customHeight="1" x14ac:dyDescent="0.45">
      <c r="C3398" s="397"/>
      <c r="D3398" s="433" t="s">
        <v>86</v>
      </c>
      <c r="E3398" s="434"/>
      <c r="F3398" s="434"/>
      <c r="G3398" s="434"/>
      <c r="H3398" s="434"/>
      <c r="I3398" s="434"/>
      <c r="J3398" s="449"/>
      <c r="K3398" s="292"/>
      <c r="L3398" s="292"/>
      <c r="M3398" s="296"/>
      <c r="N3398" s="296"/>
      <c r="O3398" s="296"/>
      <c r="P3398" s="295"/>
      <c r="R3398" s="348" t="str">
        <f t="shared" si="262"/>
        <v>DELETE</v>
      </c>
    </row>
    <row r="3399" spans="3:24" ht="36" customHeight="1" x14ac:dyDescent="0.45">
      <c r="C3399" s="397"/>
      <c r="D3399" s="433" t="str">
        <f>D3315</f>
        <v>28 FEBRUARY 2025</v>
      </c>
      <c r="E3399" s="434"/>
      <c r="F3399" s="434"/>
      <c r="G3399" s="434"/>
      <c r="H3399" s="434"/>
      <c r="I3399" s="434"/>
      <c r="J3399" s="434" t="s">
        <v>95</v>
      </c>
      <c r="K3399" s="292"/>
      <c r="L3399" s="292"/>
      <c r="M3399" s="296"/>
      <c r="N3399" s="296"/>
      <c r="O3399" s="296"/>
      <c r="P3399" s="295"/>
      <c r="R3399" s="348" t="str">
        <f t="shared" si="262"/>
        <v>DELETE</v>
      </c>
    </row>
    <row r="3400" spans="3:24" ht="36" customHeight="1" x14ac:dyDescent="0.45">
      <c r="C3400" s="397"/>
      <c r="D3400" s="434"/>
      <c r="E3400" s="434"/>
      <c r="F3400" s="434"/>
      <c r="G3400" s="434"/>
      <c r="H3400" s="434"/>
      <c r="I3400" s="434"/>
      <c r="J3400" s="449"/>
      <c r="K3400" s="304"/>
      <c r="L3400" s="304"/>
      <c r="M3400" s="298"/>
      <c r="N3400" s="298"/>
      <c r="O3400" s="298"/>
      <c r="P3400" s="295"/>
      <c r="R3400" s="348" t="str">
        <f t="shared" si="262"/>
        <v>DELETE</v>
      </c>
    </row>
    <row r="3401" spans="3:24" ht="36" customHeight="1" x14ac:dyDescent="0.45">
      <c r="C3401" s="397"/>
      <c r="D3401" s="444"/>
      <c r="E3401" s="444"/>
      <c r="F3401" s="444"/>
      <c r="G3401" s="444"/>
      <c r="H3401" s="444"/>
      <c r="I3401" s="444"/>
      <c r="J3401" s="453"/>
      <c r="M3401" s="351"/>
      <c r="N3401" s="351"/>
      <c r="O3401" s="351"/>
      <c r="P3401" s="313"/>
      <c r="Q3401" s="364"/>
      <c r="R3401" s="348" t="str">
        <f t="shared" si="262"/>
        <v>DELETE</v>
      </c>
    </row>
    <row r="3402" spans="3:24" ht="36" customHeight="1" x14ac:dyDescent="0.45">
      <c r="C3402" s="397"/>
      <c r="D3402" s="434"/>
      <c r="E3402" s="434"/>
      <c r="F3402" s="434"/>
      <c r="G3402" s="434"/>
      <c r="H3402" s="434"/>
      <c r="I3402" s="434"/>
      <c r="J3402" s="449"/>
      <c r="K3402" s="292" t="s">
        <v>1041</v>
      </c>
      <c r="L3402" s="350"/>
      <c r="M3402" s="350"/>
      <c r="N3402" s="292"/>
      <c r="O3402" s="294">
        <f>Criteria!E22</f>
        <v>2025</v>
      </c>
      <c r="P3402" s="295"/>
      <c r="R3402" s="348" t="str">
        <f t="shared" si="262"/>
        <v>DELETE</v>
      </c>
    </row>
    <row r="3403" spans="3:24" ht="36" customHeight="1" x14ac:dyDescent="0.45">
      <c r="C3403" s="397"/>
      <c r="D3403" s="434"/>
      <c r="E3403" s="434"/>
      <c r="F3403" s="434"/>
      <c r="G3403" s="434"/>
      <c r="H3403" s="434"/>
      <c r="I3403" s="434"/>
      <c r="J3403" s="449"/>
      <c r="K3403" s="292"/>
      <c r="L3403" s="350"/>
      <c r="M3403" s="350"/>
      <c r="N3403" s="292"/>
      <c r="O3403" s="296"/>
      <c r="P3403" s="295"/>
      <c r="R3403" s="348" t="str">
        <f t="shared" si="262"/>
        <v>DELETE</v>
      </c>
    </row>
    <row r="3404" spans="3:24" ht="36" customHeight="1" x14ac:dyDescent="0.45">
      <c r="D3404" s="446" t="str">
        <f>IF(O3404&lt;0,"Operating loss","Operating profit")</f>
        <v>Operating profit</v>
      </c>
      <c r="E3404" s="434"/>
      <c r="F3404" s="434"/>
      <c r="G3404" s="434"/>
      <c r="H3404" s="434"/>
      <c r="I3404" s="434"/>
      <c r="J3404" s="449"/>
      <c r="K3404" s="292"/>
      <c r="L3404" s="350"/>
      <c r="M3404" s="350"/>
      <c r="N3404" s="292"/>
      <c r="O3404" s="296">
        <f>SUM(S3320:S3385)</f>
        <v>0</v>
      </c>
      <c r="P3404" s="295"/>
      <c r="R3404" s="348" t="str">
        <f t="shared" si="262"/>
        <v>DELETE</v>
      </c>
      <c r="V3404" s="331" t="b">
        <f>O3404=O3388</f>
        <v>1</v>
      </c>
    </row>
    <row r="3405" spans="3:24" ht="36" customHeight="1" x14ac:dyDescent="0.45">
      <c r="C3405" s="397"/>
      <c r="D3405" s="434"/>
      <c r="E3405" s="434" t="s">
        <v>239</v>
      </c>
      <c r="F3405" s="434"/>
      <c r="G3405" s="434"/>
      <c r="H3405" s="434"/>
      <c r="I3405" s="434"/>
      <c r="J3405" s="449"/>
      <c r="K3405" s="292"/>
      <c r="L3405" s="350"/>
      <c r="M3405" s="350"/>
      <c r="N3405" s="292"/>
      <c r="O3405" s="296"/>
      <c r="P3405" s="295"/>
      <c r="R3405" s="348" t="str">
        <f t="shared" si="262"/>
        <v>DELETE</v>
      </c>
    </row>
    <row r="3406" spans="3:24" ht="36" customHeight="1" x14ac:dyDescent="0.45">
      <c r="C3406" s="397"/>
      <c r="D3406" s="434"/>
      <c r="E3406" s="434"/>
      <c r="F3406" s="434"/>
      <c r="G3406" s="434"/>
      <c r="H3406" s="434"/>
      <c r="I3406" s="434"/>
      <c r="J3406" s="449"/>
      <c r="K3406" s="292"/>
      <c r="L3406" s="350"/>
      <c r="M3406" s="350"/>
      <c r="N3406" s="292"/>
      <c r="O3406" s="296"/>
      <c r="P3406" s="295"/>
      <c r="R3406" s="348" t="str">
        <f t="shared" si="262"/>
        <v>DELETE</v>
      </c>
    </row>
    <row r="3407" spans="3:24" ht="36" customHeight="1" x14ac:dyDescent="0.45">
      <c r="D3407" s="433" t="s">
        <v>1076</v>
      </c>
      <c r="E3407" s="434"/>
      <c r="F3407" s="434"/>
      <c r="G3407" s="434"/>
      <c r="H3407" s="434"/>
      <c r="I3407" s="434"/>
      <c r="J3407" s="449"/>
      <c r="K3407" s="292"/>
      <c r="L3407" s="350"/>
      <c r="M3407" s="350"/>
      <c r="N3407" s="292"/>
      <c r="O3407" s="296">
        <f>SUM(O3410:O3443)</f>
        <v>0</v>
      </c>
      <c r="P3407" s="295"/>
      <c r="R3407" s="348" t="str">
        <f t="shared" ref="R3407" si="263">IF(R$3308="DELETE","DELETE",IF(O3407=0,"DELETE"," "))</f>
        <v>DELETE</v>
      </c>
      <c r="S3407" s="333">
        <f>-O3407</f>
        <v>0</v>
      </c>
      <c r="T3407" s="333"/>
      <c r="U3407" s="333"/>
      <c r="V3407" s="333"/>
      <c r="W3407" s="333"/>
      <c r="X3407" s="333"/>
    </row>
    <row r="3408" spans="3:24" ht="9" customHeight="1" x14ac:dyDescent="0.45">
      <c r="C3408" s="397"/>
      <c r="D3408" s="434"/>
      <c r="E3408" s="434"/>
      <c r="F3408" s="434"/>
      <c r="G3408" s="434"/>
      <c r="H3408" s="434"/>
      <c r="I3408" s="434"/>
      <c r="J3408" s="449"/>
      <c r="K3408" s="292"/>
      <c r="L3408" s="350"/>
      <c r="M3408" s="350"/>
      <c r="N3408" s="292"/>
      <c r="O3408" s="296"/>
      <c r="P3408" s="295"/>
      <c r="R3408" s="348" t="str">
        <f>R3407</f>
        <v>DELETE</v>
      </c>
    </row>
    <row r="3409" spans="3:18" ht="9" customHeight="1" x14ac:dyDescent="0.45">
      <c r="C3409" s="397"/>
      <c r="D3409" s="434"/>
      <c r="E3409" s="434"/>
      <c r="F3409" s="434"/>
      <c r="G3409" s="434"/>
      <c r="H3409" s="434"/>
      <c r="I3409" s="434"/>
      <c r="J3409" s="449"/>
      <c r="K3409" s="292"/>
      <c r="L3409" s="350"/>
      <c r="M3409" s="350"/>
      <c r="N3409" s="292"/>
      <c r="O3409" s="407"/>
      <c r="P3409" s="295"/>
      <c r="R3409" s="348" t="str">
        <f>R3408</f>
        <v>DELETE</v>
      </c>
    </row>
    <row r="3410" spans="3:18" ht="36" customHeight="1" x14ac:dyDescent="0.45">
      <c r="C3410" s="397"/>
      <c r="D3410" s="434" t="s">
        <v>199</v>
      </c>
      <c r="E3410" s="434"/>
      <c r="F3410" s="434"/>
      <c r="G3410" s="434"/>
      <c r="H3410" s="434"/>
      <c r="I3410" s="434"/>
      <c r="J3410" s="449"/>
      <c r="K3410" s="292"/>
      <c r="L3410" s="350"/>
      <c r="M3410" s="350"/>
      <c r="N3410" s="292"/>
      <c r="O3410" s="408">
        <f>SUM(TrialBalanceC!I99:I102)</f>
        <v>0</v>
      </c>
      <c r="P3410" s="295"/>
      <c r="R3410" s="348" t="str">
        <f t="shared" ref="R3410:R3441" si="264">IF(R$3308="DELETE","DELETE",IF(O3410=0,"DELETE"," "))</f>
        <v>DELETE</v>
      </c>
    </row>
    <row r="3411" spans="3:18" ht="36" customHeight="1" x14ac:dyDescent="0.45">
      <c r="C3411" s="397"/>
      <c r="D3411" s="434" t="s">
        <v>203</v>
      </c>
      <c r="E3411" s="434"/>
      <c r="F3411" s="434"/>
      <c r="G3411" s="434"/>
      <c r="H3411" s="434"/>
      <c r="I3411" s="434"/>
      <c r="J3411" s="449"/>
      <c r="K3411" s="292"/>
      <c r="L3411" s="350"/>
      <c r="M3411" s="350"/>
      <c r="N3411" s="292"/>
      <c r="O3411" s="408">
        <f>TrialBalanceC!I104</f>
        <v>0</v>
      </c>
      <c r="P3411" s="295"/>
      <c r="R3411" s="348" t="str">
        <f>IF(R$3308="DELETE","DELETE",IF(O3411=0,"DELETE"," "))</f>
        <v>DELETE</v>
      </c>
    </row>
    <row r="3412" spans="3:18" ht="36" customHeight="1" x14ac:dyDescent="0.45">
      <c r="C3412" s="397"/>
      <c r="D3412" s="434" t="s">
        <v>201</v>
      </c>
      <c r="E3412" s="434"/>
      <c r="F3412" s="434"/>
      <c r="G3412" s="434"/>
      <c r="H3412" s="434"/>
      <c r="I3412" s="434"/>
      <c r="J3412" s="449"/>
      <c r="K3412" s="292"/>
      <c r="L3412" s="350"/>
      <c r="M3412" s="350"/>
      <c r="N3412" s="292"/>
      <c r="O3412" s="408">
        <f>TrialBalanceC!I103</f>
        <v>0</v>
      </c>
      <c r="P3412" s="295"/>
      <c r="R3412" s="348" t="str">
        <f>IF(R$3308="DELETE","DELETE",IF(O3412=0,"DELETE"," "))</f>
        <v>DELETE</v>
      </c>
    </row>
    <row r="3413" spans="3:18" ht="36" customHeight="1" x14ac:dyDescent="0.45">
      <c r="C3413" s="397"/>
      <c r="D3413" s="434" t="s">
        <v>240</v>
      </c>
      <c r="E3413" s="434"/>
      <c r="F3413" s="434"/>
      <c r="G3413" s="434"/>
      <c r="H3413" s="434"/>
      <c r="I3413" s="434"/>
      <c r="J3413" s="449"/>
      <c r="K3413" s="292"/>
      <c r="L3413" s="350"/>
      <c r="M3413" s="350"/>
      <c r="N3413" s="292"/>
      <c r="O3413" s="408">
        <f>TrialBalanceC!I105</f>
        <v>0</v>
      </c>
      <c r="P3413" s="295"/>
      <c r="R3413" s="348" t="str">
        <f t="shared" si="264"/>
        <v>DELETE</v>
      </c>
    </row>
    <row r="3414" spans="3:18" ht="36" customHeight="1" x14ac:dyDescent="0.45">
      <c r="C3414" s="397"/>
      <c r="D3414" s="434" t="s">
        <v>206</v>
      </c>
      <c r="E3414" s="434"/>
      <c r="F3414" s="434"/>
      <c r="G3414" s="434"/>
      <c r="H3414" s="434"/>
      <c r="I3414" s="434"/>
      <c r="J3414" s="449"/>
      <c r="K3414" s="292"/>
      <c r="L3414" s="350"/>
      <c r="M3414" s="350"/>
      <c r="N3414" s="292"/>
      <c r="O3414" s="408">
        <f>TrialBalanceC!I106</f>
        <v>0</v>
      </c>
      <c r="P3414" s="295"/>
      <c r="R3414" s="348" t="str">
        <f t="shared" si="264"/>
        <v>DELETE</v>
      </c>
    </row>
    <row r="3415" spans="3:18" ht="36" customHeight="1" x14ac:dyDescent="0.45">
      <c r="C3415" s="397"/>
      <c r="D3415" s="434" t="s">
        <v>680</v>
      </c>
      <c r="E3415" s="434"/>
      <c r="F3415" s="434"/>
      <c r="G3415" s="434"/>
      <c r="H3415" s="434"/>
      <c r="I3415" s="434"/>
      <c r="J3415" s="449"/>
      <c r="K3415" s="292"/>
      <c r="L3415" s="350"/>
      <c r="M3415" s="350"/>
      <c r="N3415" s="292"/>
      <c r="O3415" s="408">
        <f>TrialBalanceC!I107</f>
        <v>0</v>
      </c>
      <c r="P3415" s="295"/>
      <c r="R3415" s="348" t="str">
        <f t="shared" si="264"/>
        <v>DELETE</v>
      </c>
    </row>
    <row r="3416" spans="3:18" ht="36" customHeight="1" x14ac:dyDescent="0.45">
      <c r="C3416" s="397"/>
      <c r="D3416" s="434" t="s">
        <v>1212</v>
      </c>
      <c r="E3416" s="434"/>
      <c r="F3416" s="434"/>
      <c r="G3416" s="434"/>
      <c r="H3416" s="434"/>
      <c r="I3416" s="434"/>
      <c r="J3416" s="449"/>
      <c r="K3416" s="292"/>
      <c r="L3416" s="350"/>
      <c r="M3416" s="350"/>
      <c r="N3416" s="292"/>
      <c r="O3416" s="408">
        <f>TrialBalanceC!I108</f>
        <v>0</v>
      </c>
      <c r="P3416" s="295"/>
      <c r="R3416" s="348" t="str">
        <f t="shared" ref="R3416" si="265">IF(R$3308="DELETE","DELETE",IF(O3416=0,"DELETE"," "))</f>
        <v>DELETE</v>
      </c>
    </row>
    <row r="3417" spans="3:18" ht="36" customHeight="1" x14ac:dyDescent="0.45">
      <c r="C3417" s="397"/>
      <c r="D3417" s="434" t="s">
        <v>252</v>
      </c>
      <c r="E3417" s="434"/>
      <c r="F3417" s="434"/>
      <c r="G3417" s="434"/>
      <c r="H3417" s="434"/>
      <c r="I3417" s="434"/>
      <c r="J3417" s="449"/>
      <c r="K3417" s="292">
        <f>B$958</f>
        <v>5</v>
      </c>
      <c r="L3417" s="350"/>
      <c r="M3417" s="350"/>
      <c r="N3417" s="292"/>
      <c r="O3417" s="408">
        <f>SUM(TrialBalanceC!I110:I111)</f>
        <v>0</v>
      </c>
      <c r="P3417" s="295"/>
      <c r="R3417" s="348" t="str">
        <f t="shared" si="264"/>
        <v>DELETE</v>
      </c>
    </row>
    <row r="3418" spans="3:18" ht="36" customHeight="1" x14ac:dyDescent="0.45">
      <c r="C3418" s="397"/>
      <c r="D3418" s="434" t="str">
        <f>IF(MAX(Criteria!I38:I42)&gt;1,"Directors' remuneration","Director's remuneration")</f>
        <v>Directors' remuneration</v>
      </c>
      <c r="E3418" s="434"/>
      <c r="F3418" s="434"/>
      <c r="G3418" s="434"/>
      <c r="H3418" s="434"/>
      <c r="I3418" s="434"/>
      <c r="J3418" s="449"/>
      <c r="K3418" s="292">
        <f>B$958</f>
        <v>5</v>
      </c>
      <c r="L3418" s="350"/>
      <c r="M3418" s="350"/>
      <c r="N3418" s="292"/>
      <c r="O3418" s="408">
        <f>SUM(TrialBalanceC!I113:I117)</f>
        <v>0</v>
      </c>
      <c r="P3418" s="295"/>
      <c r="R3418" s="348" t="str">
        <f t="shared" si="264"/>
        <v>DELETE</v>
      </c>
    </row>
    <row r="3419" spans="3:18" ht="36" customHeight="1" x14ac:dyDescent="0.45">
      <c r="C3419" s="397"/>
      <c r="D3419" s="434" t="s">
        <v>241</v>
      </c>
      <c r="E3419" s="434"/>
      <c r="F3419" s="434"/>
      <c r="G3419" s="434"/>
      <c r="H3419" s="434"/>
      <c r="I3419" s="434"/>
      <c r="J3419" s="449"/>
      <c r="K3419" s="292"/>
      <c r="L3419" s="350"/>
      <c r="M3419" s="350"/>
      <c r="N3419" s="292"/>
      <c r="O3419" s="408">
        <f>TrialBalanceC!I118</f>
        <v>0</v>
      </c>
      <c r="P3419" s="295"/>
      <c r="R3419" s="348" t="str">
        <f t="shared" si="264"/>
        <v>DELETE</v>
      </c>
    </row>
    <row r="3420" spans="3:18" ht="36" customHeight="1" x14ac:dyDescent="0.45">
      <c r="C3420" s="397"/>
      <c r="D3420" s="434" t="s">
        <v>344</v>
      </c>
      <c r="E3420" s="434"/>
      <c r="F3420" s="434"/>
      <c r="G3420" s="434"/>
      <c r="H3420" s="434"/>
      <c r="I3420" s="434"/>
      <c r="J3420" s="449"/>
      <c r="K3420" s="292"/>
      <c r="L3420" s="350"/>
      <c r="M3420" s="350"/>
      <c r="N3420" s="292"/>
      <c r="O3420" s="408">
        <f>TrialBalanceC!I119</f>
        <v>0</v>
      </c>
      <c r="P3420" s="295"/>
      <c r="R3420" s="348" t="str">
        <f t="shared" si="264"/>
        <v>DELETE</v>
      </c>
    </row>
    <row r="3421" spans="3:18" ht="36" customHeight="1" x14ac:dyDescent="0.45">
      <c r="C3421" s="397"/>
      <c r="D3421" s="434" t="s">
        <v>305</v>
      </c>
      <c r="E3421" s="434"/>
      <c r="F3421" s="434"/>
      <c r="G3421" s="434"/>
      <c r="H3421" s="434"/>
      <c r="I3421" s="434"/>
      <c r="J3421" s="449"/>
      <c r="K3421" s="292"/>
      <c r="L3421" s="350"/>
      <c r="M3421" s="350"/>
      <c r="N3421" s="292"/>
      <c r="O3421" s="408">
        <f>TrialBalanceC!I120</f>
        <v>0</v>
      </c>
      <c r="P3421" s="295"/>
      <c r="R3421" s="348" t="str">
        <f t="shared" si="264"/>
        <v>DELETE</v>
      </c>
    </row>
    <row r="3422" spans="3:18" ht="36" customHeight="1" x14ac:dyDescent="0.45">
      <c r="C3422" s="397"/>
      <c r="D3422" s="434" t="s">
        <v>346</v>
      </c>
      <c r="E3422" s="434"/>
      <c r="F3422" s="434"/>
      <c r="G3422" s="434"/>
      <c r="H3422" s="434"/>
      <c r="I3422" s="434"/>
      <c r="J3422" s="449"/>
      <c r="K3422" s="292"/>
      <c r="L3422" s="350"/>
      <c r="M3422" s="350"/>
      <c r="N3422" s="292"/>
      <c r="O3422" s="408">
        <f>TrialBalanceC!I121</f>
        <v>0</v>
      </c>
      <c r="P3422" s="295"/>
      <c r="R3422" s="348" t="str">
        <f t="shared" si="264"/>
        <v>DELETE</v>
      </c>
    </row>
    <row r="3423" spans="3:18" ht="36" customHeight="1" x14ac:dyDescent="0.45">
      <c r="C3423" s="397"/>
      <c r="D3423" s="434" t="s">
        <v>921</v>
      </c>
      <c r="E3423" s="434"/>
      <c r="F3423" s="434"/>
      <c r="G3423" s="434"/>
      <c r="H3423" s="434"/>
      <c r="I3423" s="434"/>
      <c r="J3423" s="449"/>
      <c r="K3423" s="292"/>
      <c r="L3423" s="350"/>
      <c r="M3423" s="350"/>
      <c r="N3423" s="292"/>
      <c r="O3423" s="408">
        <f>TrialBalanceC!I156</f>
        <v>0</v>
      </c>
      <c r="P3423" s="295"/>
      <c r="R3423" s="348" t="str">
        <f>IF(R$3308="DELETE","DELETE",IF(O3423=0,"DELETE"," "))</f>
        <v>DELETE</v>
      </c>
    </row>
    <row r="3424" spans="3:18" ht="36" customHeight="1" x14ac:dyDescent="0.45">
      <c r="C3424" s="397"/>
      <c r="D3424" s="434" t="s">
        <v>490</v>
      </c>
      <c r="E3424" s="434"/>
      <c r="F3424" s="434"/>
      <c r="G3424" s="434"/>
      <c r="H3424" s="434"/>
      <c r="I3424" s="434"/>
      <c r="J3424" s="449"/>
      <c r="K3424" s="292"/>
      <c r="L3424" s="350"/>
      <c r="M3424" s="350"/>
      <c r="N3424" s="292"/>
      <c r="O3424" s="408">
        <f>TrialBalanceC!I122+TrialBalanceC!I123</f>
        <v>0</v>
      </c>
      <c r="P3424" s="295"/>
      <c r="R3424" s="348" t="str">
        <f t="shared" si="264"/>
        <v>DELETE</v>
      </c>
    </row>
    <row r="3425" spans="3:18" ht="36" customHeight="1" x14ac:dyDescent="0.45">
      <c r="C3425" s="397"/>
      <c r="D3425" s="434" t="s">
        <v>512</v>
      </c>
      <c r="E3425" s="434"/>
      <c r="F3425" s="434"/>
      <c r="G3425" s="434"/>
      <c r="H3425" s="434"/>
      <c r="I3425" s="434"/>
      <c r="J3425" s="449"/>
      <c r="K3425" s="292"/>
      <c r="L3425" s="350"/>
      <c r="M3425" s="350"/>
      <c r="N3425" s="292"/>
      <c r="O3425" s="408">
        <f>IF(TrialBalanceC!I94&gt;0,TrialBalanceC!I94,0)</f>
        <v>0</v>
      </c>
      <c r="P3425" s="295"/>
      <c r="R3425" s="348" t="str">
        <f>IF(R$3308="DELETE","DELETE",IF(O3425=0,"DELETE"," "))</f>
        <v>DELETE</v>
      </c>
    </row>
    <row r="3426" spans="3:18" ht="36" customHeight="1" x14ac:dyDescent="0.45">
      <c r="C3426" s="397"/>
      <c r="D3426" s="434" t="s">
        <v>681</v>
      </c>
      <c r="E3426" s="434"/>
      <c r="F3426" s="434"/>
      <c r="G3426" s="434"/>
      <c r="H3426" s="434"/>
      <c r="I3426" s="434"/>
      <c r="J3426" s="449"/>
      <c r="K3426" s="292"/>
      <c r="L3426" s="350"/>
      <c r="M3426" s="350"/>
      <c r="N3426" s="292"/>
      <c r="O3426" s="408">
        <f>TrialBalanceC!I124</f>
        <v>0</v>
      </c>
      <c r="P3426" s="295"/>
      <c r="R3426" s="348" t="str">
        <f>IF(R$3308="DELETE","DELETE",IF(O3426=0,"DELETE"," "))</f>
        <v>DELETE</v>
      </c>
    </row>
    <row r="3427" spans="3:18" ht="36" customHeight="1" x14ac:dyDescent="0.45">
      <c r="C3427" s="397"/>
      <c r="D3427" s="434" t="s">
        <v>242</v>
      </c>
      <c r="E3427" s="434"/>
      <c r="F3427" s="434"/>
      <c r="G3427" s="434"/>
      <c r="H3427" s="434"/>
      <c r="I3427" s="434"/>
      <c r="J3427" s="449"/>
      <c r="K3427" s="292"/>
      <c r="L3427" s="350"/>
      <c r="M3427" s="350"/>
      <c r="N3427" s="292"/>
      <c r="O3427" s="408">
        <f>TrialBalanceC!I125</f>
        <v>0</v>
      </c>
      <c r="P3427" s="295"/>
      <c r="R3427" s="348" t="str">
        <f t="shared" si="264"/>
        <v>DELETE</v>
      </c>
    </row>
    <row r="3428" spans="3:18" ht="36" customHeight="1" x14ac:dyDescent="0.45">
      <c r="C3428" s="397"/>
      <c r="D3428" s="434" t="s">
        <v>235</v>
      </c>
      <c r="E3428" s="434"/>
      <c r="F3428" s="434"/>
      <c r="G3428" s="434"/>
      <c r="H3428" s="434"/>
      <c r="I3428" s="434"/>
      <c r="J3428" s="449"/>
      <c r="K3428" s="292"/>
      <c r="L3428" s="350"/>
      <c r="M3428" s="350"/>
      <c r="N3428" s="292"/>
      <c r="O3428" s="408">
        <f>SUM(TrialBalanceC!I126:I127)</f>
        <v>0</v>
      </c>
      <c r="P3428" s="295"/>
      <c r="R3428" s="348" t="str">
        <f t="shared" si="264"/>
        <v>DELETE</v>
      </c>
    </row>
    <row r="3429" spans="3:18" ht="36" customHeight="1" x14ac:dyDescent="0.45">
      <c r="C3429" s="397"/>
      <c r="D3429" s="434" t="s">
        <v>243</v>
      </c>
      <c r="E3429" s="434"/>
      <c r="F3429" s="434"/>
      <c r="G3429" s="434"/>
      <c r="H3429" s="434"/>
      <c r="I3429" s="434"/>
      <c r="J3429" s="449"/>
      <c r="K3429" s="292"/>
      <c r="L3429" s="350"/>
      <c r="M3429" s="350"/>
      <c r="N3429" s="292"/>
      <c r="O3429" s="408">
        <f>TrialBalanceC!I128</f>
        <v>0</v>
      </c>
      <c r="P3429" s="295"/>
      <c r="R3429" s="348" t="str">
        <f t="shared" si="264"/>
        <v>DELETE</v>
      </c>
    </row>
    <row r="3430" spans="3:18" ht="36" customHeight="1" x14ac:dyDescent="0.45">
      <c r="C3430" s="397"/>
      <c r="D3430" s="434" t="s">
        <v>682</v>
      </c>
      <c r="E3430" s="434"/>
      <c r="F3430" s="434"/>
      <c r="G3430" s="434"/>
      <c r="H3430" s="434"/>
      <c r="I3430" s="434"/>
      <c r="J3430" s="449"/>
      <c r="K3430" s="292"/>
      <c r="L3430" s="350"/>
      <c r="M3430" s="350"/>
      <c r="N3430" s="292"/>
      <c r="O3430" s="408">
        <f>TrialBalanceC!I129</f>
        <v>0</v>
      </c>
      <c r="P3430" s="295"/>
      <c r="R3430" s="348" t="str">
        <f t="shared" si="264"/>
        <v>DELETE</v>
      </c>
    </row>
    <row r="3431" spans="3:18" ht="36" customHeight="1" x14ac:dyDescent="0.45">
      <c r="C3431" s="397"/>
      <c r="D3431" s="434" t="s">
        <v>74</v>
      </c>
      <c r="E3431" s="434"/>
      <c r="F3431" s="434"/>
      <c r="G3431" s="434"/>
      <c r="H3431" s="434"/>
      <c r="I3431" s="434"/>
      <c r="J3431" s="449"/>
      <c r="K3431" s="292"/>
      <c r="L3431" s="350"/>
      <c r="M3431" s="350"/>
      <c r="N3431" s="292"/>
      <c r="O3431" s="408">
        <f>TrialBalanceC!I130</f>
        <v>0</v>
      </c>
      <c r="P3431" s="295"/>
      <c r="R3431" s="348" t="str">
        <f t="shared" si="264"/>
        <v>DELETE</v>
      </c>
    </row>
    <row r="3432" spans="3:18" ht="36" customHeight="1" x14ac:dyDescent="0.45">
      <c r="C3432" s="397"/>
      <c r="D3432" s="434">
        <f>TrialBalanceC!C131</f>
        <v>0</v>
      </c>
      <c r="E3432" s="434"/>
      <c r="F3432" s="434"/>
      <c r="G3432" s="434"/>
      <c r="H3432" s="434"/>
      <c r="I3432" s="434"/>
      <c r="J3432" s="449"/>
      <c r="K3432" s="292"/>
      <c r="L3432" s="350"/>
      <c r="M3432" s="350"/>
      <c r="N3432" s="292"/>
      <c r="O3432" s="408">
        <f>TrialBalanceC!I131</f>
        <v>0</v>
      </c>
      <c r="P3432" s="295"/>
      <c r="R3432" s="348" t="str">
        <f t="shared" si="264"/>
        <v>DELETE</v>
      </c>
    </row>
    <row r="3433" spans="3:18" ht="36" customHeight="1" x14ac:dyDescent="0.45">
      <c r="C3433" s="397"/>
      <c r="D3433" s="434">
        <f>TrialBalanceC!C132</f>
        <v>0</v>
      </c>
      <c r="E3433" s="434"/>
      <c r="F3433" s="434"/>
      <c r="G3433" s="434"/>
      <c r="H3433" s="434"/>
      <c r="I3433" s="434"/>
      <c r="J3433" s="449"/>
      <c r="K3433" s="292"/>
      <c r="L3433" s="350"/>
      <c r="M3433" s="350"/>
      <c r="N3433" s="292"/>
      <c r="O3433" s="408">
        <f>TrialBalanceC!I132</f>
        <v>0</v>
      </c>
      <c r="P3433" s="295"/>
      <c r="R3433" s="348" t="str">
        <f t="shared" si="264"/>
        <v>DELETE</v>
      </c>
    </row>
    <row r="3434" spans="3:18" ht="36" customHeight="1" x14ac:dyDescent="0.45">
      <c r="C3434" s="397"/>
      <c r="D3434" s="434">
        <f>TrialBalanceC!C133</f>
        <v>0</v>
      </c>
      <c r="E3434" s="434"/>
      <c r="F3434" s="434"/>
      <c r="G3434" s="434"/>
      <c r="H3434" s="434"/>
      <c r="I3434" s="434"/>
      <c r="J3434" s="449"/>
      <c r="K3434" s="292"/>
      <c r="L3434" s="350"/>
      <c r="M3434" s="350"/>
      <c r="N3434" s="292"/>
      <c r="O3434" s="408">
        <f>TrialBalanceC!I133</f>
        <v>0</v>
      </c>
      <c r="P3434" s="295"/>
      <c r="R3434" s="348" t="str">
        <f t="shared" si="264"/>
        <v>DELETE</v>
      </c>
    </row>
    <row r="3435" spans="3:18" ht="36" customHeight="1" x14ac:dyDescent="0.45">
      <c r="C3435" s="397"/>
      <c r="D3435" s="434">
        <f>TrialBalanceC!C134</f>
        <v>0</v>
      </c>
      <c r="E3435" s="434"/>
      <c r="F3435" s="434"/>
      <c r="G3435" s="434"/>
      <c r="H3435" s="434"/>
      <c r="I3435" s="434"/>
      <c r="J3435" s="449"/>
      <c r="K3435" s="292"/>
      <c r="L3435" s="350"/>
      <c r="M3435" s="350"/>
      <c r="N3435" s="292"/>
      <c r="O3435" s="408">
        <f>TrialBalanceC!I134</f>
        <v>0</v>
      </c>
      <c r="P3435" s="295"/>
      <c r="R3435" s="348" t="str">
        <f t="shared" si="264"/>
        <v>DELETE</v>
      </c>
    </row>
    <row r="3436" spans="3:18" ht="36" customHeight="1" x14ac:dyDescent="0.45">
      <c r="C3436" s="397"/>
      <c r="D3436" s="434">
        <f>TrialBalanceC!C135</f>
        <v>0</v>
      </c>
      <c r="E3436" s="434"/>
      <c r="F3436" s="434"/>
      <c r="G3436" s="434"/>
      <c r="H3436" s="434"/>
      <c r="I3436" s="434"/>
      <c r="J3436" s="449"/>
      <c r="K3436" s="292"/>
      <c r="L3436" s="350"/>
      <c r="M3436" s="350"/>
      <c r="N3436" s="292"/>
      <c r="O3436" s="408">
        <f>TrialBalanceC!I135</f>
        <v>0</v>
      </c>
      <c r="P3436" s="295"/>
      <c r="R3436" s="348" t="str">
        <f t="shared" si="264"/>
        <v>DELETE</v>
      </c>
    </row>
    <row r="3437" spans="3:18" ht="36" customHeight="1" x14ac:dyDescent="0.45">
      <c r="C3437" s="397"/>
      <c r="D3437" s="434">
        <f>TrialBalanceC!C136</f>
        <v>0</v>
      </c>
      <c r="E3437" s="434"/>
      <c r="F3437" s="434"/>
      <c r="G3437" s="434"/>
      <c r="H3437" s="434"/>
      <c r="I3437" s="434"/>
      <c r="J3437" s="449"/>
      <c r="K3437" s="292"/>
      <c r="L3437" s="350"/>
      <c r="M3437" s="350"/>
      <c r="N3437" s="292"/>
      <c r="O3437" s="408">
        <f>TrialBalanceC!I136</f>
        <v>0</v>
      </c>
      <c r="P3437" s="295"/>
      <c r="R3437" s="348" t="str">
        <f t="shared" si="264"/>
        <v>DELETE</v>
      </c>
    </row>
    <row r="3438" spans="3:18" ht="36" customHeight="1" x14ac:dyDescent="0.45">
      <c r="C3438" s="397"/>
      <c r="D3438" s="434">
        <f>TrialBalanceC!C137</f>
        <v>0</v>
      </c>
      <c r="E3438" s="434"/>
      <c r="F3438" s="434"/>
      <c r="G3438" s="434"/>
      <c r="H3438" s="434"/>
      <c r="I3438" s="434"/>
      <c r="J3438" s="449"/>
      <c r="K3438" s="292"/>
      <c r="L3438" s="350"/>
      <c r="M3438" s="350"/>
      <c r="N3438" s="292"/>
      <c r="O3438" s="408">
        <f>TrialBalanceC!I137</f>
        <v>0</v>
      </c>
      <c r="P3438" s="295"/>
      <c r="R3438" s="348" t="str">
        <f t="shared" si="264"/>
        <v>DELETE</v>
      </c>
    </row>
    <row r="3439" spans="3:18" ht="36" customHeight="1" x14ac:dyDescent="0.45">
      <c r="C3439" s="397"/>
      <c r="D3439" s="434">
        <f>TrialBalanceC!C138</f>
        <v>0</v>
      </c>
      <c r="E3439" s="434"/>
      <c r="F3439" s="434"/>
      <c r="G3439" s="434"/>
      <c r="H3439" s="434"/>
      <c r="I3439" s="434"/>
      <c r="J3439" s="449"/>
      <c r="K3439" s="292"/>
      <c r="L3439" s="350"/>
      <c r="M3439" s="350"/>
      <c r="N3439" s="292"/>
      <c r="O3439" s="408">
        <f>TrialBalanceC!I138</f>
        <v>0</v>
      </c>
      <c r="P3439" s="295"/>
      <c r="R3439" s="348" t="str">
        <f t="shared" si="264"/>
        <v>DELETE</v>
      </c>
    </row>
    <row r="3440" spans="3:18" ht="36" customHeight="1" x14ac:dyDescent="0.45">
      <c r="C3440" s="397"/>
      <c r="D3440" s="434">
        <f>TrialBalanceC!C139</f>
        <v>0</v>
      </c>
      <c r="E3440" s="434"/>
      <c r="F3440" s="434"/>
      <c r="G3440" s="434"/>
      <c r="H3440" s="434"/>
      <c r="I3440" s="434"/>
      <c r="J3440" s="449"/>
      <c r="K3440" s="292"/>
      <c r="L3440" s="350"/>
      <c r="M3440" s="350"/>
      <c r="N3440" s="292"/>
      <c r="O3440" s="408">
        <f>TrialBalanceC!I139</f>
        <v>0</v>
      </c>
      <c r="P3440" s="295"/>
      <c r="R3440" s="348" t="str">
        <f t="shared" si="264"/>
        <v>DELETE</v>
      </c>
    </row>
    <row r="3441" spans="3:24" ht="36" customHeight="1" x14ac:dyDescent="0.45">
      <c r="C3441" s="397"/>
      <c r="D3441" s="434" t="str">
        <f>TrialBalanceC!C140</f>
        <v>Amortisation of prepaid lease agreement</v>
      </c>
      <c r="E3441" s="434"/>
      <c r="F3441" s="434"/>
      <c r="G3441" s="434"/>
      <c r="H3441" s="434"/>
      <c r="I3441" s="434"/>
      <c r="J3441" s="449"/>
      <c r="K3441" s="292"/>
      <c r="L3441" s="350"/>
      <c r="M3441" s="350"/>
      <c r="N3441" s="292"/>
      <c r="O3441" s="408">
        <f>TrialBalanceC!I140</f>
        <v>0</v>
      </c>
      <c r="P3441" s="295"/>
      <c r="R3441" s="348" t="str">
        <f t="shared" si="264"/>
        <v>DELETE</v>
      </c>
    </row>
    <row r="3442" spans="3:24" ht="36" customHeight="1" x14ac:dyDescent="0.45">
      <c r="C3442" s="397"/>
      <c r="D3442" s="434" t="str">
        <f>TrialBalanceC!C141</f>
        <v>Amortisation of goodwill</v>
      </c>
      <c r="E3442" s="434"/>
      <c r="F3442" s="434"/>
      <c r="G3442" s="434"/>
      <c r="H3442" s="434"/>
      <c r="I3442" s="434"/>
      <c r="J3442" s="449"/>
      <c r="K3442" s="292"/>
      <c r="L3442" s="350"/>
      <c r="M3442" s="350"/>
      <c r="N3442" s="292"/>
      <c r="O3442" s="408">
        <f>TrialBalanceC!I141</f>
        <v>0</v>
      </c>
      <c r="P3442" s="295"/>
      <c r="R3442" s="348" t="str">
        <f t="shared" ref="R3442" si="266">IF(R$3308="DELETE","DELETE",IF(O3442=0,"DELETE"," "))</f>
        <v>DELETE</v>
      </c>
    </row>
    <row r="3443" spans="3:24" ht="9" customHeight="1" x14ac:dyDescent="0.45">
      <c r="C3443" s="397"/>
      <c r="D3443" s="434"/>
      <c r="E3443" s="434"/>
      <c r="F3443" s="434"/>
      <c r="G3443" s="434"/>
      <c r="H3443" s="434"/>
      <c r="I3443" s="434"/>
      <c r="J3443" s="449"/>
      <c r="K3443" s="292"/>
      <c r="L3443" s="350"/>
      <c r="M3443" s="350"/>
      <c r="N3443" s="292"/>
      <c r="O3443" s="409"/>
      <c r="P3443" s="295"/>
      <c r="R3443" s="348" t="str">
        <f>R3407</f>
        <v>DELETE</v>
      </c>
    </row>
    <row r="3444" spans="3:24" ht="9" customHeight="1" x14ac:dyDescent="0.45">
      <c r="C3444" s="397"/>
      <c r="D3444" s="434"/>
      <c r="E3444" s="434"/>
      <c r="F3444" s="434"/>
      <c r="G3444" s="434"/>
      <c r="H3444" s="434"/>
      <c r="I3444" s="434"/>
      <c r="J3444" s="449"/>
      <c r="K3444" s="292"/>
      <c r="L3444" s="350"/>
      <c r="M3444" s="350"/>
      <c r="N3444" s="292"/>
      <c r="O3444" s="298"/>
      <c r="P3444" s="295"/>
      <c r="R3444" s="348" t="str">
        <f t="shared" ref="R3444:R3447" si="267">R$3308</f>
        <v>DELETE</v>
      </c>
    </row>
    <row r="3445" spans="3:24" ht="9" customHeight="1" x14ac:dyDescent="0.45">
      <c r="C3445" s="397"/>
      <c r="D3445" s="434"/>
      <c r="E3445" s="434"/>
      <c r="F3445" s="434"/>
      <c r="G3445" s="434"/>
      <c r="H3445" s="434"/>
      <c r="I3445" s="434"/>
      <c r="J3445" s="449"/>
      <c r="K3445" s="292"/>
      <c r="L3445" s="350"/>
      <c r="M3445" s="350"/>
      <c r="N3445" s="292"/>
      <c r="O3445" s="296"/>
      <c r="P3445" s="295"/>
      <c r="R3445" s="348" t="str">
        <f t="shared" si="267"/>
        <v>DELETE</v>
      </c>
    </row>
    <row r="3446" spans="3:24" ht="36" customHeight="1" x14ac:dyDescent="0.45">
      <c r="D3446" s="446" t="str">
        <f>IF(O3446&lt;0,"Operating loss for the year","Operating profit for the year")</f>
        <v>Operating profit for the year</v>
      </c>
      <c r="E3446" s="434"/>
      <c r="F3446" s="434"/>
      <c r="G3446" s="434"/>
      <c r="H3446" s="434"/>
      <c r="I3446" s="434"/>
      <c r="J3446" s="449"/>
      <c r="K3446" s="292">
        <f>FS!B958</f>
        <v>5</v>
      </c>
      <c r="L3446" s="350"/>
      <c r="M3446" s="350"/>
      <c r="N3446" s="292"/>
      <c r="O3446" s="296">
        <f>SUM(S3320:S3443)</f>
        <v>0</v>
      </c>
      <c r="P3446" s="295"/>
      <c r="R3446" s="348" t="str">
        <f t="shared" si="267"/>
        <v>DELETE</v>
      </c>
    </row>
    <row r="3447" spans="3:24" ht="36" customHeight="1" x14ac:dyDescent="0.45">
      <c r="C3447" s="397"/>
      <c r="D3447" s="434"/>
      <c r="E3447" s="434"/>
      <c r="F3447" s="434"/>
      <c r="G3447" s="434"/>
      <c r="H3447" s="434"/>
      <c r="I3447" s="434"/>
      <c r="J3447" s="449"/>
      <c r="K3447" s="292"/>
      <c r="L3447" s="350"/>
      <c r="M3447" s="350"/>
      <c r="N3447" s="292"/>
      <c r="O3447" s="296"/>
      <c r="P3447" s="295"/>
      <c r="R3447" s="348" t="str">
        <f t="shared" si="267"/>
        <v>DELETE</v>
      </c>
    </row>
    <row r="3448" spans="3:24" ht="36" customHeight="1" x14ac:dyDescent="0.45">
      <c r="D3448" s="433" t="s">
        <v>191</v>
      </c>
      <c r="E3448" s="434"/>
      <c r="F3448" s="434"/>
      <c r="G3448" s="434"/>
      <c r="H3448" s="434"/>
      <c r="I3448" s="434"/>
      <c r="J3448" s="449"/>
      <c r="K3448" s="292">
        <f>FS!B1072</f>
        <v>6</v>
      </c>
      <c r="L3448" s="350"/>
      <c r="M3448" s="350"/>
      <c r="N3448" s="292"/>
      <c r="O3448" s="296">
        <f>SUM(O3451:O3458)</f>
        <v>0</v>
      </c>
      <c r="P3448" s="295"/>
      <c r="R3448" s="348" t="str">
        <f t="shared" ref="R3448" si="268">IF(R$3308="DELETE","DELETE",IF(O3448=0,"DELETE"," "))</f>
        <v>DELETE</v>
      </c>
      <c r="S3448" s="333">
        <f>O3448</f>
        <v>0</v>
      </c>
      <c r="T3448" s="333"/>
      <c r="U3448" s="333"/>
      <c r="V3448" s="333"/>
      <c r="W3448" s="333"/>
      <c r="X3448" s="333"/>
    </row>
    <row r="3449" spans="3:24" ht="9" customHeight="1" x14ac:dyDescent="0.45">
      <c r="C3449" s="397"/>
      <c r="D3449" s="434"/>
      <c r="E3449" s="434"/>
      <c r="F3449" s="434"/>
      <c r="G3449" s="434"/>
      <c r="H3449" s="434"/>
      <c r="I3449" s="434"/>
      <c r="J3449" s="449"/>
      <c r="K3449" s="292"/>
      <c r="L3449" s="350"/>
      <c r="M3449" s="350"/>
      <c r="N3449" s="292"/>
      <c r="O3449" s="296"/>
      <c r="P3449" s="295"/>
      <c r="R3449" s="348" t="str">
        <f>R3448</f>
        <v>DELETE</v>
      </c>
    </row>
    <row r="3450" spans="3:24" ht="9" customHeight="1" x14ac:dyDescent="0.45">
      <c r="C3450" s="397"/>
      <c r="D3450" s="434"/>
      <c r="E3450" s="434"/>
      <c r="F3450" s="434"/>
      <c r="G3450" s="434"/>
      <c r="H3450" s="434"/>
      <c r="I3450" s="434"/>
      <c r="J3450" s="449"/>
      <c r="K3450" s="292"/>
      <c r="L3450" s="350"/>
      <c r="M3450" s="350"/>
      <c r="N3450" s="292"/>
      <c r="O3450" s="407"/>
      <c r="P3450" s="295"/>
      <c r="R3450" s="348" t="str">
        <f>R3449</f>
        <v>DELETE</v>
      </c>
    </row>
    <row r="3451" spans="3:24" ht="36" customHeight="1" x14ac:dyDescent="0.45">
      <c r="C3451" s="397"/>
      <c r="D3451" s="434" t="s">
        <v>189</v>
      </c>
      <c r="E3451" s="434"/>
      <c r="F3451" s="434"/>
      <c r="G3451" s="434"/>
      <c r="H3451" s="434"/>
      <c r="I3451" s="434"/>
      <c r="J3451" s="449"/>
      <c r="K3451" s="292"/>
      <c r="L3451" s="350"/>
      <c r="M3451" s="350"/>
      <c r="N3451" s="292"/>
      <c r="O3451" s="408">
        <f>-TrialBalanceC!I95</f>
        <v>0</v>
      </c>
      <c r="P3451" s="295"/>
      <c r="R3451" s="348" t="str">
        <f t="shared" ref="R3451:R3456" si="269">IF(R$3308="DELETE","DELETE",IF(O3451=0,"DELETE"," "))</f>
        <v>DELETE</v>
      </c>
    </row>
    <row r="3452" spans="3:24" ht="36" customHeight="1" x14ac:dyDescent="0.45">
      <c r="C3452" s="397"/>
      <c r="D3452" s="434" t="s">
        <v>496</v>
      </c>
      <c r="E3452" s="434"/>
      <c r="F3452" s="434"/>
      <c r="G3452" s="434"/>
      <c r="H3452" s="434"/>
      <c r="I3452" s="434"/>
      <c r="J3452" s="449"/>
      <c r="K3452" s="292"/>
      <c r="L3452" s="350"/>
      <c r="M3452" s="350"/>
      <c r="N3452" s="292"/>
      <c r="O3452" s="408">
        <f>-SUM(TrialBalanceC!I91:I93)</f>
        <v>0</v>
      </c>
      <c r="P3452" s="295"/>
      <c r="R3452" s="348" t="str">
        <f t="shared" si="269"/>
        <v>DELETE</v>
      </c>
    </row>
    <row r="3453" spans="3:24" ht="36" customHeight="1" x14ac:dyDescent="0.45">
      <c r="C3453" s="397"/>
      <c r="D3453" s="434" t="s">
        <v>497</v>
      </c>
      <c r="E3453" s="434"/>
      <c r="F3453" s="434"/>
      <c r="G3453" s="434"/>
      <c r="H3453" s="434"/>
      <c r="I3453" s="434"/>
      <c r="J3453" s="449"/>
      <c r="K3453" s="292"/>
      <c r="L3453" s="350"/>
      <c r="M3453" s="350"/>
      <c r="N3453" s="292"/>
      <c r="O3453" s="419">
        <f>-SUM(TrialBalanceC!I86:I89)</f>
        <v>0</v>
      </c>
      <c r="P3453" s="295"/>
      <c r="R3453" s="348" t="str">
        <f t="shared" si="269"/>
        <v>DELETE</v>
      </c>
    </row>
    <row r="3454" spans="3:24" ht="36" customHeight="1" x14ac:dyDescent="0.45">
      <c r="C3454" s="397"/>
      <c r="D3454" s="434" t="s">
        <v>191</v>
      </c>
      <c r="E3454" s="434"/>
      <c r="F3454" s="434"/>
      <c r="G3454" s="434"/>
      <c r="H3454" s="434"/>
      <c r="I3454" s="434"/>
      <c r="J3454" s="449"/>
      <c r="K3454" s="292"/>
      <c r="L3454" s="350"/>
      <c r="M3454" s="350"/>
      <c r="N3454" s="292"/>
      <c r="O3454" s="419">
        <f>-SUM(TrialBalanceC!I96)</f>
        <v>0</v>
      </c>
      <c r="P3454" s="295"/>
      <c r="R3454" s="348" t="str">
        <f t="shared" si="269"/>
        <v>DELETE</v>
      </c>
    </row>
    <row r="3455" spans="3:24" ht="36" customHeight="1" x14ac:dyDescent="0.45">
      <c r="C3455" s="397"/>
      <c r="D3455" s="434" t="s">
        <v>513</v>
      </c>
      <c r="E3455" s="434"/>
      <c r="F3455" s="434"/>
      <c r="G3455" s="434"/>
      <c r="H3455" s="434"/>
      <c r="I3455" s="434"/>
      <c r="J3455" s="449"/>
      <c r="K3455" s="292"/>
      <c r="L3455" s="350"/>
      <c r="M3455" s="350"/>
      <c r="N3455" s="292"/>
      <c r="O3455" s="408">
        <f>IF(TrialBalanceC!I94&lt;0,-TrialBalanceC!I94,0)</f>
        <v>0</v>
      </c>
      <c r="P3455" s="295"/>
      <c r="R3455" s="348" t="str">
        <f t="shared" si="269"/>
        <v>DELETE</v>
      </c>
    </row>
    <row r="3456" spans="3:24" ht="36" customHeight="1" x14ac:dyDescent="0.45">
      <c r="C3456" s="397"/>
      <c r="D3456" s="434" t="s">
        <v>334</v>
      </c>
      <c r="E3456" s="434"/>
      <c r="F3456" s="434"/>
      <c r="G3456" s="434"/>
      <c r="H3456" s="434"/>
      <c r="I3456" s="434"/>
      <c r="J3456" s="449"/>
      <c r="K3456" s="292"/>
      <c r="L3456" s="350"/>
      <c r="M3456" s="350"/>
      <c r="N3456" s="292"/>
      <c r="O3456" s="408">
        <f>-TrialBalanceC!I84</f>
        <v>0</v>
      </c>
      <c r="P3456" s="295"/>
      <c r="R3456" s="348" t="str">
        <f t="shared" si="269"/>
        <v>DELETE</v>
      </c>
    </row>
    <row r="3457" spans="3:24" ht="36" customHeight="1" x14ac:dyDescent="0.45">
      <c r="C3457" s="397"/>
      <c r="D3457" s="434" t="str">
        <f>TrialBalance!C97</f>
        <v>Revaluation of investment property</v>
      </c>
      <c r="E3457" s="434"/>
      <c r="F3457" s="434"/>
      <c r="G3457" s="434"/>
      <c r="H3457" s="434"/>
      <c r="I3457" s="434"/>
      <c r="J3457" s="449"/>
      <c r="K3457" s="292"/>
      <c r="L3457" s="350"/>
      <c r="M3457" s="350"/>
      <c r="N3457" s="292"/>
      <c r="O3457" s="408">
        <f>-TrialBalanceC!I97</f>
        <v>0</v>
      </c>
      <c r="P3457" s="295"/>
      <c r="R3457" s="348" t="str">
        <f>IF(R$3308="DELETE","DELETE",IF(O3457=0,"DELETE"," "))</f>
        <v>DELETE</v>
      </c>
    </row>
    <row r="3458" spans="3:24" ht="9" customHeight="1" x14ac:dyDescent="0.45">
      <c r="C3458" s="397"/>
      <c r="D3458" s="434"/>
      <c r="E3458" s="434"/>
      <c r="F3458" s="434"/>
      <c r="G3458" s="434"/>
      <c r="H3458" s="434"/>
      <c r="I3458" s="434"/>
      <c r="J3458" s="449"/>
      <c r="K3458" s="292"/>
      <c r="L3458" s="350"/>
      <c r="M3458" s="350"/>
      <c r="N3458" s="292"/>
      <c r="O3458" s="409"/>
      <c r="P3458" s="295"/>
      <c r="R3458" s="348" t="str">
        <f>R3448</f>
        <v>DELETE</v>
      </c>
    </row>
    <row r="3459" spans="3:24" ht="9" customHeight="1" x14ac:dyDescent="0.45">
      <c r="C3459" s="397"/>
      <c r="D3459" s="434"/>
      <c r="E3459" s="434"/>
      <c r="F3459" s="434"/>
      <c r="G3459" s="434"/>
      <c r="H3459" s="434"/>
      <c r="I3459" s="434"/>
      <c r="J3459" s="449"/>
      <c r="K3459" s="292"/>
      <c r="L3459" s="350"/>
      <c r="M3459" s="350"/>
      <c r="N3459" s="292"/>
      <c r="O3459" s="298"/>
      <c r="P3459" s="295"/>
      <c r="R3459" s="348" t="str">
        <f>R3458</f>
        <v>DELETE</v>
      </c>
    </row>
    <row r="3460" spans="3:24" ht="9" customHeight="1" x14ac:dyDescent="0.45">
      <c r="C3460" s="397"/>
      <c r="D3460" s="434"/>
      <c r="E3460" s="434"/>
      <c r="F3460" s="434"/>
      <c r="G3460" s="434"/>
      <c r="H3460" s="434"/>
      <c r="I3460" s="434"/>
      <c r="J3460" s="449"/>
      <c r="K3460" s="292"/>
      <c r="L3460" s="350"/>
      <c r="M3460" s="350"/>
      <c r="N3460" s="292"/>
      <c r="O3460" s="296"/>
      <c r="P3460" s="295"/>
      <c r="R3460" s="348" t="str">
        <f>R3459</f>
        <v>DELETE</v>
      </c>
    </row>
    <row r="3461" spans="3:24" ht="36" customHeight="1" x14ac:dyDescent="0.45">
      <c r="C3461" s="397"/>
      <c r="D3461" s="434"/>
      <c r="E3461" s="434"/>
      <c r="F3461" s="434"/>
      <c r="G3461" s="434"/>
      <c r="H3461" s="434"/>
      <c r="I3461" s="434"/>
      <c r="J3461" s="449"/>
      <c r="K3461" s="292"/>
      <c r="L3461" s="350"/>
      <c r="M3461" s="350"/>
      <c r="N3461" s="292"/>
      <c r="O3461" s="296">
        <f>SUM(S3320:S3458)</f>
        <v>0</v>
      </c>
      <c r="P3461" s="295"/>
      <c r="R3461" s="348" t="str">
        <f>R3460</f>
        <v>DELETE</v>
      </c>
    </row>
    <row r="3462" spans="3:24" ht="36" customHeight="1" x14ac:dyDescent="0.45">
      <c r="C3462" s="397"/>
      <c r="D3462" s="434"/>
      <c r="E3462" s="434"/>
      <c r="F3462" s="434"/>
      <c r="G3462" s="434"/>
      <c r="H3462" s="434"/>
      <c r="I3462" s="434"/>
      <c r="J3462" s="449"/>
      <c r="K3462" s="292"/>
      <c r="L3462" s="350"/>
      <c r="M3462" s="350"/>
      <c r="N3462" s="292"/>
      <c r="O3462" s="296"/>
      <c r="P3462" s="295"/>
      <c r="R3462" s="348" t="str">
        <f>R3461</f>
        <v>DELETE</v>
      </c>
    </row>
    <row r="3463" spans="3:24" ht="36" customHeight="1" x14ac:dyDescent="0.45">
      <c r="D3463" s="434" t="s">
        <v>1077</v>
      </c>
      <c r="E3463" s="434"/>
      <c r="F3463" s="434"/>
      <c r="G3463" s="434"/>
      <c r="H3463" s="434"/>
      <c r="I3463" s="434"/>
      <c r="J3463" s="449"/>
      <c r="K3463" s="292">
        <f>FS!B1132</f>
        <v>7</v>
      </c>
      <c r="L3463" s="350"/>
      <c r="M3463" s="350"/>
      <c r="N3463" s="292"/>
      <c r="O3463" s="296">
        <f>SUM(TrialBalanceC!I144:I154)</f>
        <v>0</v>
      </c>
      <c r="P3463" s="295"/>
      <c r="R3463" s="348" t="str">
        <f t="shared" ref="R3463" si="270">IF(R$3308="DELETE","DELETE",IF(O3463=0,"DELETE"," "))</f>
        <v>DELETE</v>
      </c>
      <c r="S3463" s="333">
        <f>-O3463</f>
        <v>0</v>
      </c>
      <c r="T3463" s="333"/>
      <c r="U3463" s="333"/>
      <c r="V3463" s="333"/>
      <c r="W3463" s="333"/>
      <c r="X3463" s="333"/>
    </row>
    <row r="3464" spans="3:24" ht="9" customHeight="1" x14ac:dyDescent="0.45">
      <c r="C3464" s="397"/>
      <c r="D3464" s="434"/>
      <c r="E3464" s="434"/>
      <c r="F3464" s="434"/>
      <c r="G3464" s="434"/>
      <c r="H3464" s="434"/>
      <c r="I3464" s="434"/>
      <c r="J3464" s="449"/>
      <c r="K3464" s="292"/>
      <c r="L3464" s="350"/>
      <c r="M3464" s="350"/>
      <c r="N3464" s="292"/>
      <c r="O3464" s="298"/>
      <c r="P3464" s="295"/>
      <c r="R3464" s="348" t="str">
        <f t="shared" ref="R3464:R3472" si="271">R$3308</f>
        <v>DELETE</v>
      </c>
    </row>
    <row r="3465" spans="3:24" ht="9" customHeight="1" x14ac:dyDescent="0.45">
      <c r="C3465" s="397"/>
      <c r="D3465" s="434"/>
      <c r="E3465" s="434"/>
      <c r="F3465" s="434"/>
      <c r="G3465" s="434"/>
      <c r="H3465" s="434"/>
      <c r="I3465" s="434"/>
      <c r="J3465" s="449"/>
      <c r="K3465" s="292"/>
      <c r="L3465" s="350"/>
      <c r="M3465" s="350"/>
      <c r="N3465" s="292"/>
      <c r="O3465" s="296"/>
      <c r="P3465" s="295"/>
      <c r="R3465" s="348" t="str">
        <f t="shared" si="271"/>
        <v>DELETE</v>
      </c>
    </row>
    <row r="3466" spans="3:24" ht="36.75" customHeight="1" x14ac:dyDescent="0.45">
      <c r="D3466" s="446" t="str">
        <f>IF(O3466&lt;0,"Loss before taxation","Profit before taxation")</f>
        <v>Profit before taxation</v>
      </c>
      <c r="E3466" s="434"/>
      <c r="F3466" s="434"/>
      <c r="G3466" s="434"/>
      <c r="H3466" s="434"/>
      <c r="I3466" s="434"/>
      <c r="J3466" s="449"/>
      <c r="K3466" s="292"/>
      <c r="L3466" s="350"/>
      <c r="M3466" s="350"/>
      <c r="N3466" s="292"/>
      <c r="O3466" s="296">
        <f>SUM(S3320:S3465)</f>
        <v>0</v>
      </c>
      <c r="P3466" s="295"/>
      <c r="R3466" s="348" t="str">
        <f t="shared" si="271"/>
        <v>DELETE</v>
      </c>
      <c r="V3466" s="331" t="b">
        <f>O3466=FS!M2469</f>
        <v>1</v>
      </c>
    </row>
    <row r="3467" spans="3:24" ht="9" customHeight="1" thickBot="1" x14ac:dyDescent="0.5">
      <c r="C3467" s="397"/>
      <c r="D3467" s="434"/>
      <c r="E3467" s="434"/>
      <c r="F3467" s="434"/>
      <c r="G3467" s="434"/>
      <c r="H3467" s="434"/>
      <c r="I3467" s="434"/>
      <c r="J3467" s="449"/>
      <c r="K3467" s="292"/>
      <c r="L3467" s="350"/>
      <c r="M3467" s="350"/>
      <c r="N3467" s="292"/>
      <c r="O3467" s="299"/>
      <c r="P3467" s="295"/>
      <c r="R3467" s="348" t="str">
        <f t="shared" si="271"/>
        <v>DELETE</v>
      </c>
    </row>
    <row r="3468" spans="3:24" ht="9" customHeight="1" thickTop="1" x14ac:dyDescent="0.45">
      <c r="C3468" s="397"/>
      <c r="D3468" s="434"/>
      <c r="E3468" s="434"/>
      <c r="F3468" s="434"/>
      <c r="G3468" s="434"/>
      <c r="H3468" s="434"/>
      <c r="I3468" s="434"/>
      <c r="J3468" s="449"/>
      <c r="K3468" s="292"/>
      <c r="L3468" s="350"/>
      <c r="M3468" s="350"/>
      <c r="N3468" s="292"/>
      <c r="O3468" s="310"/>
      <c r="P3468" s="295"/>
      <c r="R3468" s="348" t="str">
        <f t="shared" si="271"/>
        <v>DELETE</v>
      </c>
    </row>
    <row r="3469" spans="3:24" ht="36" customHeight="1" x14ac:dyDescent="0.45">
      <c r="C3469" s="397"/>
      <c r="D3469" s="434"/>
      <c r="E3469" s="434"/>
      <c r="F3469" s="434"/>
      <c r="G3469" s="434"/>
      <c r="H3469" s="434"/>
      <c r="I3469" s="434"/>
      <c r="J3469" s="449"/>
      <c r="K3469" s="292"/>
      <c r="L3469" s="350"/>
      <c r="M3469" s="350"/>
      <c r="N3469" s="292"/>
      <c r="O3469" s="296"/>
      <c r="P3469" s="295"/>
      <c r="R3469" s="348" t="str">
        <f t="shared" si="271"/>
        <v>DELETE</v>
      </c>
    </row>
    <row r="3470" spans="3:24" ht="36" customHeight="1" x14ac:dyDescent="0.45">
      <c r="C3470" s="397"/>
      <c r="D3470" s="434"/>
      <c r="E3470" s="434"/>
      <c r="F3470" s="434"/>
      <c r="G3470" s="434"/>
      <c r="H3470" s="434"/>
      <c r="I3470" s="434"/>
      <c r="J3470" s="449"/>
      <c r="K3470" s="292"/>
      <c r="L3470" s="292"/>
      <c r="M3470" s="296"/>
      <c r="N3470" s="296"/>
      <c r="O3470" s="296"/>
      <c r="P3470" s="295"/>
      <c r="R3470" s="348" t="str">
        <f t="shared" si="271"/>
        <v>DELETE</v>
      </c>
    </row>
    <row r="3471" spans="3:24" ht="36" customHeight="1" x14ac:dyDescent="0.5">
      <c r="C3471" s="353"/>
      <c r="D3471" s="434"/>
      <c r="E3471" s="434"/>
      <c r="F3471" s="434"/>
      <c r="G3471" s="434"/>
      <c r="H3471" s="434"/>
      <c r="I3471" s="434"/>
      <c r="J3471" s="434"/>
      <c r="M3471" s="371"/>
      <c r="N3471" s="371"/>
      <c r="O3471" s="371"/>
      <c r="P3471" s="356"/>
      <c r="R3471" s="348" t="str">
        <f t="shared" si="271"/>
        <v>DELETE</v>
      </c>
    </row>
    <row r="3472" spans="3:24" ht="36" customHeight="1" x14ac:dyDescent="0.5">
      <c r="C3472" s="353"/>
      <c r="D3472" s="434"/>
      <c r="E3472" s="434"/>
      <c r="F3472" s="434"/>
      <c r="G3472" s="434"/>
      <c r="H3472" s="434"/>
      <c r="I3472" s="434"/>
      <c r="J3472" s="434"/>
      <c r="M3472" s="351"/>
      <c r="N3472" s="351"/>
      <c r="O3472" s="351"/>
      <c r="R3472" s="348" t="str">
        <f t="shared" si="271"/>
        <v>DELETE</v>
      </c>
    </row>
  </sheetData>
  <sheetProtection algorithmName="SHA-512" hashValue="4nr0yl8b2BEwYgpAJzeXpFeILMXJt1B9722qORc7m62bce4IBO+YZYxEkhZx6o0xTkX3MvPBPDLiRHBrV9Fwjw==" saltValue="x2BKrZAMIs4EHmJNaO02fQ==" spinCount="100000" sheet="1" formatColumns="0" formatRows="0" insertRows="0"/>
  <mergeCells count="16">
    <mergeCell ref="V1:X1"/>
    <mergeCell ref="F1313:G1313"/>
    <mergeCell ref="D221:H221"/>
    <mergeCell ref="A16:Q16"/>
    <mergeCell ref="A18:Q18"/>
    <mergeCell ref="A20:Q20"/>
    <mergeCell ref="D170:Q177"/>
    <mergeCell ref="D93:Q95"/>
    <mergeCell ref="O2291:P2291"/>
    <mergeCell ref="O2290:P2290"/>
    <mergeCell ref="L2290:N2290"/>
    <mergeCell ref="L2291:N2291"/>
    <mergeCell ref="F1334:G1334"/>
    <mergeCell ref="F1356:G1356"/>
    <mergeCell ref="F1380:G1380"/>
    <mergeCell ref="F1387:G1387"/>
  </mergeCells>
  <phoneticPr fontId="0" type="noConversion"/>
  <hyperlinks>
    <hyperlink ref="O2451" r:id="rId1" display="-@sum(TrialBalance!A67:A70" xr:uid="{00000000-0004-0000-0000-000000000000}"/>
    <hyperlink ref="O510" r:id="rId2" display="-TrialBalance!A146-@sum(TrialBalance!A5:A127)" xr:uid="{00000000-0004-0000-0000-000001000000}"/>
    <hyperlink ref="D436" r:id="rId3" display="=@IF(U501+V501=1,&quot;GROSS PROFIT/(LOSS)&quot;,IF((U501+V501=2),&quot;GROSS PROFIT&quot;,&quot;GROSS LOSS&quot;))" xr:uid="{00000000-0004-0000-0000-000003000000}"/>
    <hyperlink ref="D426" r:id="rId4" display="=@IF(U501+V501=1,&quot;GROSS PROFIT/(LOSS)&quot;,IF((U501+V501=2),&quot;GROSS PROFIT&quot;,&quot;GROSS LOSS&quot;))" xr:uid="{00000000-0004-0000-0000-000004000000}"/>
    <hyperlink ref="D444" r:id="rId5" display="=@IF(U501+V501=1,&quot;GROSS PROFIT/(LOSS)&quot;,IF((U501+V501=2),&quot;GROSS PROFIT&quot;,&quot;GROSS LOSS&quot;))" xr:uid="{00000000-0004-0000-0000-000005000000}"/>
    <hyperlink ref="D449" r:id="rId6" display="=@IF(U501+V501=1,&quot;GROSS PROFIT/(LOSS)&quot;,IF((U501+V501=2),&quot;GROSS PROFIT&quot;,&quot;GROSS LOSS&quot;))" xr:uid="{00000000-0004-0000-0000-000006000000}"/>
    <hyperlink ref="D2335" r:id="rId7" display="=@IF(U501+V501=1,&quot;GROSS PROFIT/(LOSS)&quot;,IF((U501+V501=2),&quot;GROSS PROFIT&quot;,&quot;GROSS LOSS&quot;))" xr:uid="{00000000-0004-0000-0000-000007000000}"/>
    <hyperlink ref="D2385" r:id="rId8" display="=@IF(U501+V501=1,&quot;GROSS PROFIT/(LOSS)&quot;,IF((U501+V501=2),&quot;GROSS PROFIT&quot;,&quot;GROSS LOSS&quot;))" xr:uid="{00000000-0004-0000-0000-000008000000}"/>
    <hyperlink ref="D2401" r:id="rId9" display="=@IF(U501+V501=1,&quot;GROSS PROFIT/(LOSS)&quot;,IF((U501+V501=2),&quot;GROSS PROFIT&quot;,&quot;GROSS LOSS&quot;))" xr:uid="{00000000-0004-0000-0000-000009000000}"/>
    <hyperlink ref="D2444" r:id="rId10" display="=@IF(U501+V501=1,&quot;GROSS PROFIT/(LOSS)&quot;,IF((U501+V501=2),&quot;GROSS PROFIT&quot;,&quot;GROSS LOSS&quot;))" xr:uid="{00000000-0004-0000-0000-00000A000000}"/>
    <hyperlink ref="D2464" r:id="rId11" display="=@IF(U501+V501=1,&quot;GROSS PROFIT/(LOSS)&quot;,IF((U501+V501=2),&quot;GROSS PROFIT&quot;,&quot;GROSS LOSS&quot;))" xr:uid="{00000000-0004-0000-0000-00000B000000}"/>
    <hyperlink ref="D2477" r:id="rId12" display="=@IF(U501+V501=1,&quot;GROSS PROFIT/(LOSS)&quot;,IF((U501+V501=2),&quot;GROSS PROFIT&quot;,&quot;GROSS LOSS&quot;))" xr:uid="{00000000-0004-0000-0000-00000C000000}"/>
    <hyperlink ref="D510" r:id="rId13" display="=@IF(U501+V501=1,&quot;GROSS PROFIT/(LOSS)&quot;,IF((U501+V501=2),&quot;GROSS PROFIT&quot;,&quot;GROSS LOSS&quot;))" xr:uid="{00000000-0004-0000-0000-00000D000000}"/>
    <hyperlink ref="C960" r:id="rId14" display="=@IF(U501+V501=1,&quot;GROSS PROFIT/(LOSS)&quot;,IF((U501+V501=2),&quot;GROSS PROFIT&quot;,&quot;GROSS LOSS&quot;))" xr:uid="{00000000-0004-0000-0000-00000E000000}"/>
    <hyperlink ref="M2451" r:id="rId15" display="-@sum(TrialBalance!A67:A70" xr:uid="{00000000-0004-0000-0000-000010000000}"/>
    <hyperlink ref="M510" r:id="rId16" display="-TrialBalance!A146-@sum(TrialBalance!A5:A127)" xr:uid="{00000000-0004-0000-0000-000012000000}"/>
    <hyperlink ref="M423" r:id="rId17" display="-@sum(TrialBalance!A8:A22" xr:uid="{00000000-0004-0000-0000-000018000000}"/>
    <hyperlink ref="M430" r:id="rId18" display="-@sum(TrialBalance!A23:A63" xr:uid="{00000000-0004-0000-0000-00001A000000}"/>
    <hyperlink ref="M432" r:id="rId19" display="-@sum(TrialBalance!A77:A111" xr:uid="{00000000-0004-0000-0000-00001C000000}"/>
    <hyperlink ref="M440" r:id="rId20" display="-@sum(TrialBalance!A112:A118" xr:uid="{00000000-0004-0000-0000-00001E000000}"/>
    <hyperlink ref="O446" r:id="rId21" display="-@sum(TrialBalance!A119:A125" xr:uid="{00000000-0004-0000-0000-000021000000}"/>
    <hyperlink ref="C958" r:id="rId22" display="=@IF(U501+V501=1,&quot;GROSS PROFIT/(LOSS)&quot;,IF((U501+V501=2),&quot;GROSS PROFIT&quot;,&quot;GROSS LOSS&quot;))" xr:uid="{00000000-0004-0000-0000-000030000000}"/>
    <hyperlink ref="C581" r:id="rId23" display="=@IF(U501+V501=1,&quot;GROSS PROFIT/(LOSS)&quot;,IF((U501+V501=2),&quot;GROSS PROFIT&quot;,&quot;GROSS LOSS&quot;))" xr:uid="{00000000-0004-0000-0000-000033000000}"/>
    <hyperlink ref="C584" r:id="rId24" display="=@IF(U501+V501=1,&quot;GROSS PROFIT/(LOSS)&quot;,IF((U501+V501=2),&quot;GROSS PROFIT&quot;,&quot;GROSS LOSS&quot;))" xr:uid="{00000000-0004-0000-0000-000034000000}"/>
    <hyperlink ref="M1843" r:id="rId25" display="=@if(Criteria!E33*Criteria!E34=Criteria!E36*Criteria!E37,&quot; &quot;,Criteria!E33*Criteria!E34)" xr:uid="{00000000-0004-0000-0000-000035000000}"/>
    <hyperlink ref="O1843" r:id="rId26" display="=@if(Criteria!E33*Criteria!E34=Criteria!E36*Criteria!E37,&quot; &quot;,Criteria!E33*Criteria!E34)" xr:uid="{00000000-0004-0000-0000-000036000000}"/>
    <hyperlink ref="D2467" r:id="rId27" display="=@IF(U501+V501=1,&quot;GROSS PROFIT/(LOSS)&quot;,IF((U501+V501=2),&quot;GROSS PROFIT&quot;,&quot;GROSS LOSS&quot;))" xr:uid="{6D530753-BDD5-4F20-8178-EAE322919C04}"/>
    <hyperlink ref="D2468" r:id="rId28" display="=@IF(U501+V501=1,&quot;GROSS PROFIT/(LOSS)&quot;,IF((U501+V501=2),&quot;GROSS PROFIT&quot;,&quot;GROSS LOSS&quot;))" xr:uid="{EDCDB1ED-7F2E-4F59-985C-32018295338B}"/>
    <hyperlink ref="D2469" r:id="rId29" display="=@IF(U501+V501=1,&quot;GROSS PROFIT/(LOSS)&quot;,IF((U501+V501=2),&quot;GROSS PROFIT&quot;,&quot;GROSS LOSS&quot;))" xr:uid="{DC6D711C-1384-4115-AC4F-089FEF92BDB6}"/>
    <hyperlink ref="O423" r:id="rId30" display="-@sum(TrialBalance!A8:A22" xr:uid="{42D037F3-AE1D-49AA-867B-702F83F1B842}"/>
    <hyperlink ref="O430" r:id="rId31" display="-@sum(TrialBalance!A23:A63" xr:uid="{8A802148-5870-4859-BDC2-2739987B54F5}"/>
    <hyperlink ref="O432" r:id="rId32" display="-@sum(TrialBalance!A77:A111" xr:uid="{74D341AA-7716-4AA2-8727-4DC956228A94}"/>
    <hyperlink ref="O440" r:id="rId33" display="-@sum(TrialBalance!A112:A118" xr:uid="{4D7304DC-15C3-441E-81C7-350E34AABB04}"/>
    <hyperlink ref="C2029" r:id="rId34" display="=@IF(U501+V501=1,&quot;GROSS PROFIT/(LOSS)&quot;,IF((U501+V501=2),&quot;GROSS PROFIT&quot;,&quot;GROSS LOSS&quot;))" xr:uid="{6D0CDBB9-6B0B-4DBD-B7BD-35591D412516}"/>
    <hyperlink ref="C2058" r:id="rId35" display="=@IF(U501+V501=1,&quot;GROSS PROFIT/(LOSS)&quot;,IF((U501+V501=2),&quot;GROSS PROFIT&quot;,&quot;GROSS LOSS&quot;))" xr:uid="{D830917F-1C97-492B-BD44-7D627232BAFA}"/>
    <hyperlink ref="M2628" r:id="rId36" display="-@sum(TrialBalance!A67:A70" xr:uid="{76DE13E3-14E1-4654-8949-628A89D9844C}"/>
    <hyperlink ref="D2641" r:id="rId37" display="=@IF(U501+V501=1,&quot;GROSS PROFIT/(LOSS)&quot;,IF((U501+V501=2),&quot;GROSS PROFIT&quot;,&quot;GROSS LOSS&quot;))" xr:uid="{D167F7AB-9D6E-4F5F-8E45-E5071EF929EF}"/>
    <hyperlink ref="D2621" r:id="rId38" display="=@IF(U501+V501=1,&quot;GROSS PROFIT/(LOSS)&quot;,IF((U501+V501=2),&quot;GROSS PROFIT&quot;,&quot;GROSS LOSS&quot;))" xr:uid="{3EB153A4-A4CC-45B2-9BA2-B586C43DAD2E}"/>
    <hyperlink ref="D2579" r:id="rId39" display="=@IF(U501+V501=1,&quot;GROSS PROFIT/(LOSS)&quot;,IF((U501+V501=2),&quot;GROSS PROFIT&quot;,&quot;GROSS LOSS&quot;))" xr:uid="{E6D04A8E-8C1A-4EFE-BBC4-05625D7E4F8F}"/>
    <hyperlink ref="D2563" r:id="rId40" display="=@IF(U501+V501=1,&quot;GROSS PROFIT/(LOSS)&quot;,IF((U501+V501=2),&quot;GROSS PROFIT&quot;,&quot;GROSS LOSS&quot;))" xr:uid="{32BEBCCD-1976-4288-A534-0214E7920CDE}"/>
    <hyperlink ref="D2513" r:id="rId41" display="=@IF(U501+V501=1,&quot;GROSS PROFIT/(LOSS)&quot;,IF((U501+V501=2),&quot;GROSS PROFIT&quot;,&quot;GROSS LOSS&quot;))" xr:uid="{ABA47BFF-34C2-4871-BC1D-87C6A829A739}"/>
    <hyperlink ref="O2628" r:id="rId42" display="-@sum(TrialBalance!A67:A70" xr:uid="{11959076-A1E1-4023-9E05-2716C0B1A437}"/>
    <hyperlink ref="O2793" r:id="rId43" display="-@sum(TrialBalance!A67:A70" xr:uid="{B416A677-129B-44FA-9433-8BA12FD92D29}"/>
    <hyperlink ref="D2806" r:id="rId44" display="=@IF(U501+V501=1,&quot;GROSS PROFIT/(LOSS)&quot;,IF((U501+V501=2),&quot;GROSS PROFIT&quot;,&quot;GROSS LOSS&quot;))" xr:uid="{5AFCB005-45A8-428E-B8E5-D1D63B5EE9C1}"/>
    <hyperlink ref="D2786" r:id="rId45" display="=@IF(U501+V501=1,&quot;GROSS PROFIT/(LOSS)&quot;,IF((U501+V501=2),&quot;GROSS PROFIT&quot;,&quot;GROSS LOSS&quot;))" xr:uid="{DAB7BEFC-8F9C-4990-BFB8-287D46C083D4}"/>
    <hyperlink ref="D2744" r:id="rId46" display="=@IF(U501+V501=1,&quot;GROSS PROFIT/(LOSS)&quot;,IF((U501+V501=2),&quot;GROSS PROFIT&quot;,&quot;GROSS LOSS&quot;))" xr:uid="{5724C979-7EFE-4D83-9416-1101010A63BD}"/>
    <hyperlink ref="D2728" r:id="rId47" display="=@IF(U501+V501=1,&quot;GROSS PROFIT/(LOSS)&quot;,IF((U501+V501=2),&quot;GROSS PROFIT&quot;,&quot;GROSS LOSS&quot;))" xr:uid="{2106299E-A0FD-4668-BB38-CBD59862B6DB}"/>
    <hyperlink ref="D2678" r:id="rId48" display="=@IF(U501+V501=1,&quot;GROSS PROFIT/(LOSS)&quot;,IF((U501+V501=2),&quot;GROSS PROFIT&quot;,&quot;GROSS LOSS&quot;))" xr:uid="{78FA2441-4542-488A-B4E4-051264C59175}"/>
    <hyperlink ref="M2958" r:id="rId49" display="-@sum(TrialBalance!A67:A70" xr:uid="{5CE439A9-2EEA-41C1-8DCF-0E14934A5DF7}"/>
    <hyperlink ref="D2971" r:id="rId50" display="=@IF(U501+V501=1,&quot;GROSS PROFIT/(LOSS)&quot;,IF((U501+V501=2),&quot;GROSS PROFIT&quot;,&quot;GROSS LOSS&quot;))" xr:uid="{BCDEC460-EFCA-47C5-BB51-5C759E708F82}"/>
    <hyperlink ref="D2951" r:id="rId51" display="=@IF(U501+V501=1,&quot;GROSS PROFIT/(LOSS)&quot;,IF((U501+V501=2),&quot;GROSS PROFIT&quot;,&quot;GROSS LOSS&quot;))" xr:uid="{62424474-DC84-48C1-B787-69185B0D33AE}"/>
    <hyperlink ref="D2909" r:id="rId52" display="=@IF(U501+V501=1,&quot;GROSS PROFIT/(LOSS)&quot;,IF((U501+V501=2),&quot;GROSS PROFIT&quot;,&quot;GROSS LOSS&quot;))" xr:uid="{640AD6C2-487F-41EE-A287-F2F8477466CB}"/>
    <hyperlink ref="D2893" r:id="rId53" display="=@IF(U501+V501=1,&quot;GROSS PROFIT/(LOSS)&quot;,IF((U501+V501=2),&quot;GROSS PROFIT&quot;,&quot;GROSS LOSS&quot;))" xr:uid="{14CD13E1-C53A-4CB3-B087-CF5EC40021BD}"/>
    <hyperlink ref="D2843" r:id="rId54" display="=@IF(U501+V501=1,&quot;GROSS PROFIT/(LOSS)&quot;,IF((U501+V501=2),&quot;GROSS PROFIT&quot;,&quot;GROSS LOSS&quot;))" xr:uid="{15CCCCFA-F76F-49A8-8ACC-BFF5D19AA849}"/>
    <hyperlink ref="O2958" r:id="rId55" display="-@sum(TrialBalance!A67:A70" xr:uid="{0FAF4511-AE58-4FFB-B5C6-0D1556FE9A85}"/>
    <hyperlink ref="O3123" r:id="rId56" display="-@sum(TrialBalance!A67:A70" xr:uid="{401DFF96-4993-4EF2-9704-B380881056B3}"/>
    <hyperlink ref="D3136" r:id="rId57" display="=@IF(U501+V501=1,&quot;GROSS PROFIT/(LOSS)&quot;,IF((U501+V501=2),&quot;GROSS PROFIT&quot;,&quot;GROSS LOSS&quot;))" xr:uid="{0EC4FCFA-31A7-4354-8C3C-D2C45713E811}"/>
    <hyperlink ref="D3116" r:id="rId58" display="=@IF(U501+V501=1,&quot;GROSS PROFIT/(LOSS)&quot;,IF((U501+V501=2),&quot;GROSS PROFIT&quot;,&quot;GROSS LOSS&quot;))" xr:uid="{3430C363-4422-465C-947D-44EBA0BE9E17}"/>
    <hyperlink ref="D3058" r:id="rId59" display="=@IF(U501+V501=1,&quot;GROSS PROFIT/(LOSS)&quot;,IF((U501+V501=2),&quot;GROSS PROFIT&quot;,&quot;GROSS LOSS&quot;))" xr:uid="{7B973B0A-6456-4C63-8A83-C130AC59D439}"/>
    <hyperlink ref="D3008" r:id="rId60" display="=@IF(U501+V501=1,&quot;GROSS PROFIT/(LOSS)&quot;,IF((U501+V501=2),&quot;GROSS PROFIT&quot;,&quot;GROSS LOSS&quot;))" xr:uid="{0185AFBC-49DE-40F4-8206-E51EB1E1EDF1}"/>
    <hyperlink ref="D3074" r:id="rId61" display="=@IF(U501+V501=1,&quot;GROSS PROFIT/(LOSS)&quot;,IF((U501+V501=2),&quot;GROSS PROFIT&quot;,&quot;GROSS LOSS&quot;))" xr:uid="{3599DC75-9B30-4D8F-A24F-4825FF81CF39}"/>
    <hyperlink ref="O3288" r:id="rId62" display="-@sum(TrialBalance!A67:A70" xr:uid="{E16706A6-1ADC-4822-8AAA-4DF9DC5CE3E4}"/>
    <hyperlink ref="D3173" r:id="rId63" display="=@IF(U501+V501=1,&quot;GROSS PROFIT/(LOSS)&quot;,IF((U501+V501=2),&quot;GROSS PROFIT&quot;,&quot;GROSS LOSS&quot;))" xr:uid="{9A45D8C4-0860-4DA7-B096-40C46E11E1A2}"/>
    <hyperlink ref="D3223" r:id="rId64" display="=@IF(U501+V501=1,&quot;GROSS PROFIT/(LOSS)&quot;,IF((U501+V501=2),&quot;GROSS PROFIT&quot;,&quot;GROSS LOSS&quot;))" xr:uid="{4DAA6F50-6332-4CEE-A119-40B1C63EA37E}"/>
    <hyperlink ref="D3239" r:id="rId65" display="=@IF(U501+V501=1,&quot;GROSS PROFIT/(LOSS)&quot;,IF((U501+V501=2),&quot;GROSS PROFIT&quot;,&quot;GROSS LOSS&quot;))" xr:uid="{98FE660A-A57F-405B-8402-D6359ACB2C7D}"/>
    <hyperlink ref="D3281" r:id="rId66" display="=@IF(U501+V501=1,&quot;GROSS PROFIT/(LOSS)&quot;,IF((U501+V501=2),&quot;GROSS PROFIT&quot;,&quot;GROSS LOSS&quot;))" xr:uid="{33DCF48D-2A50-4E2E-8B79-C5C76BA60855}"/>
    <hyperlink ref="D3301" r:id="rId67" display="=@IF(U501+V501=1,&quot;GROSS PROFIT/(LOSS)&quot;,IF((U501+V501=2),&quot;GROSS PROFIT&quot;,&quot;GROSS LOSS&quot;))" xr:uid="{7AC3C5FE-9885-48D2-8509-F3D0C69E2917}"/>
    <hyperlink ref="M3288" r:id="rId68" display="-@sum(TrialBalance!A67:A70" xr:uid="{F02BEE7E-C98E-4BB2-A081-B287D178CBDB}"/>
    <hyperlink ref="D3338" r:id="rId69" display="=@IF(U501+V501=1,&quot;GROSS PROFIT/(LOSS)&quot;,IF((U501+V501=2),&quot;GROSS PROFIT&quot;,&quot;GROSS LOSS&quot;))" xr:uid="{8C1BCC73-5075-4D5E-B889-56EBAAFE96A1}"/>
    <hyperlink ref="D3388" r:id="rId70" display="=@IF(U501+V501=1,&quot;GROSS PROFIT/(LOSS)&quot;,IF((U501+V501=2),&quot;GROSS PROFIT&quot;,&quot;GROSS LOSS&quot;))" xr:uid="{8B84D3A4-A42D-4A60-BD86-46AA85234C4B}"/>
    <hyperlink ref="D3446" r:id="rId71" display="=@IF(U501+V501=1,&quot;GROSS PROFIT/(LOSS)&quot;,IF((U501+V501=2),&quot;GROSS PROFIT&quot;,&quot;GROSS LOSS&quot;))" xr:uid="{C744FD99-8098-4CC3-B09A-3880334447CD}"/>
    <hyperlink ref="D3466" r:id="rId72" display="=@IF(U501+V501=1,&quot;GROSS PROFIT/(LOSS)&quot;,IF((U501+V501=2),&quot;GROSS PROFIT&quot;,&quot;GROSS LOSS&quot;))" xr:uid="{1570E290-DD82-4D7E-BC92-A28E8A5C2096}"/>
    <hyperlink ref="O3453" r:id="rId73" display="-@sum(TrialBalance!A67:A70" xr:uid="{121AA74C-53E3-4260-8B17-18FC23DB7F45}"/>
    <hyperlink ref="D3404" r:id="rId74" display="=@IF(U501+V501=1,&quot;GROSS PROFIT/(LOSS)&quot;,IF((U501+V501=2),&quot;GROSS PROFIT&quot;,&quot;GROSS LOSS&quot;))" xr:uid="{CAA3C9C0-6324-4B4A-919B-D4DADE96D443}"/>
    <hyperlink ref="C2273" r:id="rId75" display="=@IF(U501+V501=1,&quot;GROSS PROFIT/(LOSS)&quot;,IF((U501+V501=2),&quot;GROSS PROFIT&quot;,&quot;GROSS LOSS&quot;))" xr:uid="{5C62542B-5606-44D4-BDBF-10DE5B25A897}"/>
    <hyperlink ref="M446" r:id="rId76" display="-@sum(TrialBalance!A119:A125" xr:uid="{4A0B7A1D-89A0-4013-BB16-7B08D8B6F8F9}"/>
    <hyperlink ref="C2043" r:id="rId77" display="=@IF(U501+V501=1,&quot;GROSS PROFIT/(LOSS)&quot;,IF((U501+V501=2),&quot;GROSS PROFIT&quot;,&quot;GROSS LOSS&quot;))" xr:uid="{400671F2-00D4-488C-A2CA-3AAE739B45F9}"/>
    <hyperlink ref="C2186" r:id="rId78" display="=@IF(U501+V501=1,&quot;GROSS PROFIT/(LOSS)&quot;,IF((U501+V501=2),&quot;GROSS PROFIT&quot;,&quot;GROSS LOSS&quot;))" xr:uid="{4AC22775-B2C8-4095-8B11-2CC0809E829C}"/>
    <hyperlink ref="C2184" r:id="rId79" display="=@IF(U501+V501=1,&quot;GROSS PROFIT/(LOSS)&quot;,IF((U501+V501=2),&quot;GROSS PROFIT&quot;,&quot;GROSS LOSS&quot;))" xr:uid="{F48E2EEA-A495-4003-A673-C35617729888}"/>
    <hyperlink ref="C2195" r:id="rId80" display="=@IF(U501+V501=1,&quot;GROSS PROFIT/(LOSS)&quot;,IF((U501+V501=2),&quot;GROSS PROFIT&quot;,&quot;GROSS LOSS&quot;))" xr:uid="{405E3975-F765-46DF-8888-9CE0A3F29231}"/>
    <hyperlink ref="D404" r:id="rId81" display="=@if(Criteria!F343=&quot;No&quot;,Criteria!G346,&quot; &quot;)" xr:uid="{00000000-0004-0000-0000-00002E000000}"/>
    <hyperlink ref="D405" r:id="rId82" display="=@if(Criteria!F343=&quot;No&quot;,Criteria!G346,&quot; &quot;)" xr:uid="{00000000-0004-0000-0000-00002F000000}"/>
    <hyperlink ref="D406" r:id="rId83" display="=@if(Criteria!F343=&quot;No&quot;,Criteria!G346,&quot; &quot;)" xr:uid="{6FFCA915-0444-41E6-AAAD-48A01F5F5E12}"/>
  </hyperlinks>
  <pageMargins left="0.7" right="0.7" top="0.75" bottom="0.75" header="0.3" footer="0.3"/>
  <pageSetup paperSize="9" scale="43" fitToHeight="0" orientation="portrait" r:id="rId84"/>
  <headerFooter alignWithMargins="0"/>
  <drawing r:id="rId85"/>
  <picture r:id="rId8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2025</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2"/>
  <sheetViews>
    <sheetView zoomScale="89" zoomScaleNormal="89" workbookViewId="0">
      <pane ySplit="3" topLeftCell="A4" activePane="bottomLeft" state="frozen"/>
      <selection pane="bottomLeft" activeCell="A5" sqref="A5"/>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6" style="125" customWidth="1"/>
    <col min="10" max="10" width="3.85546875" style="76" customWidth="1"/>
    <col min="11" max="11" width="16.140625" bestFit="1" customWidth="1"/>
    <col min="12" max="12" width="4.140625" customWidth="1"/>
    <col min="13" max="13" width="8.85546875" customWidth="1"/>
    <col min="14" max="14" width="15.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Criteria!E15</f>
        <v>SUBSIDIARY TWO 15 (PTY) LTD</v>
      </c>
      <c r="D1" s="274"/>
      <c r="E1" s="274"/>
      <c r="F1" s="259"/>
      <c r="G1" s="260" t="s">
        <v>151</v>
      </c>
      <c r="H1" s="260"/>
      <c r="I1" s="261">
        <f>Criteria!E22</f>
        <v>2025</v>
      </c>
      <c r="J1" s="261"/>
      <c r="K1" s="261">
        <f>Criteria!E27</f>
        <v>2024</v>
      </c>
      <c r="L1" s="258"/>
      <c r="M1" s="258"/>
      <c r="N1" s="244" t="s">
        <v>325</v>
      </c>
      <c r="O1" s="62"/>
      <c r="P1" s="62"/>
    </row>
    <row r="2" spans="1:18" x14ac:dyDescent="0.2">
      <c r="A2" s="262" t="s">
        <v>878</v>
      </c>
      <c r="B2" s="258"/>
      <c r="C2" s="258"/>
      <c r="D2" s="496">
        <f>D404-E404</f>
        <v>0</v>
      </c>
      <c r="E2" s="496"/>
      <c r="F2" s="264" t="s">
        <v>418</v>
      </c>
      <c r="G2" s="259">
        <f>G404</f>
        <v>0</v>
      </c>
      <c r="H2" s="259">
        <f>D2-E2</f>
        <v>0</v>
      </c>
      <c r="I2" s="266">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81"/>
      <c r="J3" s="272"/>
      <c r="K3" s="258"/>
      <c r="L3" s="258"/>
      <c r="M3" s="258"/>
      <c r="N3" s="241"/>
    </row>
    <row r="4" spans="1:18" x14ac:dyDescent="0.2">
      <c r="A4" s="121"/>
      <c r="B4" s="90" t="s">
        <v>215</v>
      </c>
      <c r="C4" s="239" t="s">
        <v>100</v>
      </c>
      <c r="D4" s="83"/>
      <c r="E4" s="51"/>
      <c r="F4" s="51"/>
      <c r="G4" s="38"/>
      <c r="H4" s="38"/>
      <c r="I4" s="51"/>
      <c r="J4" s="59"/>
      <c r="K4" s="46" t="s">
        <v>212</v>
      </c>
      <c r="N4" s="43"/>
    </row>
    <row r="5" spans="1:18" x14ac:dyDescent="0.2">
      <c r="A5" s="238"/>
      <c r="B5" s="10" t="s">
        <v>216</v>
      </c>
      <c r="C5" s="242" t="s">
        <v>837</v>
      </c>
      <c r="D5" s="282"/>
      <c r="E5" s="281"/>
      <c r="F5" s="79"/>
      <c r="G5" s="47">
        <f>SUMIF(JournalsB!D$14:D$920,TrialBalanceB!M5,JournalsB!J$14:J$920)+SUMIF(JournalsB!E$14:E$920,TrialBalanceB!M5,JournalsB!J$14:J$920)</f>
        <v>0</v>
      </c>
      <c r="H5" s="288"/>
      <c r="I5" s="290">
        <f t="shared" ref="I5:I73"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2"/>
      <c r="E6" s="281"/>
      <c r="F6" s="79"/>
      <c r="G6" s="47">
        <f>SUMIF(JournalsB!D$14:D$920,TrialBalanceB!M6,JournalsB!J$14:J$920)+SUMIF(JournalsB!E$14:E$920,TrialBalanceB!M6,JournalsB!J$14:J$920)</f>
        <v>0</v>
      </c>
      <c r="H6" s="288"/>
      <c r="I6" s="290">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2"/>
      <c r="E7" s="281"/>
      <c r="F7" s="79"/>
      <c r="G7" s="47">
        <f>SUMIF(JournalsB!D$14:D$920,TrialBalanceB!M7,JournalsB!J$14:J$920)+SUMIF(JournalsB!E$14:E$920,TrialBalanceB!M7,JournalsB!J$14:J$920)</f>
        <v>0</v>
      </c>
      <c r="H7" s="288"/>
      <c r="I7" s="290">
        <f t="shared" si="3"/>
        <v>0</v>
      </c>
      <c r="J7" s="75"/>
      <c r="K7" s="48">
        <f t="shared" si="4"/>
        <v>0</v>
      </c>
      <c r="M7" s="140" t="str">
        <f t="shared" si="5"/>
        <v>1000/003Commissions received</v>
      </c>
      <c r="N7" s="70"/>
      <c r="P7" s="71"/>
      <c r="Q7" s="51"/>
      <c r="R7" s="31"/>
    </row>
    <row r="8" spans="1:18" x14ac:dyDescent="0.2">
      <c r="A8" s="238"/>
      <c r="B8" s="90" t="s">
        <v>840</v>
      </c>
      <c r="C8" s="276"/>
      <c r="D8" s="282"/>
      <c r="E8" s="281"/>
      <c r="F8" s="79"/>
      <c r="G8" s="47">
        <f>SUMIF(JournalsB!D$14:D$920,TrialBalanceB!M8,JournalsB!J$14:J$920)+SUMIF(JournalsB!E$14:E$920,TrialBalanceB!M8,JournalsB!J$14:J$920)</f>
        <v>0</v>
      </c>
      <c r="H8" s="288"/>
      <c r="I8" s="290">
        <f t="shared" si="3"/>
        <v>0</v>
      </c>
      <c r="J8" s="75"/>
      <c r="K8" s="48">
        <f t="shared" si="4"/>
        <v>0</v>
      </c>
      <c r="M8" s="140" t="str">
        <f t="shared" si="5"/>
        <v>1000/004</v>
      </c>
      <c r="N8" s="70"/>
      <c r="P8" s="71"/>
      <c r="Q8" s="51"/>
      <c r="R8" s="31"/>
    </row>
    <row r="9" spans="1:18" x14ac:dyDescent="0.2">
      <c r="A9" s="238"/>
      <c r="B9" s="90" t="s">
        <v>841</v>
      </c>
      <c r="C9" s="276"/>
      <c r="D9" s="282"/>
      <c r="E9" s="281"/>
      <c r="F9" s="79"/>
      <c r="G9" s="47">
        <f>SUMIF(JournalsB!D$14:D$920,TrialBalanceB!M9,JournalsB!J$14:J$920)+SUMIF(JournalsB!E$14:E$920,TrialBalanceB!M9,JournalsB!J$14:J$920)</f>
        <v>0</v>
      </c>
      <c r="H9" s="288"/>
      <c r="I9" s="290">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SUMIF(JournalsB!D$14:D$920,TrialBalanceB!M10,JournalsB!J$14:J$920)+SUMIF(JournalsB!E$14:E$920,TrialBalanceB!M10,JournalsB!J$14:J$920)</f>
        <v>0</v>
      </c>
      <c r="H10" s="288"/>
      <c r="I10" s="290">
        <f t="shared" si="0"/>
        <v>0</v>
      </c>
      <c r="J10" s="75"/>
      <c r="K10" s="48">
        <f t="shared" si="1"/>
        <v>0</v>
      </c>
      <c r="M10" s="140" t="str">
        <f t="shared" si="2"/>
        <v>1000/006</v>
      </c>
      <c r="N10" s="70"/>
      <c r="P10" s="71"/>
      <c r="Q10" s="51"/>
      <c r="R10" s="31"/>
    </row>
    <row r="11" spans="1:18" x14ac:dyDescent="0.2">
      <c r="A11" s="238"/>
      <c r="B11" s="90" t="s">
        <v>843</v>
      </c>
      <c r="C11" s="241" t="s">
        <v>334</v>
      </c>
      <c r="D11" s="272"/>
      <c r="E11" s="272"/>
      <c r="F11" s="79"/>
      <c r="G11" s="47">
        <f>SUMIF(JournalsB!D$14:D$920,TrialBalanceB!M11,JournalsB!J$14:J$920)+SUMIF(JournalsB!E$14:E$920,TrialBalanceB!M11,JournalsB!J$14:J$920)</f>
        <v>0</v>
      </c>
      <c r="H11" s="288"/>
      <c r="I11" s="290">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SUMIF(JournalsB!D$14:D$920,TrialBalanceB!M12,JournalsB!J$14:J$920)+SUMIF(JournalsB!E$14:E$920,TrialBalanceB!M12,JournalsB!J$14:J$920)</f>
        <v>0</v>
      </c>
      <c r="H12" s="288"/>
      <c r="I12" s="290">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SUMIF(JournalsB!D$14:D$920,TrialBalanceB!M13,JournalsB!J$14:J$920)+SUMIF(JournalsB!E$14:E$920,TrialBalanceB!M13,JournalsB!J$14:J$920)</f>
        <v>0</v>
      </c>
      <c r="H13" s="288"/>
      <c r="I13" s="290">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SUMIF(JournalsB!D$14:D$920,TrialBalanceB!M14,JournalsB!J$14:J$920)+SUMIF(JournalsB!E$14:E$920,TrialBalanceB!M14,JournalsB!J$14:J$920)</f>
        <v>0</v>
      </c>
      <c r="H14" s="288"/>
      <c r="I14" s="290">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SUMIF(JournalsB!D$14:D$920,TrialBalanceB!M15,JournalsB!J$14:J$920)+SUMIF(JournalsB!E$14:E$920,TrialBalanceB!M15,JournalsB!J$14:J$920)</f>
        <v>0</v>
      </c>
      <c r="H15" s="288"/>
      <c r="I15" s="290">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SUMIF(JournalsB!D$14:D$920,TrialBalanceB!M16,JournalsB!J$14:J$920)+SUMIF(JournalsB!E$14:E$920,TrialBalanceB!M16,JournalsB!J$14:J$920)</f>
        <v>0</v>
      </c>
      <c r="H16" s="288"/>
      <c r="I16" s="290">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SUMIF(JournalsB!D$14:D$920,TrialBalanceB!M17,JournalsB!J$14:J$920)+SUMIF(JournalsB!E$14:E$920,TrialBalanceB!M17,JournalsB!J$14:J$920)</f>
        <v>0</v>
      </c>
      <c r="H17" s="288"/>
      <c r="I17" s="290">
        <f t="shared" si="0"/>
        <v>0</v>
      </c>
      <c r="J17" s="75"/>
      <c r="K17" s="48">
        <f t="shared" si="1"/>
        <v>0</v>
      </c>
      <c r="M17" s="140" t="str">
        <f t="shared" si="2"/>
        <v>2000/010Purchases</v>
      </c>
      <c r="N17" s="70"/>
      <c r="P17" s="71"/>
      <c r="Q17" s="51"/>
      <c r="R17" s="31"/>
    </row>
    <row r="18" spans="1:18" x14ac:dyDescent="0.2">
      <c r="A18" s="238"/>
      <c r="B18" s="10" t="s">
        <v>369</v>
      </c>
      <c r="C18" s="276"/>
      <c r="D18" s="281"/>
      <c r="E18" s="281"/>
      <c r="F18" s="79"/>
      <c r="G18" s="47">
        <f>SUMIF(JournalsB!D$14:D$920,TrialBalanceB!M18,JournalsB!J$14:J$920)+SUMIF(JournalsB!E$14:E$920,TrialBalanceB!M18,JournalsB!J$14:J$920)</f>
        <v>0</v>
      </c>
      <c r="H18" s="288"/>
      <c r="I18" s="290">
        <f t="shared" si="0"/>
        <v>0</v>
      </c>
      <c r="J18" s="75"/>
      <c r="K18" s="48">
        <f t="shared" si="1"/>
        <v>0</v>
      </c>
      <c r="M18" s="140" t="str">
        <f t="shared" si="2"/>
        <v>2000/011</v>
      </c>
      <c r="N18" s="70"/>
      <c r="O18" s="31"/>
      <c r="P18" s="71"/>
      <c r="Q18" s="51"/>
      <c r="R18" s="31"/>
    </row>
    <row r="19" spans="1:18" x14ac:dyDescent="0.2">
      <c r="A19" s="238"/>
      <c r="B19" s="54" t="s">
        <v>370</v>
      </c>
      <c r="C19" s="277"/>
      <c r="D19" s="272"/>
      <c r="E19" s="281"/>
      <c r="F19" s="79"/>
      <c r="G19" s="47">
        <f>SUMIF(JournalsB!D$14:D$920,TrialBalanceB!M19,JournalsB!J$14:J$920)+SUMIF(JournalsB!E$14:E$920,TrialBalanceB!M19,JournalsB!J$14:J$920)</f>
        <v>0</v>
      </c>
      <c r="H19" s="288"/>
      <c r="I19" s="290">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SUMIF(JournalsB!D$14:D$920,TrialBalanceB!M20,JournalsB!J$14:J$920)+SUMIF(JournalsB!E$14:E$920,TrialBalanceB!M20,JournalsB!J$14:J$920)</f>
        <v>0</v>
      </c>
      <c r="H20" s="288"/>
      <c r="I20" s="290">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SUMIF(JournalsB!D$14:D$920,TrialBalanceB!M21,JournalsB!J$14:J$920)+SUMIF(JournalsB!E$14:E$920,TrialBalanceB!M21,JournalsB!J$14:J$920)</f>
        <v>0</v>
      </c>
      <c r="H21" s="288"/>
      <c r="I21" s="290">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SUMIF(JournalsB!D$14:D$920,TrialBalanceB!M22,JournalsB!J$14:J$920)+SUMIF(JournalsB!E$14:E$920,TrialBalanceB!M22,JournalsB!J$14:J$920)</f>
        <v>0</v>
      </c>
      <c r="H22" s="288"/>
      <c r="I22" s="290">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SUMIF(JournalsB!D$14:D$920,TrialBalanceB!M23,JournalsB!J$14:J$920)+SUMIF(JournalsB!E$14:E$920,TrialBalanceB!M23,JournalsB!J$14:J$920)</f>
        <v>0</v>
      </c>
      <c r="H23" s="288"/>
      <c r="I23" s="290">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SUMIF(JournalsB!D$14:D$920,TrialBalanceB!M24,JournalsB!J$14:J$920)+SUMIF(JournalsB!E$14:E$920,TrialBalanceB!M24,JournalsB!J$14:J$920)</f>
        <v>0</v>
      </c>
      <c r="H24" s="288"/>
      <c r="I24" s="290">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SUMIF(JournalsB!D$14:D$920,TrialBalanceB!M25,JournalsB!J$14:J$920)+SUMIF(JournalsB!E$14:E$920,TrialBalanceB!M25,JournalsB!J$14:J$920)</f>
        <v>0</v>
      </c>
      <c r="H25" s="288"/>
      <c r="I25" s="290">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SUMIF(JournalsB!D$14:D$920,TrialBalanceB!M26,JournalsB!J$14:J$920)+SUMIF(JournalsB!E$14:E$920,TrialBalanceB!M26,JournalsB!J$14:J$920)</f>
        <v>0</v>
      </c>
      <c r="H26" s="288"/>
      <c r="I26" s="290">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SUMIF(JournalsB!D$14:D$920,TrialBalanceB!M27,JournalsB!J$14:J$920)+SUMIF(JournalsB!E$14:E$920,TrialBalanceB!M27,JournalsB!J$14:J$920)</f>
        <v>0</v>
      </c>
      <c r="H27" s="288"/>
      <c r="I27" s="290">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",Criteria!H15)</f>
        <v>Insurance claims - Subsidiary Two 15 (Pty) Ltd</v>
      </c>
      <c r="D28" s="281"/>
      <c r="E28" s="281"/>
      <c r="F28" s="79"/>
      <c r="G28" s="47">
        <f>SUMIF(JournalsB!D$14:D$920,TrialBalanceB!M28,JournalsB!J$14:J$920)+SUMIF(JournalsB!E$14:E$920,TrialBalanceB!M28,JournalsB!J$14:J$920)</f>
        <v>0</v>
      </c>
      <c r="H28" s="288"/>
      <c r="I28" s="290">
        <f t="shared" si="0"/>
        <v>0</v>
      </c>
      <c r="J28" s="75"/>
      <c r="K28" s="48">
        <f t="shared" si="1"/>
        <v>0</v>
      </c>
      <c r="M28" s="140" t="str">
        <f t="shared" si="2"/>
        <v>2050/001Insurance claims - Subsidiary Two 15 (Pty) Ltd</v>
      </c>
      <c r="N28" s="70"/>
      <c r="P28" s="71"/>
      <c r="Q28" s="51"/>
      <c r="R28" s="31"/>
    </row>
    <row r="29" spans="1:18" x14ac:dyDescent="0.2">
      <c r="A29" s="238"/>
      <c r="B29" s="56" t="s">
        <v>301</v>
      </c>
      <c r="C29" s="241" t="s">
        <v>781</v>
      </c>
      <c r="D29" s="272"/>
      <c r="E29" s="281"/>
      <c r="F29" s="79"/>
      <c r="G29" s="47">
        <f>SUMIF(JournalsB!D$14:D$920,TrialBalanceB!M29,JournalsB!J$14:J$920)+SUMIF(JournalsB!E$14:E$920,TrialBalanceB!M29,JournalsB!J$14:J$920)</f>
        <v>0</v>
      </c>
      <c r="H29" s="288"/>
      <c r="I29" s="290">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SUMIF(JournalsB!D$14:D$920,TrialBalanceB!M30,JournalsB!J$14:J$920)+SUMIF(JournalsB!E$14:E$920,TrialBalanceB!M30,JournalsB!J$14:J$920)</f>
        <v>0</v>
      </c>
      <c r="H30" s="288"/>
      <c r="I30" s="290">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SUMIF(JournalsB!D$14:D$920,TrialBalanceB!M31,JournalsB!J$14:J$920)+SUMIF(JournalsB!E$14:E$920,TrialBalanceB!M31,JournalsB!J$14:J$920)</f>
        <v>0</v>
      </c>
      <c r="H31" s="288"/>
      <c r="I31" s="290">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SUMIF(JournalsB!D$14:D$920,TrialBalanceB!M32,JournalsB!J$14:J$920)+SUMIF(JournalsB!E$14:E$920,TrialBalanceB!M32,JournalsB!J$14:J$920)</f>
        <v>0</v>
      </c>
      <c r="H32" s="288"/>
      <c r="I32" s="290">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SUMIF(JournalsB!D$14:D$920,TrialBalanceB!M33,JournalsB!J$14:J$920)+SUMIF(JournalsB!E$14:E$920,TrialBalanceB!M33,JournalsB!J$14:J$920)</f>
        <v>0</v>
      </c>
      <c r="H33" s="288"/>
      <c r="I33" s="290">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SUMIF(JournalsB!D$14:D$920,TrialBalanceB!M34,JournalsB!J$14:J$920)+SUMIF(JournalsB!E$14:E$920,TrialBalanceB!M34,JournalsB!J$14:J$920)</f>
        <v>0</v>
      </c>
      <c r="H34" s="288"/>
      <c r="I34" s="290">
        <f t="shared" si="0"/>
        <v>0</v>
      </c>
      <c r="J34" s="75"/>
      <c r="K34" s="48">
        <f t="shared" si="1"/>
        <v>0</v>
      </c>
      <c r="M34" s="140" t="str">
        <f t="shared" si="2"/>
        <v>2060/000NET (PROFIT)/LOSS OTHER</v>
      </c>
      <c r="N34" s="70"/>
      <c r="P34" s="71"/>
      <c r="Q34" s="51"/>
      <c r="R34" s="31"/>
    </row>
    <row r="35" spans="1:18" x14ac:dyDescent="0.2">
      <c r="A35" s="238"/>
      <c r="B35" s="43" t="s">
        <v>533</v>
      </c>
      <c r="C35" s="241"/>
      <c r="D35" s="281"/>
      <c r="E35" s="281"/>
      <c r="F35" s="79"/>
      <c r="G35" s="47">
        <f>SUMIF(JournalsB!D$14:D$920,TrialBalanceB!M35,JournalsB!J$14:J$920)+SUMIF(JournalsB!E$14:E$920,TrialBalanceB!M35,JournalsB!J$14:J$920)</f>
        <v>0</v>
      </c>
      <c r="H35" s="288"/>
      <c r="I35" s="290">
        <f t="shared" si="0"/>
        <v>0</v>
      </c>
      <c r="J35" s="75"/>
      <c r="K35" s="48">
        <f t="shared" si="1"/>
        <v>0</v>
      </c>
      <c r="M35" s="140" t="str">
        <f t="shared" si="2"/>
        <v>2060/001</v>
      </c>
      <c r="N35" s="70"/>
      <c r="P35" s="71"/>
      <c r="Q35" s="51"/>
      <c r="R35" s="31"/>
    </row>
    <row r="36" spans="1:18" x14ac:dyDescent="0.2">
      <c r="A36" s="238"/>
      <c r="B36" s="43" t="s">
        <v>534</v>
      </c>
      <c r="C36" s="246"/>
      <c r="D36" s="272"/>
      <c r="E36" s="281"/>
      <c r="F36" s="79"/>
      <c r="G36" s="47">
        <f>SUMIF(JournalsB!D$14:D$920,TrialBalanceB!M36,JournalsB!J$14:J$920)+SUMIF(JournalsB!E$14:E$920,TrialBalanceB!M36,JournalsB!J$14:J$920)</f>
        <v>0</v>
      </c>
      <c r="H36" s="288"/>
      <c r="I36" s="290">
        <f t="shared" si="0"/>
        <v>0</v>
      </c>
      <c r="J36" s="75"/>
      <c r="K36" s="48">
        <f t="shared" si="1"/>
        <v>0</v>
      </c>
      <c r="M36" s="140" t="str">
        <f t="shared" si="2"/>
        <v>2060/002</v>
      </c>
      <c r="N36" s="70"/>
      <c r="P36" s="71"/>
      <c r="Q36" s="51"/>
      <c r="R36" s="31"/>
    </row>
    <row r="37" spans="1:18" x14ac:dyDescent="0.2">
      <c r="A37" s="238"/>
      <c r="B37" s="43" t="s">
        <v>535</v>
      </c>
      <c r="C37" s="246"/>
      <c r="D37" s="272"/>
      <c r="E37" s="281"/>
      <c r="F37" s="79"/>
      <c r="G37" s="47">
        <f>SUMIF(JournalsB!D$14:D$920,TrialBalanceB!M37,JournalsB!J$14:J$920)+SUMIF(JournalsB!E$14:E$920,TrialBalanceB!M37,JournalsB!J$14:J$920)</f>
        <v>0</v>
      </c>
      <c r="H37" s="288"/>
      <c r="I37" s="290">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SUMIF(JournalsB!D$14:D$920,TrialBalanceB!M38,JournalsB!J$14:J$920)+SUMIF(JournalsB!E$14:E$920,TrialBalanceB!M38,JournalsB!J$14:J$920)</f>
        <v>0</v>
      </c>
      <c r="H38" s="288"/>
      <c r="I38" s="290">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SUMIF(JournalsB!D$14:D$920,TrialBalanceB!M39,JournalsB!J$14:J$920)+SUMIF(JournalsB!E$14:E$920,TrialBalanceB!M39,JournalsB!J$14:J$920)</f>
        <v>0</v>
      </c>
      <c r="H39" s="288"/>
      <c r="I39" s="290">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SUMIF(JournalsB!D$14:D$920,TrialBalanceB!M40,JournalsB!J$14:J$920)+SUMIF(JournalsB!E$14:E$920,TrialBalanceB!M40,JournalsB!J$14:J$920)</f>
        <v>0</v>
      </c>
      <c r="H40" s="288"/>
      <c r="I40" s="290">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SUMIF(JournalsB!D$14:D$920,TrialBalanceB!M41,JournalsB!J$14:J$920)+SUMIF(JournalsB!E$14:E$920,TrialBalanceB!M41,JournalsB!J$14:J$920)</f>
        <v>0</v>
      </c>
      <c r="H41" s="288"/>
      <c r="I41" s="290">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SUMIF(JournalsB!D$14:D$920,TrialBalanceB!M42,JournalsB!J$14:J$920)+SUMIF(JournalsB!E$14:E$920,TrialBalanceB!M42,JournalsB!J$14:J$920)</f>
        <v>0</v>
      </c>
      <c r="H42" s="288"/>
      <c r="I42" s="290">
        <f t="shared" si="0"/>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SUMIF(JournalsB!D$14:D$920,TrialBalanceB!M43,JournalsB!J$14:J$920)+SUMIF(JournalsB!E$14:E$920,TrialBalanceB!M43,JournalsB!J$14:J$920)</f>
        <v>0</v>
      </c>
      <c r="H43" s="288"/>
      <c r="I43" s="290">
        <f t="shared" si="0"/>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SUMIF(JournalsB!D$14:D$920,TrialBalanceB!M44,JournalsB!J$14:J$920)+SUMIF(JournalsB!E$14:E$920,TrialBalanceB!M44,JournalsB!J$14:J$920)</f>
        <v>0</v>
      </c>
      <c r="H44" s="288"/>
      <c r="I44" s="290">
        <f t="shared" si="0"/>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SUMIF(JournalsB!D$14:D$920,TrialBalanceB!M45,JournalsB!J$14:J$920)+SUMIF(JournalsB!E$14:E$920,TrialBalanceB!M45,JournalsB!J$14:J$920)</f>
        <v>0</v>
      </c>
      <c r="H45" s="288"/>
      <c r="I45" s="290">
        <f t="shared" si="0"/>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SUMIF(JournalsB!D$14:D$920,TrialBalanceB!M46,JournalsB!J$14:J$920)+SUMIF(JournalsB!E$14:E$920,TrialBalanceB!M46,JournalsB!J$14:J$920)</f>
        <v>0</v>
      </c>
      <c r="H46" s="288"/>
      <c r="I46" s="290">
        <f t="shared" si="0"/>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SUMIF(JournalsB!D$14:D$920,TrialBalanceB!M47,JournalsB!J$14:J$920)+SUMIF(JournalsB!E$14:E$920,TrialBalanceB!M47,JournalsB!J$14:J$920)</f>
        <v>0</v>
      </c>
      <c r="H47" s="288"/>
      <c r="I47" s="290">
        <f t="shared" si="0"/>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SUMIF(JournalsB!D$14:D$920,TrialBalanceB!M48,JournalsB!J$14:J$920)+SUMIF(JournalsB!E$14:E$920,TrialBalanceB!M48,JournalsB!J$14:J$920)</f>
        <v>0</v>
      </c>
      <c r="H48" s="288"/>
      <c r="I48" s="290">
        <f t="shared" si="0"/>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SUMIF(JournalsB!D$14:D$920,TrialBalanceB!M49,JournalsB!J$14:J$920)+SUMIF(JournalsB!E$14:E$920,TrialBalanceB!M49,JournalsB!J$14:J$920)</f>
        <v>0</v>
      </c>
      <c r="H49" s="288"/>
      <c r="I49" s="290">
        <f t="shared" si="0"/>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SUMIF(JournalsB!D$14:D$920,TrialBalanceB!M50,JournalsB!J$14:J$920)+SUMIF(JournalsB!E$14:E$920,TrialBalanceB!M50,JournalsB!J$14:J$920)</f>
        <v>0</v>
      </c>
      <c r="H50" s="288"/>
      <c r="I50" s="290">
        <f t="shared" si="0"/>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SUMIF(JournalsB!D$14:D$920,TrialBalanceB!M51,JournalsB!J$14:J$920)+SUMIF(JournalsB!E$14:E$920,TrialBalanceB!M51,JournalsB!J$14:J$920)</f>
        <v>0</v>
      </c>
      <c r="H51" s="288"/>
      <c r="I51" s="290">
        <f t="shared" si="0"/>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SUMIF(JournalsB!D$14:D$920,TrialBalanceB!M52,JournalsB!J$14:J$920)+SUMIF(JournalsB!E$14:E$920,TrialBalanceB!M52,JournalsB!J$14:J$920)</f>
        <v>0</v>
      </c>
      <c r="H52" s="288"/>
      <c r="I52" s="290">
        <f t="shared" si="0"/>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SUMIF(JournalsB!D$14:D$920,TrialBalanceB!M53,JournalsB!J$14:J$920)+SUMIF(JournalsB!E$14:E$920,TrialBalanceB!M53,JournalsB!J$14:J$920)</f>
        <v>0</v>
      </c>
      <c r="H53" s="288"/>
      <c r="I53" s="290">
        <f t="shared" si="0"/>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SUMIF(JournalsB!D$14:D$920,TrialBalanceB!M54,JournalsB!J$14:J$920)+SUMIF(JournalsB!E$14:E$920,TrialBalanceB!M54,JournalsB!J$14:J$920)</f>
        <v>0</v>
      </c>
      <c r="H54" s="288"/>
      <c r="I54" s="290">
        <f t="shared" si="0"/>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SUMIF(JournalsB!D$14:D$920,TrialBalanceB!M55,JournalsB!J$14:J$920)+SUMIF(JournalsB!E$14:E$920,TrialBalanceB!M55,JournalsB!J$14:J$920)</f>
        <v>0</v>
      </c>
      <c r="H55" s="288"/>
      <c r="I55" s="290">
        <f t="shared" si="0"/>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SUMIF(JournalsB!D$14:D$920,TrialBalanceB!M56,JournalsB!J$14:J$920)+SUMIF(JournalsB!E$14:E$920,TrialBalanceB!M56,JournalsB!J$14:J$920)</f>
        <v>0</v>
      </c>
      <c r="H56" s="288"/>
      <c r="I56" s="290">
        <f t="shared" si="0"/>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SUMIF(JournalsB!D$14:D$920,TrialBalanceB!M57,JournalsB!J$14:J$920)+SUMIF(JournalsB!E$14:E$920,TrialBalanceB!M57,JournalsB!J$14:J$920)</f>
        <v>0</v>
      </c>
      <c r="H57" s="288"/>
      <c r="I57" s="290">
        <f t="shared" si="0"/>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SUMIF(JournalsB!D$14:D$920,TrialBalanceB!M58,JournalsB!J$14:J$920)+SUMIF(JournalsB!E$14:E$920,TrialBalanceB!M58,JournalsB!J$14:J$920)</f>
        <v>0</v>
      </c>
      <c r="H58" s="288"/>
      <c r="I58" s="290">
        <f t="shared" si="0"/>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SUMIF(JournalsB!D$14:D$920,TrialBalanceB!M59,JournalsB!J$14:J$920)+SUMIF(JournalsB!E$14:E$920,TrialBalanceB!M59,JournalsB!J$14:J$920)</f>
        <v>0</v>
      </c>
      <c r="H59" s="288"/>
      <c r="I59" s="290">
        <f t="shared" si="0"/>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SUMIF(JournalsB!D$14:D$920,TrialBalanceB!M60,JournalsB!J$14:J$920)+SUMIF(JournalsB!E$14:E$920,TrialBalanceB!M60,JournalsB!J$14:J$920)</f>
        <v>0</v>
      </c>
      <c r="H60" s="288"/>
      <c r="I60" s="290">
        <f t="shared" si="0"/>
        <v>0</v>
      </c>
      <c r="J60" s="75"/>
      <c r="K60" s="48">
        <f t="shared" si="1"/>
        <v>0</v>
      </c>
      <c r="M60" s="140" t="str">
        <f t="shared" si="2"/>
        <v>2100/100Rent paid-------------------------------</v>
      </c>
      <c r="N60" s="70"/>
      <c r="P60" s="71"/>
      <c r="Q60" s="51"/>
      <c r="R60" s="31"/>
    </row>
    <row r="61" spans="1:18" x14ac:dyDescent="0.2">
      <c r="A61" s="238"/>
      <c r="B61" s="54" t="s">
        <v>172</v>
      </c>
      <c r="C61" s="276"/>
      <c r="D61" s="272"/>
      <c r="E61" s="281"/>
      <c r="F61" s="79"/>
      <c r="G61" s="47">
        <f>SUMIF(JournalsB!D$14:D$920,TrialBalanceB!M61,JournalsB!J$14:J$920)+SUMIF(JournalsB!E$14:E$920,TrialBalanceB!M61,JournalsB!J$14:J$920)</f>
        <v>0</v>
      </c>
      <c r="H61" s="288"/>
      <c r="I61" s="290">
        <f t="shared" si="0"/>
        <v>0</v>
      </c>
      <c r="J61" s="75"/>
      <c r="K61" s="48">
        <f t="shared" si="1"/>
        <v>0</v>
      </c>
      <c r="M61" s="140" t="str">
        <f t="shared" si="2"/>
        <v>2100/101</v>
      </c>
      <c r="N61" s="70"/>
      <c r="P61" s="71"/>
      <c r="Q61" s="51"/>
      <c r="R61" s="31"/>
    </row>
    <row r="62" spans="1:18" x14ac:dyDescent="0.2">
      <c r="A62" s="238"/>
      <c r="B62" s="54" t="s">
        <v>173</v>
      </c>
      <c r="C62" s="277"/>
      <c r="D62" s="272"/>
      <c r="E62" s="281"/>
      <c r="F62" s="79"/>
      <c r="G62" s="47">
        <f>SUMIF(JournalsB!D$14:D$920,TrialBalanceB!M62,JournalsB!J$14:J$920)+SUMIF(JournalsB!E$14:E$920,TrialBalanceB!M62,JournalsB!J$14:J$920)</f>
        <v>0</v>
      </c>
      <c r="H62" s="288"/>
      <c r="I62" s="290">
        <f t="shared" si="0"/>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SUMIF(JournalsB!D$14:D$920,TrialBalanceB!M63,JournalsB!J$14:J$920)+SUMIF(JournalsB!E$14:E$920,TrialBalanceB!M63,JournalsB!J$14:J$920)</f>
        <v>0</v>
      </c>
      <c r="H63" s="288"/>
      <c r="I63" s="290">
        <f t="shared" si="0"/>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SUMIF(JournalsB!D$14:D$920,TrialBalanceB!M64,JournalsB!J$14:J$920)+SUMIF(JournalsB!E$14:E$920,TrialBalanceB!M64,JournalsB!J$14:J$920)</f>
        <v>0</v>
      </c>
      <c r="H64" s="288"/>
      <c r="I64" s="290">
        <f t="shared" si="0"/>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SUMIF(JournalsB!D$14:D$920,TrialBalanceB!M65,JournalsB!J$14:J$920)+SUMIF(JournalsB!E$14:E$920,TrialBalanceB!M65,JournalsB!J$14:J$920)</f>
        <v>0</v>
      </c>
      <c r="H65" s="288"/>
      <c r="I65" s="290">
        <f t="shared" ref="I65" si="9">ROUND(D65-E65+G65+F65,0)</f>
        <v>0</v>
      </c>
      <c r="J65" s="75"/>
      <c r="K65" s="48">
        <f t="shared" ref="K65" si="10">ROUND(SUM(A65),0)</f>
        <v>0</v>
      </c>
      <c r="M65" s="140" t="str">
        <f t="shared" ref="M65" si="11">CONCATENATE(B65,C65)</f>
        <v>2100/115Research and development cost</v>
      </c>
      <c r="N65" s="70"/>
      <c r="P65" s="71"/>
      <c r="Q65" s="51"/>
      <c r="R65" s="31"/>
    </row>
    <row r="66" spans="1:18" x14ac:dyDescent="0.2">
      <c r="A66" s="238"/>
      <c r="B66" s="54" t="s">
        <v>58</v>
      </c>
      <c r="C66" s="240" t="s">
        <v>59</v>
      </c>
      <c r="D66" s="282"/>
      <c r="E66" s="281"/>
      <c r="F66" s="79"/>
      <c r="G66" s="47">
        <f>SUMIF(JournalsB!D$14:D$920,TrialBalanceB!M66,JournalsB!J$14:J$920)+SUMIF(JournalsB!E$14:E$920,TrialBalanceB!M66,JournalsB!J$14:J$920)</f>
        <v>0</v>
      </c>
      <c r="H66" s="288"/>
      <c r="I66" s="290">
        <f t="shared" si="0"/>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SUMIF(JournalsB!D$14:D$920,TrialBalanceB!M67,JournalsB!J$14:J$920)+SUMIF(JournalsB!E$14:E$920,TrialBalanceB!M67,JournalsB!J$14:J$920)</f>
        <v>0</v>
      </c>
      <c r="H67" s="288"/>
      <c r="I67" s="290">
        <f t="shared" si="0"/>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SUMIF(JournalsB!D$14:D$920,TrialBalanceB!M68,JournalsB!J$14:J$920)+SUMIF(JournalsB!E$14:E$920,TrialBalanceB!M68,JournalsB!J$14:J$920)</f>
        <v>0</v>
      </c>
      <c r="H68" s="288"/>
      <c r="I68" s="290">
        <f t="shared" si="0"/>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SUMIF(JournalsB!D$14:D$920,TrialBalanceB!M69,JournalsB!J$14:J$920)+SUMIF(JournalsB!E$14:E$920,TrialBalanceB!M69,JournalsB!J$14:J$920)</f>
        <v>0</v>
      </c>
      <c r="H69" s="288"/>
      <c r="I69" s="290">
        <f t="shared" si="0"/>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SUMIF(JournalsB!D$14:D$920,TrialBalanceB!M70,JournalsB!J$14:J$920)+SUMIF(JournalsB!E$14:E$920,TrialBalanceB!M70,JournalsB!J$14:J$920)</f>
        <v>0</v>
      </c>
      <c r="H70" s="288"/>
      <c r="I70" s="290">
        <f t="shared" si="0"/>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SUMIF(JournalsB!D$14:D$920,TrialBalanceB!M71,JournalsB!J$14:J$920)+SUMIF(JournalsB!E$14:E$920,TrialBalanceB!M71,JournalsB!J$14:J$920)</f>
        <v>0</v>
      </c>
      <c r="H71" s="288"/>
      <c r="I71" s="290">
        <f t="shared" si="0"/>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SUMIF(JournalsB!D$14:D$920,TrialBalanceB!M72,JournalsB!J$14:J$920)+SUMIF(JournalsB!E$14:E$920,TrialBalanceB!M72,JournalsB!J$14:J$920)</f>
        <v>0</v>
      </c>
      <c r="H72" s="288"/>
      <c r="I72" s="290">
        <f t="shared" si="0"/>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SUMIF(JournalsB!D$14:D$920,TrialBalanceB!M73,JournalsB!J$14:J$920)+SUMIF(JournalsB!E$14:E$920,TrialBalanceB!M73,JournalsB!J$14:J$920)</f>
        <v>0</v>
      </c>
      <c r="H73" s="288"/>
      <c r="I73" s="290">
        <f t="shared" si="0"/>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SUMIF(JournalsB!D$14:D$920,TrialBalanceB!M74,JournalsB!J$14:J$920)+SUMIF(JournalsB!E$14:E$920,TrialBalanceB!M74,JournalsB!J$14:J$920)</f>
        <v>0</v>
      </c>
      <c r="H74" s="288"/>
      <c r="I74" s="290">
        <f t="shared" ref="I74:I102" si="12">ROUND(D74-E74+G74+F74,0)</f>
        <v>0</v>
      </c>
      <c r="J74" s="75"/>
      <c r="K74" s="48">
        <f t="shared" ref="K74:K138" si="13">ROUND(SUM(A74),0)</f>
        <v>0</v>
      </c>
      <c r="M74" s="140" t="str">
        <f t="shared" ref="M74:M138" si="14">CONCATENATE(B74,C74)</f>
        <v>2150/002</v>
      </c>
      <c r="N74" s="70"/>
      <c r="P74" s="71"/>
      <c r="Q74" s="51"/>
      <c r="R74" s="31"/>
    </row>
    <row r="75" spans="1:18" x14ac:dyDescent="0.2">
      <c r="A75" s="238"/>
      <c r="B75" s="90" t="s">
        <v>582</v>
      </c>
      <c r="C75" s="276"/>
      <c r="D75" s="281"/>
      <c r="E75" s="281"/>
      <c r="F75" s="79"/>
      <c r="G75" s="47">
        <f>SUMIF(JournalsB!D$14:D$920,TrialBalanceB!M75,JournalsB!J$14:J$920)+SUMIF(JournalsB!E$14:E$920,TrialBalanceB!M75,JournalsB!J$14:J$920)</f>
        <v>0</v>
      </c>
      <c r="H75" s="288"/>
      <c r="I75" s="290">
        <f t="shared" si="12"/>
        <v>0</v>
      </c>
      <c r="J75" s="75"/>
      <c r="K75" s="48">
        <f t="shared" si="13"/>
        <v>0</v>
      </c>
      <c r="M75" s="140" t="str">
        <f t="shared" si="14"/>
        <v>2150/003</v>
      </c>
      <c r="N75" s="70"/>
      <c r="P75" s="71"/>
      <c r="Q75" s="51"/>
      <c r="R75" s="31"/>
    </row>
    <row r="76" spans="1:18" x14ac:dyDescent="0.2">
      <c r="A76" s="238"/>
      <c r="B76" s="90" t="s">
        <v>583</v>
      </c>
      <c r="C76" s="276"/>
      <c r="D76" s="281"/>
      <c r="E76" s="281"/>
      <c r="F76" s="79"/>
      <c r="G76" s="47">
        <f>SUMIF(JournalsB!D$14:D$920,TrialBalanceB!M76,JournalsB!J$14:J$920)+SUMIF(JournalsB!E$14:E$920,TrialBalanceB!M76,JournalsB!J$14:J$920)</f>
        <v>0</v>
      </c>
      <c r="H76" s="288"/>
      <c r="I76" s="290">
        <f t="shared" si="12"/>
        <v>0</v>
      </c>
      <c r="J76" s="75"/>
      <c r="K76" s="48">
        <f t="shared" si="13"/>
        <v>0</v>
      </c>
      <c r="M76" s="140" t="str">
        <f t="shared" si="14"/>
        <v>2150/004</v>
      </c>
      <c r="N76" s="70"/>
      <c r="P76" s="71"/>
      <c r="Q76" s="51"/>
      <c r="R76" s="31"/>
    </row>
    <row r="77" spans="1:18" x14ac:dyDescent="0.2">
      <c r="A77" s="238"/>
      <c r="B77" s="90" t="s">
        <v>584</v>
      </c>
      <c r="C77" s="276"/>
      <c r="D77" s="281"/>
      <c r="E77" s="281"/>
      <c r="F77" s="79"/>
      <c r="G77" s="47">
        <f>SUMIF(JournalsB!D$14:D$920,TrialBalanceB!M77,JournalsB!J$14:J$920)+SUMIF(JournalsB!E$14:E$920,TrialBalanceB!M77,JournalsB!J$14:J$920)</f>
        <v>0</v>
      </c>
      <c r="H77" s="288"/>
      <c r="I77" s="290">
        <f t="shared" si="12"/>
        <v>0</v>
      </c>
      <c r="J77" s="75"/>
      <c r="K77" s="48">
        <f t="shared" si="13"/>
        <v>0</v>
      </c>
      <c r="M77" s="140" t="str">
        <f t="shared" si="14"/>
        <v>2150/005</v>
      </c>
      <c r="N77" s="70"/>
      <c r="P77" s="71"/>
      <c r="Q77" s="51"/>
      <c r="R77" s="31"/>
    </row>
    <row r="78" spans="1:18" x14ac:dyDescent="0.2">
      <c r="A78" s="238"/>
      <c r="B78" s="90" t="s">
        <v>585</v>
      </c>
      <c r="C78" s="276"/>
      <c r="D78" s="274"/>
      <c r="E78" s="281"/>
      <c r="F78" s="79"/>
      <c r="G78" s="47">
        <f>SUMIF(JournalsB!D$14:D$920,TrialBalanceB!M78,JournalsB!J$14:J$920)+SUMIF(JournalsB!E$14:E$920,TrialBalanceB!M78,JournalsB!J$14:J$920)</f>
        <v>0</v>
      </c>
      <c r="H78" s="288"/>
      <c r="I78" s="290">
        <f t="shared" si="12"/>
        <v>0</v>
      </c>
      <c r="J78" s="75"/>
      <c r="K78" s="48">
        <f t="shared" si="13"/>
        <v>0</v>
      </c>
      <c r="M78" s="140" t="str">
        <f t="shared" si="14"/>
        <v>2150/006</v>
      </c>
      <c r="N78" s="70"/>
      <c r="P78" s="71"/>
      <c r="Q78" s="51"/>
      <c r="R78" s="31"/>
    </row>
    <row r="79" spans="1:18" x14ac:dyDescent="0.2">
      <c r="A79" s="238"/>
      <c r="B79" s="90" t="s">
        <v>586</v>
      </c>
      <c r="C79" s="278"/>
      <c r="D79" s="274"/>
      <c r="E79" s="281"/>
      <c r="F79" s="79"/>
      <c r="G79" s="47">
        <f>SUMIF(JournalsB!D$14:D$920,TrialBalanceB!M79,JournalsB!J$14:J$920)+SUMIF(JournalsB!E$14:E$920,TrialBalanceB!M79,JournalsB!J$14:J$920)</f>
        <v>0</v>
      </c>
      <c r="H79" s="288"/>
      <c r="I79" s="290">
        <f t="shared" si="12"/>
        <v>0</v>
      </c>
      <c r="J79" s="75"/>
      <c r="K79" s="48">
        <f t="shared" si="13"/>
        <v>0</v>
      </c>
      <c r="M79" s="140" t="str">
        <f t="shared" si="14"/>
        <v>2150/007</v>
      </c>
      <c r="N79" s="70"/>
      <c r="P79" s="71"/>
      <c r="Q79" s="51"/>
      <c r="R79" s="31"/>
    </row>
    <row r="80" spans="1:18" x14ac:dyDescent="0.2">
      <c r="A80" s="238"/>
      <c r="B80" s="90" t="s">
        <v>587</v>
      </c>
      <c r="C80" s="278"/>
      <c r="D80" s="281"/>
      <c r="E80" s="281"/>
      <c r="F80" s="79"/>
      <c r="G80" s="47">
        <f>SUMIF(JournalsB!D$14:D$920,TrialBalanceB!M80,JournalsB!J$14:J$920)+SUMIF(JournalsB!E$14:E$920,TrialBalanceB!M80,JournalsB!J$14:J$920)</f>
        <v>0</v>
      </c>
      <c r="H80" s="288"/>
      <c r="I80" s="290">
        <f t="shared" si="12"/>
        <v>0</v>
      </c>
      <c r="J80" s="75"/>
      <c r="K80" s="48">
        <f t="shared" si="13"/>
        <v>0</v>
      </c>
      <c r="M80" s="140" t="str">
        <f t="shared" si="14"/>
        <v>2150/008</v>
      </c>
      <c r="N80" s="70"/>
      <c r="P80" s="71"/>
      <c r="Q80" s="51"/>
      <c r="R80" s="31"/>
    </row>
    <row r="81" spans="1:18" x14ac:dyDescent="0.2">
      <c r="A81" s="238"/>
      <c r="B81" s="90" t="s">
        <v>588</v>
      </c>
      <c r="C81" s="276"/>
      <c r="D81" s="281"/>
      <c r="E81" s="281"/>
      <c r="F81" s="79"/>
      <c r="G81" s="47">
        <f>SUMIF(JournalsB!D$14:D$920,TrialBalanceB!M81,JournalsB!J$14:J$920)+SUMIF(JournalsB!E$14:E$920,TrialBalanceB!M81,JournalsB!J$14:J$920)</f>
        <v>0</v>
      </c>
      <c r="H81" s="288"/>
      <c r="I81" s="290">
        <f t="shared" si="12"/>
        <v>0</v>
      </c>
      <c r="J81" s="75"/>
      <c r="K81" s="48">
        <f t="shared" si="13"/>
        <v>0</v>
      </c>
      <c r="M81" s="140" t="str">
        <f t="shared" si="14"/>
        <v>2150/009</v>
      </c>
      <c r="N81" s="70"/>
      <c r="P81" s="71"/>
      <c r="Q81" s="51"/>
      <c r="R81" s="31"/>
    </row>
    <row r="82" spans="1:18" x14ac:dyDescent="0.2">
      <c r="A82" s="238"/>
      <c r="B82" s="90" t="s">
        <v>589</v>
      </c>
      <c r="C82" s="276"/>
      <c r="D82" s="281"/>
      <c r="E82" s="281"/>
      <c r="F82" s="79"/>
      <c r="G82" s="47">
        <f>SUMIF(JournalsB!D$14:D$920,TrialBalanceB!M82,JournalsB!J$14:J$920)+SUMIF(JournalsB!E$14:E$920,TrialBalanceB!M82,JournalsB!J$14:J$920)</f>
        <v>0</v>
      </c>
      <c r="H82" s="288"/>
      <c r="I82" s="290">
        <f t="shared" si="12"/>
        <v>0</v>
      </c>
      <c r="J82" s="75"/>
      <c r="K82" s="48">
        <f t="shared" si="13"/>
        <v>0</v>
      </c>
      <c r="M82" s="140" t="str">
        <f t="shared" si="14"/>
        <v>2150/010</v>
      </c>
      <c r="N82" s="70"/>
      <c r="P82" s="71"/>
      <c r="Q82" s="51"/>
      <c r="R82" s="31"/>
    </row>
    <row r="83" spans="1:18" x14ac:dyDescent="0.2">
      <c r="A83" s="238"/>
      <c r="B83" s="54" t="s">
        <v>18</v>
      </c>
      <c r="C83" s="239" t="s">
        <v>102</v>
      </c>
      <c r="D83" s="283"/>
      <c r="E83" s="281"/>
      <c r="F83" s="79"/>
      <c r="G83" s="47">
        <f>SUMIF(JournalsB!D$14:D$920,TrialBalanceB!M83,JournalsB!J$14:J$920)+SUMIF(JournalsB!E$14:E$920,TrialBalanceB!M83,JournalsB!J$14:J$920)</f>
        <v>0</v>
      </c>
      <c r="H83" s="288"/>
      <c r="I83" s="290">
        <f t="shared" si="12"/>
        <v>0</v>
      </c>
      <c r="J83" s="75"/>
      <c r="K83" s="48">
        <f t="shared" si="13"/>
        <v>0</v>
      </c>
      <c r="M83" s="140" t="str">
        <f t="shared" si="14"/>
        <v>2500/000OTHER INCOME</v>
      </c>
      <c r="N83" s="70"/>
      <c r="P83" s="71"/>
      <c r="Q83" s="51"/>
      <c r="R83" s="31"/>
    </row>
    <row r="84" spans="1:18" x14ac:dyDescent="0.2">
      <c r="A84" s="238"/>
      <c r="B84" s="54" t="s">
        <v>333</v>
      </c>
      <c r="C84" s="241" t="s">
        <v>713</v>
      </c>
      <c r="D84" s="272"/>
      <c r="E84" s="281"/>
      <c r="F84" s="79"/>
      <c r="G84" s="47">
        <f>SUMIF(JournalsB!D$14:D$920,TrialBalanceB!M84,JournalsB!J$14:J$920)+SUMIF(JournalsB!E$14:E$920,TrialBalanceB!M84,JournalsB!J$14:J$920)</f>
        <v>0</v>
      </c>
      <c r="H84" s="288"/>
      <c r="I84" s="290">
        <f t="shared" si="12"/>
        <v>0</v>
      </c>
      <c r="J84" s="75"/>
      <c r="K84" s="48">
        <f t="shared" si="13"/>
        <v>0</v>
      </c>
      <c r="M84" s="140" t="str">
        <f t="shared" si="14"/>
        <v>2710/000Rent received (not main income)</v>
      </c>
      <c r="N84" s="70"/>
      <c r="P84" s="71"/>
      <c r="Q84" s="51"/>
      <c r="R84" s="31"/>
    </row>
    <row r="85" spans="1:18" x14ac:dyDescent="0.2">
      <c r="A85" s="238"/>
      <c r="B85" s="54" t="s">
        <v>69</v>
      </c>
      <c r="C85" s="239" t="s">
        <v>719</v>
      </c>
      <c r="D85" s="283"/>
      <c r="E85" s="281"/>
      <c r="F85" s="79"/>
      <c r="G85" s="47">
        <f>SUMIF(JournalsB!D$14:D$920,TrialBalanceB!M85,JournalsB!J$14:J$920)+SUMIF(JournalsB!E$14:E$920,TrialBalanceB!M85,JournalsB!J$14:J$920)</f>
        <v>0</v>
      </c>
      <c r="H85" s="288"/>
      <c r="I85" s="290">
        <f t="shared" si="12"/>
        <v>0</v>
      </c>
      <c r="J85" s="75"/>
      <c r="K85" s="48">
        <f t="shared" si="13"/>
        <v>0</v>
      </c>
      <c r="M85" s="140" t="str">
        <f t="shared" si="14"/>
        <v>2750/000Interest received-----------------------</v>
      </c>
      <c r="N85" s="70"/>
      <c r="P85" s="71"/>
      <c r="Q85" s="51"/>
      <c r="R85" s="31"/>
    </row>
    <row r="86" spans="1:18" x14ac:dyDescent="0.2">
      <c r="A86" s="238"/>
      <c r="B86" s="54" t="s">
        <v>70</v>
      </c>
      <c r="C86" s="276"/>
      <c r="D86" s="281"/>
      <c r="E86" s="281"/>
      <c r="F86" s="79"/>
      <c r="G86" s="47">
        <f>SUMIF(JournalsB!D$14:D$920,TrialBalanceB!M86,JournalsB!J$14:J$920)+SUMIF(JournalsB!E$14:E$920,TrialBalanceB!M86,JournalsB!J$14:J$920)</f>
        <v>0</v>
      </c>
      <c r="H86" s="288"/>
      <c r="I86" s="290">
        <f t="shared" si="12"/>
        <v>0</v>
      </c>
      <c r="J86" s="75"/>
      <c r="K86" s="48">
        <f t="shared" si="13"/>
        <v>0</v>
      </c>
      <c r="M86" s="140" t="str">
        <f t="shared" si="14"/>
        <v>2750/001</v>
      </c>
      <c r="N86" s="70"/>
      <c r="P86" s="71"/>
      <c r="Q86" s="51"/>
      <c r="R86" s="31"/>
    </row>
    <row r="87" spans="1:18" x14ac:dyDescent="0.2">
      <c r="A87" s="238"/>
      <c r="B87" s="54" t="s">
        <v>71</v>
      </c>
      <c r="C87" s="278"/>
      <c r="D87" s="274"/>
      <c r="E87" s="281"/>
      <c r="F87" s="79"/>
      <c r="G87" s="47">
        <f>SUMIF(JournalsB!D$14:D$920,TrialBalanceB!M87,JournalsB!J$14:J$920)+SUMIF(JournalsB!E$14:E$920,TrialBalanceB!M87,JournalsB!J$14:J$920)</f>
        <v>0</v>
      </c>
      <c r="H87" s="288"/>
      <c r="I87" s="290">
        <f t="shared" si="12"/>
        <v>0</v>
      </c>
      <c r="J87" s="75"/>
      <c r="K87" s="48">
        <f t="shared" si="13"/>
        <v>0</v>
      </c>
      <c r="M87" s="140" t="str">
        <f t="shared" si="14"/>
        <v>2750/002</v>
      </c>
      <c r="N87" s="70"/>
      <c r="P87" s="71"/>
      <c r="Q87" s="51"/>
      <c r="R87" s="31"/>
    </row>
    <row r="88" spans="1:18" x14ac:dyDescent="0.2">
      <c r="A88" s="238"/>
      <c r="B88" s="54" t="s">
        <v>72</v>
      </c>
      <c r="C88" s="279"/>
      <c r="D88" s="282"/>
      <c r="E88" s="281"/>
      <c r="F88" s="79"/>
      <c r="G88" s="47">
        <f>SUMIF(JournalsB!D$14:D$920,TrialBalanceB!M88,JournalsB!J$14:J$920)+SUMIF(JournalsB!E$14:E$920,TrialBalanceB!M88,JournalsB!J$14:J$920)</f>
        <v>0</v>
      </c>
      <c r="H88" s="288"/>
      <c r="I88" s="290">
        <f t="shared" si="12"/>
        <v>0</v>
      </c>
      <c r="J88" s="75"/>
      <c r="K88" s="48">
        <f t="shared" si="13"/>
        <v>0</v>
      </c>
      <c r="M88" s="140" t="str">
        <f t="shared" si="14"/>
        <v>2750/003</v>
      </c>
      <c r="N88" s="70"/>
      <c r="P88" s="71"/>
      <c r="Q88" s="51"/>
      <c r="R88" s="31"/>
    </row>
    <row r="89" spans="1:18" x14ac:dyDescent="0.2">
      <c r="A89" s="238"/>
      <c r="B89" s="54" t="s">
        <v>73</v>
      </c>
      <c r="C89" s="279"/>
      <c r="D89" s="282"/>
      <c r="E89" s="281"/>
      <c r="F89" s="79"/>
      <c r="G89" s="47">
        <f>SUMIF(JournalsB!D$14:D$920,TrialBalanceB!M89,JournalsB!J$14:J$920)+SUMIF(JournalsB!E$14:E$920,TrialBalanceB!M89,JournalsB!J$14:J$920)</f>
        <v>0</v>
      </c>
      <c r="H89" s="288"/>
      <c r="I89" s="290">
        <f t="shared" si="12"/>
        <v>0</v>
      </c>
      <c r="J89" s="75"/>
      <c r="K89" s="48">
        <f t="shared" si="13"/>
        <v>0</v>
      </c>
      <c r="M89" s="140" t="str">
        <f t="shared" si="14"/>
        <v>2750/004</v>
      </c>
      <c r="N89" s="70"/>
      <c r="P89" s="71"/>
      <c r="Q89" s="51"/>
      <c r="R89" s="31"/>
    </row>
    <row r="90" spans="1:18" x14ac:dyDescent="0.2">
      <c r="A90" s="238"/>
      <c r="B90" s="54" t="s">
        <v>176</v>
      </c>
      <c r="C90" s="240" t="s">
        <v>274</v>
      </c>
      <c r="D90" s="283"/>
      <c r="E90" s="281"/>
      <c r="F90" s="79"/>
      <c r="G90" s="47">
        <f>SUMIF(JournalsB!D$14:D$920,TrialBalanceB!M90,JournalsB!J$14:J$920)+SUMIF(JournalsB!E$14:E$920,TrialBalanceB!M90,JournalsB!J$14:J$920)</f>
        <v>0</v>
      </c>
      <c r="H90" s="288"/>
      <c r="I90" s="290">
        <f t="shared" si="12"/>
        <v>0</v>
      </c>
      <c r="J90" s="75"/>
      <c r="K90" s="48">
        <f t="shared" si="13"/>
        <v>0</v>
      </c>
      <c r="M90" s="140" t="str">
        <f t="shared" si="14"/>
        <v>2800/000Dividends received----------------------</v>
      </c>
      <c r="N90" s="70"/>
      <c r="P90" s="71"/>
      <c r="Q90" s="51"/>
      <c r="R90" s="31"/>
    </row>
    <row r="91" spans="1:18" x14ac:dyDescent="0.2">
      <c r="A91" s="238"/>
      <c r="B91" s="54" t="s">
        <v>275</v>
      </c>
      <c r="C91" s="242" t="s">
        <v>664</v>
      </c>
      <c r="D91" s="282"/>
      <c r="E91" s="281"/>
      <c r="F91" s="79"/>
      <c r="G91" s="47">
        <f>SUMIF(JournalsB!D$14:D$920,TrialBalanceB!M91,JournalsB!J$14:J$920)+SUMIF(JournalsB!E$14:E$920,TrialBalanceB!M91,JournalsB!J$14:J$920)</f>
        <v>0</v>
      </c>
      <c r="H91" s="288"/>
      <c r="I91" s="290">
        <f t="shared" si="12"/>
        <v>0</v>
      </c>
      <c r="J91" s="75"/>
      <c r="K91" s="48">
        <f t="shared" si="13"/>
        <v>0</v>
      </c>
      <c r="M91" s="140" t="str">
        <f t="shared" si="14"/>
        <v>2800/001Div.'s received - SA sources</v>
      </c>
      <c r="N91" s="70"/>
      <c r="P91" s="71"/>
      <c r="Q91" s="51"/>
      <c r="R91" s="31"/>
    </row>
    <row r="92" spans="1:18" x14ac:dyDescent="0.2">
      <c r="A92" s="238"/>
      <c r="B92" s="54" t="s">
        <v>186</v>
      </c>
      <c r="C92" s="242" t="s">
        <v>992</v>
      </c>
      <c r="D92" s="282"/>
      <c r="E92" s="281"/>
      <c r="F92" s="79"/>
      <c r="G92" s="47">
        <f>SUMIF(JournalsB!D$14:D$920,TrialBalanceB!M92,JournalsB!J$14:J$920)+SUMIF(JournalsB!E$14:E$920,TrialBalanceB!M92,JournalsB!J$14:J$920)</f>
        <v>0</v>
      </c>
      <c r="H92" s="288"/>
      <c r="I92" s="290">
        <f t="shared" ref="I92" si="15">ROUND(D92-E92+G92+F92,0)</f>
        <v>0</v>
      </c>
      <c r="J92" s="75"/>
      <c r="K92" s="48">
        <f t="shared" ref="K92" si="16">ROUND(SUM(A92),0)</f>
        <v>0</v>
      </c>
      <c r="M92" s="140" t="str">
        <f t="shared" ref="M92" si="17">CONCATENATE(B92,C92)</f>
        <v>2800/002Div.'s received - Associates</v>
      </c>
      <c r="N92" s="70"/>
      <c r="P92" s="71"/>
      <c r="Q92" s="51"/>
      <c r="R92" s="31"/>
    </row>
    <row r="93" spans="1:18" x14ac:dyDescent="0.2">
      <c r="A93" s="238"/>
      <c r="B93" s="90" t="s">
        <v>991</v>
      </c>
      <c r="C93" s="242" t="s">
        <v>665</v>
      </c>
      <c r="D93" s="282"/>
      <c r="E93" s="281"/>
      <c r="F93" s="79"/>
      <c r="G93" s="47">
        <f>SUMIF(JournalsB!D$14:D$920,TrialBalanceB!M93,JournalsB!J$14:J$920)+SUMIF(JournalsB!E$14:E$920,TrialBalanceB!M93,JournalsB!J$14:J$920)</f>
        <v>0</v>
      </c>
      <c r="H93" s="288"/>
      <c r="I93" s="290">
        <f t="shared" si="12"/>
        <v>0</v>
      </c>
      <c r="J93" s="75"/>
      <c r="K93" s="48">
        <f t="shared" si="13"/>
        <v>0</v>
      </c>
      <c r="M93" s="140" t="str">
        <f t="shared" si="14"/>
        <v>2800/003Div.'s received - Foreign div.'s</v>
      </c>
      <c r="N93" s="70"/>
      <c r="P93" s="71"/>
      <c r="Q93" s="51"/>
      <c r="R93" s="31"/>
    </row>
    <row r="94" spans="1:18" x14ac:dyDescent="0.2">
      <c r="A94" s="238"/>
      <c r="B94" s="54" t="s">
        <v>187</v>
      </c>
      <c r="C94" s="242" t="s">
        <v>625</v>
      </c>
      <c r="D94" s="284"/>
      <c r="E94" s="281"/>
      <c r="F94" s="79"/>
      <c r="G94" s="47">
        <f>SUMIF(JournalsB!D$14:D$920,TrialBalanceB!M94,JournalsB!J$14:J$920)+SUMIF(JournalsB!E$14:E$920,TrialBalanceB!M94,JournalsB!J$14:J$920)</f>
        <v>0</v>
      </c>
      <c r="H94" s="288"/>
      <c r="I94" s="290">
        <f t="shared" si="12"/>
        <v>0</v>
      </c>
      <c r="J94" s="75"/>
      <c r="K94" s="48">
        <f t="shared" si="13"/>
        <v>0</v>
      </c>
      <c r="M94" s="140" t="str">
        <f t="shared" si="14"/>
        <v>2810/000(Profit)/Loss on sale of fixed assets</v>
      </c>
      <c r="N94" s="70"/>
      <c r="P94" s="71"/>
      <c r="Q94" s="51"/>
      <c r="R94" s="31"/>
    </row>
    <row r="95" spans="1:18" x14ac:dyDescent="0.2">
      <c r="A95" s="238"/>
      <c r="B95" s="54" t="s">
        <v>188</v>
      </c>
      <c r="C95" s="240" t="s">
        <v>189</v>
      </c>
      <c r="D95" s="282"/>
      <c r="E95" s="281"/>
      <c r="F95" s="79"/>
      <c r="G95" s="47">
        <f>SUMIF(JournalsB!D$14:D$920,TrialBalanceB!M95,JournalsB!J$14:J$920)+SUMIF(JournalsB!E$14:E$920,TrialBalanceB!M95,JournalsB!J$14:J$920)</f>
        <v>0</v>
      </c>
      <c r="H95" s="288"/>
      <c r="I95" s="290">
        <f t="shared" si="12"/>
        <v>0</v>
      </c>
      <c r="J95" s="75"/>
      <c r="K95" s="48">
        <f t="shared" si="13"/>
        <v>0</v>
      </c>
      <c r="M95" s="140" t="str">
        <f t="shared" si="14"/>
        <v>2820/000Bad debts recovered</v>
      </c>
      <c r="N95" s="70"/>
      <c r="P95" s="71"/>
      <c r="Q95" s="51"/>
      <c r="R95" s="31"/>
    </row>
    <row r="96" spans="1:18" x14ac:dyDescent="0.2">
      <c r="A96" s="238"/>
      <c r="B96" s="54" t="s">
        <v>190</v>
      </c>
      <c r="C96" s="240" t="s">
        <v>191</v>
      </c>
      <c r="D96" s="282"/>
      <c r="E96" s="281"/>
      <c r="F96" s="79"/>
      <c r="G96" s="47">
        <f>SUMIF(JournalsB!D$14:D$920,TrialBalanceB!M96,JournalsB!J$14:J$920)+SUMIF(JournalsB!E$14:E$920,TrialBalanceB!M96,JournalsB!J$14:J$920)</f>
        <v>0</v>
      </c>
      <c r="H96" s="288"/>
      <c r="I96" s="290">
        <f t="shared" si="12"/>
        <v>0</v>
      </c>
      <c r="J96" s="75"/>
      <c r="K96" s="48">
        <f t="shared" si="13"/>
        <v>0</v>
      </c>
      <c r="M96" s="140" t="str">
        <f t="shared" si="14"/>
        <v>2830/000Other income</v>
      </c>
      <c r="N96" s="70"/>
      <c r="P96" s="51"/>
      <c r="Q96" s="51"/>
      <c r="R96" s="31"/>
    </row>
    <row r="97" spans="1:18" x14ac:dyDescent="0.2">
      <c r="A97" s="238"/>
      <c r="B97" s="90" t="s">
        <v>934</v>
      </c>
      <c r="C97" s="242" t="s">
        <v>935</v>
      </c>
      <c r="D97" s="282"/>
      <c r="E97" s="281"/>
      <c r="F97" s="79"/>
      <c r="G97" s="47">
        <f>SUMIF(JournalsB!D$14:D$920,TrialBalanceB!M97,JournalsB!J$14:J$920)+SUMIF(JournalsB!E$14:E$920,TrialBalanceB!M97,JournalsB!J$14:J$920)</f>
        <v>0</v>
      </c>
      <c r="H97" s="288"/>
      <c r="I97" s="290">
        <f t="shared" ref="I97" si="18">ROUND(D97-E97+G97+F97,0)</f>
        <v>0</v>
      </c>
      <c r="J97" s="75"/>
      <c r="K97" s="48">
        <f t="shared" ref="K97" si="19">ROUND(SUM(A97),0)</f>
        <v>0</v>
      </c>
      <c r="M97" s="140" t="str">
        <f t="shared" ref="M97" si="20">CONCATENATE(B97,C97)</f>
        <v>2840/000Revaluation of investment property</v>
      </c>
      <c r="N97" s="70"/>
      <c r="P97" s="51"/>
      <c r="Q97" s="51"/>
      <c r="R97" s="31"/>
    </row>
    <row r="98" spans="1:18" x14ac:dyDescent="0.2">
      <c r="A98" s="238"/>
      <c r="B98" s="54" t="s">
        <v>192</v>
      </c>
      <c r="C98" s="239" t="s">
        <v>834</v>
      </c>
      <c r="D98" s="283"/>
      <c r="E98" s="281"/>
      <c r="F98" s="79"/>
      <c r="G98" s="47">
        <f>SUMIF(JournalsB!D$14:D$920,TrialBalanceB!M98,JournalsB!J$14:J$920)+SUMIF(JournalsB!E$14:E$920,TrialBalanceB!M98,JournalsB!J$14:J$920)</f>
        <v>0</v>
      </c>
      <c r="H98" s="288"/>
      <c r="I98" s="290">
        <f t="shared" si="12"/>
        <v>0</v>
      </c>
      <c r="J98" s="75"/>
      <c r="K98" s="48">
        <f t="shared" si="13"/>
        <v>0</v>
      </c>
      <c r="M98" s="140" t="str">
        <f t="shared" si="14"/>
        <v>3000/000ADMINISTRATIVE EXPENSES</v>
      </c>
      <c r="N98" s="70"/>
      <c r="P98" s="71"/>
      <c r="Q98" s="51"/>
      <c r="R98" s="31"/>
    </row>
    <row r="99" spans="1:18" x14ac:dyDescent="0.2">
      <c r="A99" s="238"/>
      <c r="B99" s="54" t="s">
        <v>193</v>
      </c>
      <c r="C99" s="240" t="s">
        <v>194</v>
      </c>
      <c r="D99" s="282"/>
      <c r="E99" s="281"/>
      <c r="F99" s="79"/>
      <c r="G99" s="47">
        <f>SUMIF(JournalsB!D$14:D$920,TrialBalanceB!M99,JournalsB!J$14:J$920)+SUMIF(JournalsB!E$14:E$920,TrialBalanceB!M99,JournalsB!J$14:J$920)</f>
        <v>0</v>
      </c>
      <c r="H99" s="288"/>
      <c r="I99" s="290">
        <f t="shared" si="12"/>
        <v>0</v>
      </c>
      <c r="J99" s="75"/>
      <c r="K99" s="48">
        <f t="shared" si="13"/>
        <v>0</v>
      </c>
      <c r="M99" s="140" t="str">
        <f t="shared" si="14"/>
        <v>3000/011Audit fees for current year</v>
      </c>
      <c r="N99" s="70"/>
      <c r="P99" s="51"/>
      <c r="Q99" s="51"/>
      <c r="R99" s="31"/>
    </row>
    <row r="100" spans="1:18" x14ac:dyDescent="0.2">
      <c r="A100" s="238"/>
      <c r="B100" s="54" t="s">
        <v>195</v>
      </c>
      <c r="C100" s="246" t="s">
        <v>331</v>
      </c>
      <c r="D100" s="272"/>
      <c r="E100" s="281"/>
      <c r="F100" s="79"/>
      <c r="G100" s="47">
        <f>SUMIF(JournalsB!D$14:D$920,TrialBalanceB!M100,JournalsB!J$14:J$920)+SUMIF(JournalsB!E$14:E$920,TrialBalanceB!M100,JournalsB!J$14:J$920)</f>
        <v>0</v>
      </c>
      <c r="H100" s="288"/>
      <c r="I100" s="290">
        <f t="shared" si="12"/>
        <v>0</v>
      </c>
      <c r="J100" s="75"/>
      <c r="K100" s="48">
        <f t="shared" si="13"/>
        <v>0</v>
      </c>
      <c r="M100" s="140" t="str">
        <f t="shared" si="14"/>
        <v>3000/012Under provision previous year</v>
      </c>
      <c r="N100" s="70"/>
      <c r="P100" s="71"/>
      <c r="Q100" s="51"/>
      <c r="R100" s="31"/>
    </row>
    <row r="101" spans="1:18" x14ac:dyDescent="0.2">
      <c r="A101" s="238"/>
      <c r="B101" s="54" t="s">
        <v>196</v>
      </c>
      <c r="C101" s="240" t="s">
        <v>197</v>
      </c>
      <c r="D101" s="282"/>
      <c r="E101" s="281"/>
      <c r="F101" s="79"/>
      <c r="G101" s="47">
        <f>SUMIF(JournalsB!D$14:D$920,TrialBalanceB!M101,JournalsB!J$14:J$920)+SUMIF(JournalsB!E$14:E$920,TrialBalanceB!M101,JournalsB!J$14:J$920)</f>
        <v>0</v>
      </c>
      <c r="H101" s="288"/>
      <c r="I101" s="290">
        <f t="shared" si="12"/>
        <v>0</v>
      </c>
      <c r="J101" s="75"/>
      <c r="K101" s="48">
        <f t="shared" si="13"/>
        <v>0</v>
      </c>
      <c r="M101" s="140" t="str">
        <f t="shared" si="14"/>
        <v>3000/013Overprovision previous year</v>
      </c>
      <c r="N101" s="70"/>
      <c r="P101" s="71"/>
      <c r="Q101" s="51"/>
      <c r="R101" s="31"/>
    </row>
    <row r="102" spans="1:18" x14ac:dyDescent="0.2">
      <c r="A102" s="238"/>
      <c r="B102" s="54" t="s">
        <v>198</v>
      </c>
      <c r="C102" s="240" t="s">
        <v>199</v>
      </c>
      <c r="D102" s="282"/>
      <c r="E102" s="281"/>
      <c r="F102" s="79"/>
      <c r="G102" s="47">
        <f>SUMIF(JournalsB!D$14:D$920,TrialBalanceB!M102,JournalsB!J$14:J$920)+SUMIF(JournalsB!E$14:E$920,TrialBalanceB!M102,JournalsB!J$14:J$920)</f>
        <v>0</v>
      </c>
      <c r="H102" s="288"/>
      <c r="I102" s="290">
        <f t="shared" si="12"/>
        <v>0</v>
      </c>
      <c r="J102" s="75"/>
      <c r="K102" s="48">
        <f t="shared" si="13"/>
        <v>0</v>
      </c>
      <c r="M102" s="140" t="str">
        <f t="shared" si="14"/>
        <v>3000/014Accounting fees</v>
      </c>
      <c r="N102" s="70"/>
      <c r="P102" s="71"/>
      <c r="Q102" s="51"/>
      <c r="R102" s="31"/>
    </row>
    <row r="103" spans="1:18" x14ac:dyDescent="0.2">
      <c r="A103" s="238"/>
      <c r="B103" s="54" t="s">
        <v>200</v>
      </c>
      <c r="C103" s="240" t="s">
        <v>201</v>
      </c>
      <c r="D103" s="282"/>
      <c r="E103" s="281"/>
      <c r="F103" s="79"/>
      <c r="G103" s="47">
        <f>SUMIF(JournalsB!D$14:D$920,TrialBalanceB!M103,JournalsB!J$14:J$920)+SUMIF(JournalsB!E$14:E$920,TrialBalanceB!M103,JournalsB!J$14:J$920)</f>
        <v>0</v>
      </c>
      <c r="H103" s="288"/>
      <c r="I103" s="290">
        <f>ROUND(D103-E103+G103+F103,0)</f>
        <v>0</v>
      </c>
      <c r="J103" s="75"/>
      <c r="K103" s="48">
        <f t="shared" si="13"/>
        <v>0</v>
      </c>
      <c r="M103" s="140" t="str">
        <f t="shared" si="14"/>
        <v>3000/020Bank charges</v>
      </c>
      <c r="N103" s="70"/>
      <c r="P103" s="71"/>
      <c r="Q103" s="51"/>
      <c r="R103" s="31"/>
    </row>
    <row r="104" spans="1:18" x14ac:dyDescent="0.2">
      <c r="A104" s="238"/>
      <c r="B104" s="54" t="s">
        <v>202</v>
      </c>
      <c r="C104" s="240" t="s">
        <v>203</v>
      </c>
      <c r="D104" s="282"/>
      <c r="E104" s="281"/>
      <c r="F104" s="79"/>
      <c r="G104" s="47">
        <f>SUMIF(JournalsB!D$14:D$920,TrialBalanceB!M104,JournalsB!J$14:J$920)+SUMIF(JournalsB!E$14:E$920,TrialBalanceB!M104,JournalsB!J$14:J$920)</f>
        <v>0</v>
      </c>
      <c r="H104" s="288"/>
      <c r="I104" s="290">
        <f t="shared" ref="I104:I171" si="21">ROUND(D104-E104+G104+F104,0)</f>
        <v>0</v>
      </c>
      <c r="J104" s="75"/>
      <c r="K104" s="48">
        <f t="shared" si="13"/>
        <v>0</v>
      </c>
      <c r="M104" s="140" t="str">
        <f t="shared" si="14"/>
        <v>3000/030Bad debts</v>
      </c>
      <c r="N104" s="70"/>
      <c r="P104" s="71"/>
      <c r="Q104" s="51"/>
      <c r="R104" s="31"/>
    </row>
    <row r="105" spans="1:18" x14ac:dyDescent="0.2">
      <c r="A105" s="238"/>
      <c r="B105" s="54" t="s">
        <v>204</v>
      </c>
      <c r="C105" s="240" t="s">
        <v>240</v>
      </c>
      <c r="D105" s="282"/>
      <c r="E105" s="281"/>
      <c r="F105" s="79"/>
      <c r="G105" s="47">
        <f>SUMIF(JournalsB!D$14:D$920,TrialBalanceB!M105,JournalsB!J$14:J$920)+SUMIF(JournalsB!E$14:E$920,TrialBalanceB!M105,JournalsB!J$14:J$920)</f>
        <v>0</v>
      </c>
      <c r="H105" s="288"/>
      <c r="I105" s="290">
        <f t="shared" si="21"/>
        <v>0</v>
      </c>
      <c r="J105" s="75"/>
      <c r="K105" s="48">
        <f t="shared" si="13"/>
        <v>0</v>
      </c>
      <c r="M105" s="140" t="str">
        <f t="shared" si="14"/>
        <v>3000/040Cleaning</v>
      </c>
      <c r="N105" s="70"/>
      <c r="P105" s="71"/>
      <c r="Q105" s="51"/>
      <c r="R105" s="31"/>
    </row>
    <row r="106" spans="1:18" x14ac:dyDescent="0.2">
      <c r="A106" s="238"/>
      <c r="B106" s="54" t="s">
        <v>205</v>
      </c>
      <c r="C106" s="240" t="s">
        <v>206</v>
      </c>
      <c r="D106" s="282"/>
      <c r="E106" s="281"/>
      <c r="F106" s="79"/>
      <c r="G106" s="47">
        <f>SUMIF(JournalsB!D$14:D$920,TrialBalanceB!M106,JournalsB!J$14:J$920)+SUMIF(JournalsB!E$14:E$920,TrialBalanceB!M106,JournalsB!J$14:J$920)</f>
        <v>0</v>
      </c>
      <c r="H106" s="288"/>
      <c r="I106" s="290">
        <f t="shared" si="21"/>
        <v>0</v>
      </c>
      <c r="J106" s="75"/>
      <c r="K106" s="48">
        <f t="shared" si="13"/>
        <v>0</v>
      </c>
      <c r="M106" s="140" t="str">
        <f t="shared" si="14"/>
        <v>3000/050Computer expenses</v>
      </c>
      <c r="N106" s="70"/>
      <c r="P106" s="71"/>
      <c r="Q106" s="51"/>
      <c r="R106" s="31"/>
    </row>
    <row r="107" spans="1:18" x14ac:dyDescent="0.2">
      <c r="A107" s="238"/>
      <c r="B107" s="90" t="s">
        <v>645</v>
      </c>
      <c r="C107" s="242" t="s">
        <v>680</v>
      </c>
      <c r="D107" s="282"/>
      <c r="E107" s="281"/>
      <c r="F107" s="79"/>
      <c r="G107" s="47">
        <f>SUMIF(JournalsB!D$14:D$920,TrialBalanceB!M107,JournalsB!J$14:J$920)+SUMIF(JournalsB!E$14:E$920,TrialBalanceB!M107,JournalsB!J$14:J$920)</f>
        <v>0</v>
      </c>
      <c r="H107" s="288"/>
      <c r="I107" s="290">
        <f t="shared" ref="I107" si="22">ROUND(D107-E107+G107+F107,0)</f>
        <v>0</v>
      </c>
      <c r="J107" s="75"/>
      <c r="K107" s="48">
        <f t="shared" ref="K107" si="23">ROUND(SUM(A107),0)</f>
        <v>0</v>
      </c>
      <c r="M107" s="140" t="str">
        <f t="shared" ref="M107" si="24">CONCATENATE(B107,C107)</f>
        <v>3000/055Consulting and professional fees</v>
      </c>
      <c r="N107" s="70"/>
      <c r="P107" s="71"/>
      <c r="Q107" s="51"/>
      <c r="R107" s="31"/>
    </row>
    <row r="108" spans="1:18" x14ac:dyDescent="0.2">
      <c r="A108" s="238"/>
      <c r="B108" s="90" t="s">
        <v>1211</v>
      </c>
      <c r="C108" s="242" t="s">
        <v>1212</v>
      </c>
      <c r="D108" s="282"/>
      <c r="E108" s="281"/>
      <c r="F108" s="79"/>
      <c r="G108" s="47">
        <f>SUMIF(JournalsB!D$14:D$920,TrialBalanceB!M108,JournalsB!J$14:J$920)+SUMIF(JournalsB!E$14:E$920,TrialBalanceB!M108,JournalsB!J$14:J$920)</f>
        <v>0</v>
      </c>
      <c r="H108" s="288"/>
      <c r="I108" s="290">
        <f t="shared" ref="I108" si="25">ROUND(D108-E108+G108+F108,0)</f>
        <v>0</v>
      </c>
      <c r="J108" s="75"/>
      <c r="K108" s="48">
        <f t="shared" ref="K108" si="26">ROUND(SUM(A108),0)</f>
        <v>0</v>
      </c>
      <c r="M108" s="140" t="str">
        <f t="shared" ref="M108" si="27">CONCATENATE(B108,C108)</f>
        <v>3000/058Defined contribution plan expense</v>
      </c>
      <c r="N108" s="70"/>
      <c r="P108" s="71"/>
      <c r="Q108" s="51"/>
      <c r="R108" s="31"/>
    </row>
    <row r="109" spans="1:18" x14ac:dyDescent="0.2">
      <c r="A109" s="238"/>
      <c r="B109" s="54" t="s">
        <v>207</v>
      </c>
      <c r="C109" s="239" t="s">
        <v>387</v>
      </c>
      <c r="D109" s="283"/>
      <c r="E109" s="281"/>
      <c r="F109" s="79"/>
      <c r="G109" s="47">
        <f>SUMIF(JournalsB!D$14:D$920,TrialBalanceB!M109,JournalsB!J$14:J$920)+SUMIF(JournalsB!E$14:E$920,TrialBalanceB!M109,JournalsB!J$14:J$920)</f>
        <v>0</v>
      </c>
      <c r="H109" s="288"/>
      <c r="I109" s="290">
        <f t="shared" si="21"/>
        <v>0</v>
      </c>
      <c r="J109" s="75"/>
      <c r="K109" s="48">
        <f t="shared" si="13"/>
        <v>0</v>
      </c>
      <c r="M109" s="140" t="str">
        <f t="shared" si="14"/>
        <v>3000/060Depreciation----------------------------</v>
      </c>
      <c r="N109" s="70"/>
      <c r="P109" s="71"/>
      <c r="Q109" s="51"/>
      <c r="R109" s="31"/>
    </row>
    <row r="110" spans="1:18" x14ac:dyDescent="0.2">
      <c r="A110" s="238"/>
      <c r="B110" s="90" t="s">
        <v>208</v>
      </c>
      <c r="C110" s="241" t="s">
        <v>48</v>
      </c>
      <c r="D110" s="281"/>
      <c r="E110" s="281"/>
      <c r="F110" s="79"/>
      <c r="G110" s="47">
        <f>SUMIF(JournalsB!D$14:D$920,TrialBalanceB!M110,JournalsB!J$14:J$920)+SUMIF(JournalsB!E$14:E$920,TrialBalanceB!M110,JournalsB!J$14:J$920)</f>
        <v>0</v>
      </c>
      <c r="H110" s="288"/>
      <c r="I110" s="290">
        <f t="shared" si="21"/>
        <v>0</v>
      </c>
      <c r="J110" s="75"/>
      <c r="K110" s="48">
        <f t="shared" si="13"/>
        <v>0</v>
      </c>
      <c r="M110" s="140" t="str">
        <f t="shared" si="14"/>
        <v>3000/061Depr - Electronic equipment</v>
      </c>
      <c r="N110" s="70"/>
      <c r="P110" s="71"/>
      <c r="Q110" s="51"/>
      <c r="R110" s="31"/>
    </row>
    <row r="111" spans="1:18" x14ac:dyDescent="0.2">
      <c r="A111" s="238"/>
      <c r="B111" s="90" t="s">
        <v>335</v>
      </c>
      <c r="C111" s="242" t="s">
        <v>718</v>
      </c>
      <c r="D111" s="282"/>
      <c r="E111" s="281"/>
      <c r="F111" s="79"/>
      <c r="G111" s="47">
        <f>SUMIF(JournalsB!D$14:D$920,TrialBalanceB!M111,JournalsB!J$14:J$920)+SUMIF(JournalsB!E$14:E$920,TrialBalanceB!M111,JournalsB!J$14:J$920)</f>
        <v>0</v>
      </c>
      <c r="H111" s="288"/>
      <c r="I111" s="290">
        <f t="shared" si="21"/>
        <v>0</v>
      </c>
      <c r="J111" s="75"/>
      <c r="K111" s="48">
        <f t="shared" si="13"/>
        <v>0</v>
      </c>
      <c r="M111" s="140" t="str">
        <f t="shared" si="14"/>
        <v>3000/063Depr - Furniture and fittings</v>
      </c>
      <c r="N111" s="70"/>
      <c r="P111" s="71"/>
      <c r="Q111" s="51"/>
      <c r="R111" s="31"/>
    </row>
    <row r="112" spans="1:18" x14ac:dyDescent="0.2">
      <c r="A112" s="238"/>
      <c r="B112" s="54" t="s">
        <v>336</v>
      </c>
      <c r="C112" s="239" t="s">
        <v>574</v>
      </c>
      <c r="D112" s="283"/>
      <c r="E112" s="281"/>
      <c r="F112" s="79"/>
      <c r="G112" s="47">
        <f>SUMIF(JournalsB!D$14:D$920,TrialBalanceB!M112,JournalsB!J$14:J$920)+SUMIF(JournalsB!E$14:E$920,TrialBalanceB!M112,JournalsB!J$14:J$920)</f>
        <v>0</v>
      </c>
      <c r="H112" s="288"/>
      <c r="I112" s="290">
        <f t="shared" si="21"/>
        <v>0</v>
      </c>
      <c r="J112" s="75"/>
      <c r="K112" s="48">
        <f t="shared" si="13"/>
        <v>0</v>
      </c>
      <c r="M112" s="140" t="str">
        <f t="shared" si="14"/>
        <v>3000/070Directors' remuneration-----------------</v>
      </c>
      <c r="N112" s="70"/>
      <c r="P112" s="71"/>
      <c r="Q112" s="51"/>
      <c r="R112" s="31"/>
    </row>
    <row r="113" spans="1:18" x14ac:dyDescent="0.2">
      <c r="A113" s="238"/>
      <c r="B113" s="54" t="s">
        <v>337</v>
      </c>
      <c r="C113" s="276" t="str">
        <f>Criteria!E38</f>
        <v>A Director</v>
      </c>
      <c r="D113" s="281"/>
      <c r="E113" s="281"/>
      <c r="F113" s="79"/>
      <c r="G113" s="47">
        <f>SUMIF(JournalsB!D$14:D$920,TrialBalanceB!M113,JournalsB!J$14:J$920)+SUMIF(JournalsB!E$14:E$920,TrialBalanceB!M113,JournalsB!J$14:J$920)</f>
        <v>0</v>
      </c>
      <c r="H113" s="288"/>
      <c r="I113" s="290">
        <f t="shared" si="21"/>
        <v>0</v>
      </c>
      <c r="J113" s="75"/>
      <c r="K113" s="48">
        <f t="shared" si="13"/>
        <v>0</v>
      </c>
      <c r="M113" s="140" t="str">
        <f t="shared" si="14"/>
        <v>3000/071A Director</v>
      </c>
      <c r="N113" s="70"/>
      <c r="P113" s="71"/>
      <c r="Q113" s="51"/>
      <c r="R113" s="31"/>
    </row>
    <row r="114" spans="1:18" x14ac:dyDescent="0.2">
      <c r="A114" s="238"/>
      <c r="B114" s="54" t="s">
        <v>338</v>
      </c>
      <c r="C114" s="276" t="str">
        <f>Criteria!E39</f>
        <v>B Director</v>
      </c>
      <c r="D114" s="281"/>
      <c r="E114" s="281"/>
      <c r="F114" s="79"/>
      <c r="G114" s="47">
        <f>SUMIF(JournalsB!D$14:D$920,TrialBalanceB!M114,JournalsB!J$14:J$920)+SUMIF(JournalsB!E$14:E$920,TrialBalanceB!M114,JournalsB!J$14:J$920)</f>
        <v>0</v>
      </c>
      <c r="H114" s="288"/>
      <c r="I114" s="290">
        <f t="shared" si="21"/>
        <v>0</v>
      </c>
      <c r="J114" s="75"/>
      <c r="K114" s="48">
        <f t="shared" si="13"/>
        <v>0</v>
      </c>
      <c r="M114" s="140" t="str">
        <f t="shared" si="14"/>
        <v>3000/072B Director</v>
      </c>
      <c r="N114" s="70"/>
      <c r="P114" s="71"/>
      <c r="Q114" s="51"/>
      <c r="R114" s="31"/>
    </row>
    <row r="115" spans="1:18" x14ac:dyDescent="0.2">
      <c r="A115" s="238"/>
      <c r="B115" s="54" t="s">
        <v>339</v>
      </c>
      <c r="C115" s="276">
        <f>Criteria!E40</f>
        <v>0</v>
      </c>
      <c r="D115" s="281"/>
      <c r="E115" s="281"/>
      <c r="F115" s="79"/>
      <c r="G115" s="47">
        <f>SUMIF(JournalsB!D$14:D$920,TrialBalanceB!M115,JournalsB!J$14:J$920)+SUMIF(JournalsB!E$14:E$920,TrialBalanceB!M115,JournalsB!J$14:J$920)</f>
        <v>0</v>
      </c>
      <c r="H115" s="288"/>
      <c r="I115" s="290">
        <f t="shared" si="21"/>
        <v>0</v>
      </c>
      <c r="J115" s="75"/>
      <c r="K115" s="48">
        <f t="shared" si="13"/>
        <v>0</v>
      </c>
      <c r="M115" s="140" t="str">
        <f t="shared" si="14"/>
        <v>3000/0730</v>
      </c>
      <c r="N115" s="70"/>
      <c r="P115" s="71"/>
      <c r="Q115" s="51"/>
      <c r="R115" s="31"/>
    </row>
    <row r="116" spans="1:18" x14ac:dyDescent="0.2">
      <c r="A116" s="238"/>
      <c r="B116" s="54" t="s">
        <v>340</v>
      </c>
      <c r="C116" s="276">
        <f>Criteria!E41</f>
        <v>0</v>
      </c>
      <c r="D116" s="281"/>
      <c r="E116" s="281"/>
      <c r="F116" s="79"/>
      <c r="G116" s="47">
        <f>SUMIF(JournalsB!D$14:D$920,TrialBalanceB!M116,JournalsB!J$14:J$920)+SUMIF(JournalsB!E$14:E$920,TrialBalanceB!M116,JournalsB!J$14:J$920)</f>
        <v>0</v>
      </c>
      <c r="H116" s="288"/>
      <c r="I116" s="290">
        <f t="shared" si="21"/>
        <v>0</v>
      </c>
      <c r="J116" s="75"/>
      <c r="K116" s="48">
        <f t="shared" si="13"/>
        <v>0</v>
      </c>
      <c r="M116" s="140" t="str">
        <f t="shared" si="14"/>
        <v>3000/0740</v>
      </c>
      <c r="N116" s="70"/>
      <c r="P116" s="71"/>
      <c r="Q116" s="51"/>
      <c r="R116" s="31"/>
    </row>
    <row r="117" spans="1:18" x14ac:dyDescent="0.2">
      <c r="A117" s="238"/>
      <c r="B117" s="54" t="s">
        <v>341</v>
      </c>
      <c r="C117" s="276">
        <f>Criteria!E42</f>
        <v>0</v>
      </c>
      <c r="D117" s="282"/>
      <c r="E117" s="281"/>
      <c r="F117" s="79"/>
      <c r="G117" s="47">
        <f>SUMIF(JournalsB!D$14:D$920,TrialBalanceB!M117,JournalsB!J$14:J$920)+SUMIF(JournalsB!E$14:E$920,TrialBalanceB!M117,JournalsB!J$14:J$920)</f>
        <v>0</v>
      </c>
      <c r="H117" s="288"/>
      <c r="I117" s="290">
        <f t="shared" si="21"/>
        <v>0</v>
      </c>
      <c r="J117" s="75"/>
      <c r="K117" s="48">
        <f t="shared" si="13"/>
        <v>0</v>
      </c>
      <c r="M117" s="140" t="str">
        <f t="shared" si="14"/>
        <v>3000/0750</v>
      </c>
      <c r="N117" s="70"/>
      <c r="P117" s="71"/>
      <c r="Q117" s="51"/>
      <c r="R117" s="31"/>
    </row>
    <row r="118" spans="1:18" x14ac:dyDescent="0.2">
      <c r="A118" s="238"/>
      <c r="B118" s="54" t="s">
        <v>342</v>
      </c>
      <c r="C118" s="240" t="s">
        <v>241</v>
      </c>
      <c r="D118" s="282"/>
      <c r="E118" s="281"/>
      <c r="F118" s="79"/>
      <c r="G118" s="47">
        <f>SUMIF(JournalsB!D$14:D$920,TrialBalanceB!M118,JournalsB!J$14:J$920)+SUMIF(JournalsB!E$14:E$920,TrialBalanceB!M118,JournalsB!J$14:J$920)</f>
        <v>0</v>
      </c>
      <c r="H118" s="288"/>
      <c r="I118" s="290">
        <f t="shared" si="21"/>
        <v>0</v>
      </c>
      <c r="J118" s="75"/>
      <c r="K118" s="48">
        <f t="shared" si="13"/>
        <v>0</v>
      </c>
      <c r="M118" s="140" t="str">
        <f t="shared" si="14"/>
        <v>3000/080Donations</v>
      </c>
      <c r="N118" s="70"/>
      <c r="P118" s="71"/>
      <c r="Q118" s="51"/>
      <c r="R118" s="31"/>
    </row>
    <row r="119" spans="1:18" x14ac:dyDescent="0.2">
      <c r="A119" s="238"/>
      <c r="B119" s="54" t="s">
        <v>343</v>
      </c>
      <c r="C119" s="240" t="s">
        <v>344</v>
      </c>
      <c r="D119" s="282"/>
      <c r="E119" s="281"/>
      <c r="F119" s="79"/>
      <c r="G119" s="47">
        <f>SUMIF(JournalsB!D$14:D$920,TrialBalanceB!M119,JournalsB!J$14:J$920)+SUMIF(JournalsB!E$14:E$920,TrialBalanceB!M119,JournalsB!J$14:J$920)</f>
        <v>0</v>
      </c>
      <c r="H119" s="288"/>
      <c r="I119" s="290">
        <f t="shared" si="21"/>
        <v>0</v>
      </c>
      <c r="J119" s="75"/>
      <c r="K119" s="48">
        <f t="shared" si="13"/>
        <v>0</v>
      </c>
      <c r="M119" s="140" t="str">
        <f t="shared" si="14"/>
        <v>3000/090Entertainment expenses</v>
      </c>
      <c r="N119" s="70"/>
      <c r="P119" s="71"/>
      <c r="Q119" s="51"/>
      <c r="R119" s="31"/>
    </row>
    <row r="120" spans="1:18" x14ac:dyDescent="0.2">
      <c r="A120" s="238"/>
      <c r="B120" s="56" t="s">
        <v>56</v>
      </c>
      <c r="C120" s="246" t="s">
        <v>305</v>
      </c>
      <c r="D120" s="272"/>
      <c r="E120" s="281"/>
      <c r="F120" s="79"/>
      <c r="G120" s="47">
        <f>SUMIF(JournalsB!D$14:D$920,TrialBalanceB!M120,JournalsB!J$14:J$920)+SUMIF(JournalsB!E$14:E$920,TrialBalanceB!M120,JournalsB!J$14:J$920)</f>
        <v>0</v>
      </c>
      <c r="H120" s="288"/>
      <c r="I120" s="290">
        <f t="shared" si="21"/>
        <v>0</v>
      </c>
      <c r="J120" s="75"/>
      <c r="K120" s="48">
        <f t="shared" si="13"/>
        <v>0</v>
      </c>
      <c r="M120" s="140" t="str">
        <f t="shared" si="14"/>
        <v>3000/095Fines</v>
      </c>
      <c r="N120" s="70"/>
      <c r="P120" s="71"/>
      <c r="Q120" s="51"/>
      <c r="R120" s="31"/>
    </row>
    <row r="121" spans="1:18" x14ac:dyDescent="0.2">
      <c r="A121" s="238"/>
      <c r="B121" s="54" t="s">
        <v>345</v>
      </c>
      <c r="C121" s="240" t="s">
        <v>346</v>
      </c>
      <c r="D121" s="282"/>
      <c r="E121" s="281"/>
      <c r="F121" s="79"/>
      <c r="G121" s="47">
        <f>SUMIF(JournalsB!D$14:D$920,TrialBalanceB!M121,JournalsB!J$14:J$920)+SUMIF(JournalsB!E$14:E$920,TrialBalanceB!M121,JournalsB!J$14:J$920)</f>
        <v>0</v>
      </c>
      <c r="H121" s="288"/>
      <c r="I121" s="290">
        <f t="shared" si="21"/>
        <v>0</v>
      </c>
      <c r="J121" s="75"/>
      <c r="K121" s="48">
        <f t="shared" si="13"/>
        <v>0</v>
      </c>
      <c r="M121" s="140" t="str">
        <f t="shared" si="14"/>
        <v>3000/100General expenses</v>
      </c>
      <c r="N121" s="70"/>
      <c r="P121" s="71"/>
      <c r="Q121" s="51"/>
      <c r="R121" s="31"/>
    </row>
    <row r="122" spans="1:18" x14ac:dyDescent="0.2">
      <c r="A122" s="238"/>
      <c r="B122" s="54" t="s">
        <v>276</v>
      </c>
      <c r="C122" s="241" t="s">
        <v>715</v>
      </c>
      <c r="D122" s="272"/>
      <c r="E122" s="281"/>
      <c r="F122" s="79"/>
      <c r="G122" s="47">
        <f>SUMIF(JournalsB!D$14:D$920,TrialBalanceB!M122,JournalsB!J$14:J$920)+SUMIF(JournalsB!E$14:E$920,TrialBalanceB!M122,JournalsB!J$14:J$920)</f>
        <v>0</v>
      </c>
      <c r="H122" s="288"/>
      <c r="I122" s="290">
        <f t="shared" si="21"/>
        <v>0</v>
      </c>
      <c r="J122" s="75"/>
      <c r="K122" s="48">
        <f t="shared" si="13"/>
        <v>0</v>
      </c>
      <c r="M122" s="140" t="str">
        <f t="shared" si="14"/>
        <v>3000/110Legal expenses - tax deductible</v>
      </c>
      <c r="N122" s="70"/>
      <c r="P122" s="71"/>
      <c r="Q122" s="51"/>
      <c r="R122" s="31"/>
    </row>
    <row r="123" spans="1:18" x14ac:dyDescent="0.2">
      <c r="A123" s="238"/>
      <c r="B123" s="54" t="s">
        <v>420</v>
      </c>
      <c r="C123" s="241" t="s">
        <v>716</v>
      </c>
      <c r="D123" s="272"/>
      <c r="E123" s="281"/>
      <c r="F123" s="79"/>
      <c r="G123" s="47">
        <f>SUMIF(JournalsB!D$14:D$920,TrialBalanceB!M123,JournalsB!J$14:J$920)+SUMIF(JournalsB!E$14:E$920,TrialBalanceB!M123,JournalsB!J$14:J$920)</f>
        <v>0</v>
      </c>
      <c r="H123" s="288"/>
      <c r="I123" s="290">
        <f t="shared" si="21"/>
        <v>0</v>
      </c>
      <c r="J123" s="75"/>
      <c r="K123" s="48">
        <f t="shared" si="13"/>
        <v>0</v>
      </c>
      <c r="M123" s="140" t="str">
        <f t="shared" si="14"/>
        <v>3000/111Legal expenses - non deductible</v>
      </c>
      <c r="N123" s="70"/>
      <c r="P123" s="71"/>
      <c r="Q123" s="51"/>
      <c r="R123" s="31"/>
    </row>
    <row r="124" spans="1:18" x14ac:dyDescent="0.2">
      <c r="A124" s="238"/>
      <c r="B124" s="54" t="s">
        <v>277</v>
      </c>
      <c r="C124" s="240" t="s">
        <v>278</v>
      </c>
      <c r="D124" s="282"/>
      <c r="E124" s="281"/>
      <c r="F124" s="79"/>
      <c r="G124" s="47">
        <f>SUMIF(JournalsB!D$14:D$920,TrialBalanceB!M124,JournalsB!J$14:J$920)+SUMIF(JournalsB!E$14:E$920,TrialBalanceB!M124,JournalsB!J$14:J$920)</f>
        <v>0</v>
      </c>
      <c r="H124" s="288"/>
      <c r="I124" s="290">
        <f t="shared" si="21"/>
        <v>0</v>
      </c>
      <c r="J124" s="75"/>
      <c r="K124" s="48">
        <f t="shared" si="13"/>
        <v>0</v>
      </c>
      <c r="M124" s="140" t="str">
        <f t="shared" si="14"/>
        <v>3000/120Printing and stationary</v>
      </c>
      <c r="N124" s="70"/>
      <c r="P124" s="71"/>
      <c r="Q124" s="51"/>
      <c r="R124" s="31"/>
    </row>
    <row r="125" spans="1:18" x14ac:dyDescent="0.2">
      <c r="A125" s="238"/>
      <c r="B125" s="54" t="s">
        <v>279</v>
      </c>
      <c r="C125" s="240" t="s">
        <v>242</v>
      </c>
      <c r="D125" s="282"/>
      <c r="E125" s="281"/>
      <c r="F125" s="79"/>
      <c r="G125" s="47">
        <f>SUMIF(JournalsB!D$14:D$920,TrialBalanceB!M125,JournalsB!J$14:J$920)+SUMIF(JournalsB!E$14:E$920,TrialBalanceB!M125,JournalsB!J$14:J$920)</f>
        <v>0</v>
      </c>
      <c r="H125" s="288"/>
      <c r="I125" s="290">
        <f t="shared" si="21"/>
        <v>0</v>
      </c>
      <c r="J125" s="75"/>
      <c r="K125" s="48">
        <f t="shared" si="13"/>
        <v>0</v>
      </c>
      <c r="M125" s="140" t="str">
        <f t="shared" si="14"/>
        <v>3000/130Refreshments</v>
      </c>
      <c r="N125" s="70"/>
      <c r="P125" s="71"/>
      <c r="Q125" s="51"/>
      <c r="R125" s="31"/>
    </row>
    <row r="126" spans="1:18" x14ac:dyDescent="0.2">
      <c r="A126" s="238"/>
      <c r="B126" s="54" t="s">
        <v>280</v>
      </c>
      <c r="C126" s="240" t="s">
        <v>59</v>
      </c>
      <c r="D126" s="282"/>
      <c r="E126" s="281"/>
      <c r="F126" s="79"/>
      <c r="G126" s="47">
        <f>SUMIF(JournalsB!D$14:D$920,TrialBalanceB!M126,JournalsB!J$14:J$920)+SUMIF(JournalsB!E$14:E$920,TrialBalanceB!M126,JournalsB!J$14:J$920)</f>
        <v>0</v>
      </c>
      <c r="H126" s="288"/>
      <c r="I126" s="290">
        <f t="shared" si="21"/>
        <v>0</v>
      </c>
      <c r="J126" s="75"/>
      <c r="K126" s="48">
        <f t="shared" si="13"/>
        <v>0</v>
      </c>
      <c r="M126" s="140" t="str">
        <f t="shared" si="14"/>
        <v>3000/140Salaries</v>
      </c>
      <c r="N126" s="70"/>
      <c r="P126" s="71"/>
      <c r="Q126" s="51"/>
      <c r="R126" s="31"/>
    </row>
    <row r="127" spans="1:18" x14ac:dyDescent="0.2">
      <c r="A127" s="238"/>
      <c r="B127" s="90" t="s">
        <v>281</v>
      </c>
      <c r="C127" s="240" t="s">
        <v>63</v>
      </c>
      <c r="D127" s="282"/>
      <c r="E127" s="281"/>
      <c r="F127" s="79"/>
      <c r="G127" s="47">
        <f>SUMIF(JournalsB!D$14:D$920,TrialBalanceB!M127,JournalsB!J$14:J$920)+SUMIF(JournalsB!E$14:E$920,TrialBalanceB!M127,JournalsB!J$14:J$920)</f>
        <v>0</v>
      </c>
      <c r="H127" s="288"/>
      <c r="I127" s="290">
        <f t="shared" si="21"/>
        <v>0</v>
      </c>
      <c r="J127" s="75"/>
      <c r="K127" s="48">
        <f t="shared" si="13"/>
        <v>0</v>
      </c>
      <c r="M127" s="140" t="str">
        <f t="shared" si="14"/>
        <v>3000/141Casual wages</v>
      </c>
      <c r="N127" s="70"/>
      <c r="P127" s="71"/>
      <c r="Q127" s="51"/>
      <c r="R127" s="31"/>
    </row>
    <row r="128" spans="1:18" x14ac:dyDescent="0.2">
      <c r="A128" s="238"/>
      <c r="B128" s="54" t="s">
        <v>282</v>
      </c>
      <c r="C128" s="240" t="s">
        <v>243</v>
      </c>
      <c r="D128" s="282"/>
      <c r="E128" s="281"/>
      <c r="F128" s="79"/>
      <c r="G128" s="47">
        <f>SUMIF(JournalsB!D$14:D$920,TrialBalanceB!M128,JournalsB!J$14:J$920)+SUMIF(JournalsB!E$14:E$920,TrialBalanceB!M128,JournalsB!J$14:J$920)</f>
        <v>0</v>
      </c>
      <c r="H128" s="288"/>
      <c r="I128" s="290">
        <f t="shared" si="21"/>
        <v>0</v>
      </c>
      <c r="J128" s="75"/>
      <c r="K128" s="48">
        <f t="shared" si="13"/>
        <v>0</v>
      </c>
      <c r="M128" s="140" t="str">
        <f t="shared" si="14"/>
        <v>3000/150Security</v>
      </c>
      <c r="N128" s="70"/>
      <c r="P128" s="71"/>
      <c r="Q128" s="51"/>
      <c r="R128" s="31"/>
    </row>
    <row r="129" spans="1:18" x14ac:dyDescent="0.2">
      <c r="A129" s="238"/>
      <c r="B129" s="54" t="s">
        <v>283</v>
      </c>
      <c r="C129" s="242" t="s">
        <v>682</v>
      </c>
      <c r="D129" s="284"/>
      <c r="E129" s="281"/>
      <c r="F129" s="79"/>
      <c r="G129" s="47">
        <f>SUMIF(JournalsB!D$14:D$920,TrialBalanceB!M129,JournalsB!J$14:J$920)+SUMIF(JournalsB!E$14:E$920,TrialBalanceB!M129,JournalsB!J$14:J$920)</f>
        <v>0</v>
      </c>
      <c r="H129" s="288"/>
      <c r="I129" s="290">
        <f t="shared" si="21"/>
        <v>0</v>
      </c>
      <c r="J129" s="75"/>
      <c r="K129" s="48">
        <f t="shared" si="13"/>
        <v>0</v>
      </c>
      <c r="M129" s="140" t="str">
        <f t="shared" si="14"/>
        <v>3000/160Subscriptions and membership fees</v>
      </c>
      <c r="N129" s="70"/>
      <c r="P129" s="71"/>
      <c r="Q129" s="51"/>
      <c r="R129" s="31"/>
    </row>
    <row r="130" spans="1:18" x14ac:dyDescent="0.2">
      <c r="A130" s="238"/>
      <c r="B130" s="54" t="s">
        <v>308</v>
      </c>
      <c r="C130" s="242" t="s">
        <v>717</v>
      </c>
      <c r="D130" s="282"/>
      <c r="E130" s="281"/>
      <c r="F130" s="79"/>
      <c r="G130" s="47">
        <f>SUMIF(JournalsB!D$14:D$920,TrialBalanceB!M130,JournalsB!J$14:J$920)+SUMIF(JournalsB!E$14:E$920,TrialBalanceB!M130,JournalsB!J$14:J$920)</f>
        <v>0</v>
      </c>
      <c r="H130" s="288"/>
      <c r="I130" s="290">
        <f t="shared" si="21"/>
        <v>0</v>
      </c>
      <c r="J130" s="75"/>
      <c r="K130" s="48">
        <f t="shared" si="13"/>
        <v>0</v>
      </c>
      <c r="M130" s="140" t="str">
        <f t="shared" si="14"/>
        <v>3000/170Penalties and interest - SARS</v>
      </c>
      <c r="N130" s="70"/>
      <c r="P130" s="71"/>
      <c r="Q130" s="51"/>
      <c r="R130" s="31"/>
    </row>
    <row r="131" spans="1:18" x14ac:dyDescent="0.2">
      <c r="A131" s="238"/>
      <c r="B131" s="54" t="s">
        <v>254</v>
      </c>
      <c r="C131" s="276"/>
      <c r="D131" s="281"/>
      <c r="E131" s="281"/>
      <c r="F131" s="79"/>
      <c r="G131" s="47">
        <f>SUMIF(JournalsB!D$14:D$920,TrialBalanceB!M131,JournalsB!J$14:J$920)+SUMIF(JournalsB!E$14:E$920,TrialBalanceB!M131,JournalsB!J$14:J$920)</f>
        <v>0</v>
      </c>
      <c r="H131" s="288"/>
      <c r="I131" s="290">
        <f t="shared" si="21"/>
        <v>0</v>
      </c>
      <c r="J131" s="75"/>
      <c r="K131" s="48">
        <f t="shared" si="13"/>
        <v>0</v>
      </c>
      <c r="M131" s="140" t="str">
        <f t="shared" si="14"/>
        <v>3000/180</v>
      </c>
      <c r="N131" s="70"/>
      <c r="P131" s="71"/>
      <c r="Q131" s="51"/>
      <c r="R131" s="31"/>
    </row>
    <row r="132" spans="1:18" x14ac:dyDescent="0.2">
      <c r="A132" s="238"/>
      <c r="B132" s="54" t="s">
        <v>255</v>
      </c>
      <c r="C132" s="276"/>
      <c r="D132" s="281"/>
      <c r="E132" s="281"/>
      <c r="F132" s="79"/>
      <c r="G132" s="47">
        <f>SUMIF(JournalsB!D$14:D$920,TrialBalanceB!M132,JournalsB!J$14:J$920)+SUMIF(JournalsB!E$14:E$920,TrialBalanceB!M132,JournalsB!J$14:J$920)</f>
        <v>0</v>
      </c>
      <c r="H132" s="288"/>
      <c r="I132" s="290">
        <f t="shared" si="21"/>
        <v>0</v>
      </c>
      <c r="J132" s="75"/>
      <c r="K132" s="48">
        <f t="shared" si="13"/>
        <v>0</v>
      </c>
      <c r="M132" s="140" t="str">
        <f t="shared" si="14"/>
        <v>3000/190</v>
      </c>
      <c r="N132" s="70"/>
      <c r="P132" s="71"/>
      <c r="Q132" s="51"/>
      <c r="R132" s="31"/>
    </row>
    <row r="133" spans="1:18" x14ac:dyDescent="0.2">
      <c r="A133" s="238"/>
      <c r="B133" s="54" t="s">
        <v>256</v>
      </c>
      <c r="C133" s="277"/>
      <c r="D133" s="281"/>
      <c r="E133" s="281"/>
      <c r="F133" s="79"/>
      <c r="G133" s="47">
        <f>SUMIF(JournalsB!D$14:D$920,TrialBalanceB!M133,JournalsB!J$14:J$920)+SUMIF(JournalsB!E$14:E$920,TrialBalanceB!M133,JournalsB!J$14:J$920)</f>
        <v>0</v>
      </c>
      <c r="H133" s="288"/>
      <c r="I133" s="290">
        <f t="shared" si="21"/>
        <v>0</v>
      </c>
      <c r="J133" s="75"/>
      <c r="K133" s="48">
        <f t="shared" si="13"/>
        <v>0</v>
      </c>
      <c r="M133" s="140" t="str">
        <f t="shared" si="14"/>
        <v>3000/200</v>
      </c>
      <c r="N133" s="70"/>
      <c r="P133" s="71"/>
      <c r="Q133" s="51"/>
      <c r="R133" s="31"/>
    </row>
    <row r="134" spans="1:18" x14ac:dyDescent="0.2">
      <c r="A134" s="238"/>
      <c r="B134" s="54" t="s">
        <v>257</v>
      </c>
      <c r="C134" s="277"/>
      <c r="D134" s="272"/>
      <c r="E134" s="281"/>
      <c r="F134" s="79"/>
      <c r="G134" s="47">
        <f>SUMIF(JournalsB!D$14:D$920,TrialBalanceB!M134,JournalsB!J$14:J$920)+SUMIF(JournalsB!E$14:E$920,TrialBalanceB!M134,JournalsB!J$14:J$920)</f>
        <v>0</v>
      </c>
      <c r="H134" s="288"/>
      <c r="I134" s="290">
        <f t="shared" si="21"/>
        <v>0</v>
      </c>
      <c r="J134" s="75"/>
      <c r="K134" s="48">
        <f t="shared" si="13"/>
        <v>0</v>
      </c>
      <c r="M134" s="140" t="str">
        <f t="shared" si="14"/>
        <v>3000/210</v>
      </c>
      <c r="N134" s="70"/>
      <c r="P134" s="71"/>
      <c r="Q134" s="51"/>
      <c r="R134" s="31"/>
    </row>
    <row r="135" spans="1:18" x14ac:dyDescent="0.2">
      <c r="A135" s="238"/>
      <c r="B135" s="54" t="s">
        <v>258</v>
      </c>
      <c r="C135" s="277"/>
      <c r="D135" s="281"/>
      <c r="E135" s="281"/>
      <c r="F135" s="79"/>
      <c r="G135" s="47">
        <f>SUMIF(JournalsB!D$14:D$920,TrialBalanceB!M135,JournalsB!J$14:J$920)+SUMIF(JournalsB!E$14:E$920,TrialBalanceB!M135,JournalsB!J$14:J$920)</f>
        <v>0</v>
      </c>
      <c r="H135" s="288"/>
      <c r="I135" s="290">
        <f t="shared" si="21"/>
        <v>0</v>
      </c>
      <c r="J135" s="75"/>
      <c r="K135" s="48">
        <f t="shared" si="13"/>
        <v>0</v>
      </c>
      <c r="M135" s="140" t="str">
        <f t="shared" si="14"/>
        <v>3000/220</v>
      </c>
      <c r="N135" s="70"/>
      <c r="P135" s="71"/>
      <c r="Q135" s="51"/>
      <c r="R135" s="31"/>
    </row>
    <row r="136" spans="1:18" x14ac:dyDescent="0.2">
      <c r="A136" s="238"/>
      <c r="B136" s="90" t="s">
        <v>502</v>
      </c>
      <c r="C136" s="277"/>
      <c r="D136" s="272"/>
      <c r="E136" s="281"/>
      <c r="F136" s="79"/>
      <c r="G136" s="47">
        <f>SUMIF(JournalsB!D$14:D$920,TrialBalanceB!M136,JournalsB!J$14:J$920)+SUMIF(JournalsB!E$14:E$920,TrialBalanceB!M136,JournalsB!J$14:J$920)</f>
        <v>0</v>
      </c>
      <c r="H136" s="288"/>
      <c r="I136" s="290">
        <f t="shared" si="21"/>
        <v>0</v>
      </c>
      <c r="J136" s="75"/>
      <c r="K136" s="48">
        <f t="shared" si="13"/>
        <v>0</v>
      </c>
      <c r="M136" s="140" t="str">
        <f t="shared" si="14"/>
        <v>3000/230</v>
      </c>
      <c r="N136" s="70"/>
      <c r="P136" s="71"/>
      <c r="Q136" s="51"/>
      <c r="R136" s="31"/>
    </row>
    <row r="137" spans="1:18" x14ac:dyDescent="0.2">
      <c r="A137" s="238"/>
      <c r="B137" s="90" t="s">
        <v>503</v>
      </c>
      <c r="C137" s="277"/>
      <c r="D137" s="272"/>
      <c r="E137" s="281"/>
      <c r="F137" s="79"/>
      <c r="G137" s="47">
        <f>SUMIF(JournalsB!D$14:D$920,TrialBalanceB!M137,JournalsB!J$14:J$920)+SUMIF(JournalsB!E$14:E$920,TrialBalanceB!M137,JournalsB!J$14:J$920)</f>
        <v>0</v>
      </c>
      <c r="H137" s="288"/>
      <c r="I137" s="290">
        <f t="shared" si="21"/>
        <v>0</v>
      </c>
      <c r="J137" s="75"/>
      <c r="K137" s="48">
        <f t="shared" si="13"/>
        <v>0</v>
      </c>
      <c r="M137" s="140" t="str">
        <f t="shared" si="14"/>
        <v>3000/240</v>
      </c>
      <c r="N137" s="70"/>
      <c r="P137" s="71"/>
      <c r="Q137" s="51"/>
      <c r="R137" s="31"/>
    </row>
    <row r="138" spans="1:18" x14ac:dyDescent="0.2">
      <c r="A138" s="238"/>
      <c r="B138" s="90" t="s">
        <v>504</v>
      </c>
      <c r="C138" s="277"/>
      <c r="D138" s="272"/>
      <c r="E138" s="281"/>
      <c r="F138" s="79"/>
      <c r="G138" s="47">
        <f>SUMIF(JournalsB!D$14:D$920,TrialBalanceB!M138,JournalsB!J$14:J$920)+SUMIF(JournalsB!E$14:E$920,TrialBalanceB!M138,JournalsB!J$14:J$920)</f>
        <v>0</v>
      </c>
      <c r="H138" s="288"/>
      <c r="I138" s="290">
        <f t="shared" si="21"/>
        <v>0</v>
      </c>
      <c r="J138" s="75"/>
      <c r="K138" s="48">
        <f t="shared" si="13"/>
        <v>0</v>
      </c>
      <c r="M138" s="140" t="str">
        <f t="shared" si="14"/>
        <v>3000/250</v>
      </c>
      <c r="N138" s="70"/>
      <c r="P138" s="71"/>
      <c r="Q138" s="51"/>
      <c r="R138" s="31"/>
    </row>
    <row r="139" spans="1:18" x14ac:dyDescent="0.2">
      <c r="A139" s="238"/>
      <c r="B139" s="90" t="s">
        <v>505</v>
      </c>
      <c r="C139" s="277"/>
      <c r="D139" s="272"/>
      <c r="E139" s="281"/>
      <c r="F139" s="79"/>
      <c r="G139" s="47">
        <f>SUMIF(JournalsB!D$14:D$920,TrialBalanceB!M139,JournalsB!J$14:J$920)+SUMIF(JournalsB!E$14:E$920,TrialBalanceB!M139,JournalsB!J$14:J$920)</f>
        <v>0</v>
      </c>
      <c r="H139" s="288"/>
      <c r="I139" s="290">
        <f t="shared" si="21"/>
        <v>0</v>
      </c>
      <c r="J139" s="75"/>
      <c r="K139" s="48">
        <f t="shared" ref="K139:K207" si="28">ROUND(SUM(A139),0)</f>
        <v>0</v>
      </c>
      <c r="M139" s="140" t="str">
        <f t="shared" ref="M139:M207" si="29">CONCATENATE(B139,C139)</f>
        <v>3000/260</v>
      </c>
      <c r="N139" s="70"/>
      <c r="P139" s="71"/>
      <c r="Q139" s="51"/>
      <c r="R139" s="31"/>
    </row>
    <row r="140" spans="1:18" x14ac:dyDescent="0.2">
      <c r="A140" s="238"/>
      <c r="B140" s="90" t="s">
        <v>506</v>
      </c>
      <c r="C140" s="241" t="s">
        <v>881</v>
      </c>
      <c r="D140" s="281"/>
      <c r="E140" s="281"/>
      <c r="F140" s="79"/>
      <c r="G140" s="47">
        <f>SUMIF(JournalsB!D$14:D$920,TrialBalanceB!M140,JournalsB!J$14:J$920)+SUMIF(JournalsB!E$14:E$920,TrialBalanceB!M140,JournalsB!J$14:J$920)</f>
        <v>0</v>
      </c>
      <c r="H140" s="288"/>
      <c r="I140" s="290">
        <f t="shared" si="21"/>
        <v>0</v>
      </c>
      <c r="J140" s="75"/>
      <c r="K140" s="48">
        <f t="shared" si="28"/>
        <v>0</v>
      </c>
      <c r="M140" s="140" t="str">
        <f t="shared" si="29"/>
        <v>3000/270Amortisation of prepaid lease agreement</v>
      </c>
      <c r="N140" s="70"/>
      <c r="P140" s="71"/>
      <c r="Q140" s="51"/>
      <c r="R140" s="31"/>
    </row>
    <row r="141" spans="1:18" x14ac:dyDescent="0.2">
      <c r="A141" s="238"/>
      <c r="B141" s="90" t="s">
        <v>882</v>
      </c>
      <c r="C141" s="242" t="s">
        <v>883</v>
      </c>
      <c r="D141" s="281"/>
      <c r="E141" s="281"/>
      <c r="F141" s="79"/>
      <c r="G141" s="47">
        <f>SUMIF(JournalsB!D$14:D$920,TrialBalanceB!M141,JournalsB!J$14:J$920)+SUMIF(JournalsB!E$14:E$920,TrialBalanceB!M141,JournalsB!J$14:J$920)</f>
        <v>0</v>
      </c>
      <c r="H141" s="288"/>
      <c r="I141" s="290">
        <f t="shared" ref="I141" si="30">ROUND(D141-E141+G141+F141,0)</f>
        <v>0</v>
      </c>
      <c r="J141" s="75"/>
      <c r="K141" s="48">
        <f t="shared" ref="K141" si="31">ROUND(SUM(A141),0)</f>
        <v>0</v>
      </c>
      <c r="M141" s="140" t="str">
        <f t="shared" ref="M141" si="32">CONCATENATE(B141,C141)</f>
        <v>3000/280Amortisation of goodwill</v>
      </c>
      <c r="N141" s="70"/>
      <c r="P141" s="71"/>
      <c r="Q141" s="51"/>
      <c r="R141" s="31"/>
    </row>
    <row r="142" spans="1:18" x14ac:dyDescent="0.2">
      <c r="A142" s="238"/>
      <c r="B142" s="54" t="s">
        <v>284</v>
      </c>
      <c r="C142" s="239" t="s">
        <v>103</v>
      </c>
      <c r="D142" s="283"/>
      <c r="E142" s="281"/>
      <c r="F142" s="79"/>
      <c r="G142" s="47">
        <f>SUMIF(JournalsB!D$14:D$920,TrialBalanceB!M142,JournalsB!J$14:J$920)+SUMIF(JournalsB!E$14:E$920,TrialBalanceB!M142,JournalsB!J$14:J$920)</f>
        <v>0</v>
      </c>
      <c r="H142" s="288"/>
      <c r="I142" s="290">
        <f t="shared" si="21"/>
        <v>0</v>
      </c>
      <c r="J142" s="75"/>
      <c r="K142" s="48">
        <f t="shared" si="28"/>
        <v>0</v>
      </c>
      <c r="M142" s="140" t="str">
        <f t="shared" si="29"/>
        <v>4700/000FINANCE COSTS</v>
      </c>
      <c r="N142" s="70"/>
      <c r="P142" s="71"/>
      <c r="Q142" s="51"/>
      <c r="R142" s="31"/>
    </row>
    <row r="143" spans="1:18" x14ac:dyDescent="0.2">
      <c r="A143" s="238"/>
      <c r="B143" s="54" t="s">
        <v>285</v>
      </c>
      <c r="C143" s="239" t="s">
        <v>286</v>
      </c>
      <c r="D143" s="283"/>
      <c r="E143" s="281"/>
      <c r="F143" s="79"/>
      <c r="G143" s="47">
        <f>SUMIF(JournalsB!D$14:D$920,TrialBalanceB!M143,JournalsB!J$14:J$920)+SUMIF(JournalsB!E$14:E$920,TrialBalanceB!M143,JournalsB!J$14:J$920)</f>
        <v>0</v>
      </c>
      <c r="H143" s="288"/>
      <c r="I143" s="290">
        <f t="shared" si="21"/>
        <v>0</v>
      </c>
      <c r="J143" s="75"/>
      <c r="K143" s="48">
        <f t="shared" si="28"/>
        <v>0</v>
      </c>
      <c r="M143" s="140" t="str">
        <f t="shared" si="29"/>
        <v>4700/010Interest paid---------------------------</v>
      </c>
      <c r="N143" s="70"/>
      <c r="P143" s="71"/>
      <c r="Q143" s="51"/>
      <c r="R143" s="31"/>
    </row>
    <row r="144" spans="1:18" x14ac:dyDescent="0.2">
      <c r="A144" s="238"/>
      <c r="B144" s="54" t="s">
        <v>287</v>
      </c>
      <c r="C144" s="276"/>
      <c r="D144" s="281"/>
      <c r="E144" s="281"/>
      <c r="F144" s="79"/>
      <c r="G144" s="47">
        <f>SUMIF(JournalsB!D$14:D$920,TrialBalanceB!M144,JournalsB!J$14:J$920)+SUMIF(JournalsB!E$14:E$920,TrialBalanceB!M144,JournalsB!J$14:J$920)</f>
        <v>0</v>
      </c>
      <c r="H144" s="288"/>
      <c r="I144" s="290">
        <f t="shared" si="21"/>
        <v>0</v>
      </c>
      <c r="J144" s="75"/>
      <c r="K144" s="48">
        <f t="shared" si="28"/>
        <v>0</v>
      </c>
      <c r="M144" s="140" t="str">
        <f t="shared" si="29"/>
        <v>4700/011</v>
      </c>
      <c r="N144" s="70"/>
      <c r="P144" s="71"/>
      <c r="Q144" s="51"/>
      <c r="R144" s="31"/>
    </row>
    <row r="145" spans="1:18" x14ac:dyDescent="0.2">
      <c r="A145" s="238"/>
      <c r="B145" s="54" t="s">
        <v>288</v>
      </c>
      <c r="C145" s="277"/>
      <c r="D145" s="272"/>
      <c r="E145" s="281"/>
      <c r="F145" s="79"/>
      <c r="G145" s="47">
        <f>SUMIF(JournalsB!D$14:D$920,TrialBalanceB!M145,JournalsB!J$14:J$920)+SUMIF(JournalsB!E$14:E$920,TrialBalanceB!M145,JournalsB!J$14:J$920)</f>
        <v>0</v>
      </c>
      <c r="H145" s="288"/>
      <c r="I145" s="290">
        <f t="shared" si="21"/>
        <v>0</v>
      </c>
      <c r="J145" s="75"/>
      <c r="K145" s="48">
        <f t="shared" si="28"/>
        <v>0</v>
      </c>
      <c r="M145" s="140" t="str">
        <f t="shared" si="29"/>
        <v>4700/012</v>
      </c>
      <c r="N145" s="70"/>
      <c r="P145" s="71"/>
      <c r="Q145" s="51"/>
      <c r="R145" s="31"/>
    </row>
    <row r="146" spans="1:18" x14ac:dyDescent="0.2">
      <c r="A146" s="238"/>
      <c r="B146" s="54" t="s">
        <v>289</v>
      </c>
      <c r="C146" s="277"/>
      <c r="D146" s="272"/>
      <c r="E146" s="281"/>
      <c r="F146" s="79"/>
      <c r="G146" s="47">
        <f>SUMIF(JournalsB!D$14:D$920,TrialBalanceB!M146,JournalsB!J$14:J$920)+SUMIF(JournalsB!E$14:E$920,TrialBalanceB!M146,JournalsB!J$14:J$920)</f>
        <v>0</v>
      </c>
      <c r="H146" s="288"/>
      <c r="I146" s="290">
        <f t="shared" si="21"/>
        <v>0</v>
      </c>
      <c r="J146" s="75"/>
      <c r="K146" s="48">
        <f t="shared" si="28"/>
        <v>0</v>
      </c>
      <c r="M146" s="140" t="str">
        <f t="shared" si="29"/>
        <v>4700/013</v>
      </c>
      <c r="N146" s="70"/>
      <c r="P146" s="71"/>
      <c r="Q146" s="51"/>
      <c r="R146" s="31"/>
    </row>
    <row r="147" spans="1:18" x14ac:dyDescent="0.2">
      <c r="A147" s="238"/>
      <c r="B147" s="54" t="s">
        <v>290</v>
      </c>
      <c r="C147" s="277"/>
      <c r="D147" s="272"/>
      <c r="E147" s="281"/>
      <c r="F147" s="79"/>
      <c r="G147" s="47">
        <f>SUMIF(JournalsB!D$14:D$920,TrialBalanceB!M147,JournalsB!J$14:J$920)+SUMIF(JournalsB!E$14:E$920,TrialBalanceB!M147,JournalsB!J$14:J$920)</f>
        <v>0</v>
      </c>
      <c r="H147" s="288"/>
      <c r="I147" s="290">
        <f t="shared" si="21"/>
        <v>0</v>
      </c>
      <c r="J147" s="75"/>
      <c r="K147" s="48">
        <f t="shared" si="28"/>
        <v>0</v>
      </c>
      <c r="M147" s="140" t="str">
        <f t="shared" si="29"/>
        <v>4700/014</v>
      </c>
      <c r="N147" s="70"/>
      <c r="P147" s="71"/>
      <c r="Q147" s="51"/>
      <c r="R147" s="31"/>
    </row>
    <row r="148" spans="1:18" x14ac:dyDescent="0.2">
      <c r="A148" s="238"/>
      <c r="B148" s="54" t="s">
        <v>481</v>
      </c>
      <c r="C148" s="277"/>
      <c r="D148" s="272"/>
      <c r="E148" s="281"/>
      <c r="F148" s="79"/>
      <c r="G148" s="47">
        <f>SUMIF(JournalsB!D$14:D$920,TrialBalanceB!M148,JournalsB!J$14:J$920)+SUMIF(JournalsB!E$14:E$920,TrialBalanceB!M148,JournalsB!J$14:J$920)</f>
        <v>0</v>
      </c>
      <c r="H148" s="288"/>
      <c r="I148" s="290">
        <f t="shared" si="21"/>
        <v>0</v>
      </c>
      <c r="J148" s="75"/>
      <c r="K148" s="48">
        <f t="shared" si="28"/>
        <v>0</v>
      </c>
      <c r="M148" s="140" t="str">
        <f t="shared" si="29"/>
        <v>4700/015</v>
      </c>
      <c r="N148" s="70"/>
      <c r="P148" s="71"/>
      <c r="Q148" s="51"/>
      <c r="R148" s="31"/>
    </row>
    <row r="149" spans="1:18" x14ac:dyDescent="0.2">
      <c r="A149" s="238"/>
      <c r="B149" s="54" t="s">
        <v>488</v>
      </c>
      <c r="C149" s="277"/>
      <c r="D149" s="272"/>
      <c r="E149" s="281"/>
      <c r="F149" s="79"/>
      <c r="G149" s="47">
        <f>SUMIF(JournalsB!D$14:D$920,TrialBalanceB!M149,JournalsB!J$14:J$920)+SUMIF(JournalsB!E$14:E$920,TrialBalanceB!M149,JournalsB!J$14:J$920)</f>
        <v>0</v>
      </c>
      <c r="H149" s="288"/>
      <c r="I149" s="290">
        <f t="shared" si="21"/>
        <v>0</v>
      </c>
      <c r="J149" s="75"/>
      <c r="K149" s="48">
        <f t="shared" si="28"/>
        <v>0</v>
      </c>
      <c r="M149" s="140" t="str">
        <f t="shared" si="29"/>
        <v>4700/016</v>
      </c>
      <c r="N149" s="70"/>
      <c r="P149" s="71"/>
      <c r="Q149" s="51"/>
      <c r="R149" s="31"/>
    </row>
    <row r="150" spans="1:18" x14ac:dyDescent="0.2">
      <c r="A150" s="238"/>
      <c r="B150" s="90" t="s">
        <v>537</v>
      </c>
      <c r="C150" s="277"/>
      <c r="D150" s="272"/>
      <c r="E150" s="281"/>
      <c r="F150" s="79"/>
      <c r="G150" s="47">
        <f>SUMIF(JournalsB!D$14:D$920,TrialBalanceB!M150,JournalsB!J$14:J$920)+SUMIF(JournalsB!E$14:E$920,TrialBalanceB!M150,JournalsB!J$14:J$920)</f>
        <v>0</v>
      </c>
      <c r="H150" s="288"/>
      <c r="I150" s="290">
        <f t="shared" ref="I150:I152" si="33">ROUND(D150-E150+G150+F150,0)</f>
        <v>0</v>
      </c>
      <c r="J150" s="75"/>
      <c r="K150" s="48">
        <f t="shared" ref="K150:K152" si="34">ROUND(SUM(A150),0)</f>
        <v>0</v>
      </c>
      <c r="M150" s="140" t="str">
        <f t="shared" ref="M150:M152" si="35">CONCATENATE(B150,C150)</f>
        <v>4700/017</v>
      </c>
      <c r="N150" s="70"/>
      <c r="P150" s="71"/>
      <c r="Q150" s="51"/>
      <c r="R150" s="31"/>
    </row>
    <row r="151" spans="1:18" x14ac:dyDescent="0.2">
      <c r="A151" s="238"/>
      <c r="B151" s="90" t="s">
        <v>616</v>
      </c>
      <c r="C151" s="277"/>
      <c r="D151" s="272"/>
      <c r="E151" s="281"/>
      <c r="F151" s="79"/>
      <c r="G151" s="47">
        <f>SUMIF(JournalsB!D$14:D$920,TrialBalanceB!M151,JournalsB!J$14:J$920)+SUMIF(JournalsB!E$14:E$920,TrialBalanceB!M151,JournalsB!J$14:J$920)</f>
        <v>0</v>
      </c>
      <c r="H151" s="288"/>
      <c r="I151" s="290">
        <f t="shared" si="33"/>
        <v>0</v>
      </c>
      <c r="J151" s="75"/>
      <c r="K151" s="48">
        <f t="shared" si="34"/>
        <v>0</v>
      </c>
      <c r="M151" s="140" t="str">
        <f t="shared" si="35"/>
        <v>4700/018</v>
      </c>
      <c r="N151" s="70"/>
      <c r="P151" s="71"/>
      <c r="Q151" s="51"/>
      <c r="R151" s="31"/>
    </row>
    <row r="152" spans="1:18" x14ac:dyDescent="0.2">
      <c r="A152" s="238"/>
      <c r="B152" s="90" t="s">
        <v>617</v>
      </c>
      <c r="C152" s="277"/>
      <c r="D152" s="272"/>
      <c r="E152" s="281"/>
      <c r="F152" s="79"/>
      <c r="G152" s="47">
        <f>SUMIF(JournalsB!D$14:D$920,TrialBalanceB!M152,JournalsB!J$14:J$920)+SUMIF(JournalsB!E$14:E$920,TrialBalanceB!M152,JournalsB!J$14:J$920)</f>
        <v>0</v>
      </c>
      <c r="H152" s="288"/>
      <c r="I152" s="290">
        <f t="shared" si="33"/>
        <v>0</v>
      </c>
      <c r="J152" s="75"/>
      <c r="K152" s="48">
        <f t="shared" si="34"/>
        <v>0</v>
      </c>
      <c r="M152" s="140" t="str">
        <f t="shared" si="35"/>
        <v>4700/019</v>
      </c>
      <c r="N152" s="70"/>
      <c r="P152" s="71"/>
      <c r="Q152" s="51"/>
      <c r="R152" s="31"/>
    </row>
    <row r="153" spans="1:18" x14ac:dyDescent="0.2">
      <c r="A153" s="238"/>
      <c r="B153" s="90" t="s">
        <v>291</v>
      </c>
      <c r="C153" s="277"/>
      <c r="D153" s="272"/>
      <c r="E153" s="281"/>
      <c r="F153" s="79"/>
      <c r="G153" s="47">
        <f>SUMIF(JournalsB!D$14:D$920,TrialBalanceB!M153,JournalsB!J$14:J$920)+SUMIF(JournalsB!E$14:E$920,TrialBalanceB!M153,JournalsB!J$14:J$920)</f>
        <v>0</v>
      </c>
      <c r="H153" s="288"/>
      <c r="I153" s="290">
        <f t="shared" si="21"/>
        <v>0</v>
      </c>
      <c r="J153" s="75"/>
      <c r="K153" s="48">
        <f t="shared" si="28"/>
        <v>0</v>
      </c>
      <c r="M153" s="140" t="str">
        <f t="shared" si="29"/>
        <v>4700/020</v>
      </c>
      <c r="N153" s="70"/>
      <c r="P153" s="71"/>
      <c r="Q153" s="51"/>
      <c r="R153" s="31"/>
    </row>
    <row r="154" spans="1:18" x14ac:dyDescent="0.2">
      <c r="A154" s="238"/>
      <c r="B154" s="90" t="s">
        <v>618</v>
      </c>
      <c r="C154" s="240" t="str">
        <f>CONCATENATE("Finance leases - ",Criteria!H15)</f>
        <v>Finance leases - Subsidiary Two 15 (Pty) Ltd</v>
      </c>
      <c r="D154" s="282"/>
      <c r="E154" s="281"/>
      <c r="F154" s="79"/>
      <c r="G154" s="47">
        <f>SUMIF(JournalsB!D$14:D$920,TrialBalanceB!M154,JournalsB!J$14:J$920)+SUMIF(JournalsB!E$14:E$920,TrialBalanceB!M154,JournalsB!J$14:J$920)</f>
        <v>0</v>
      </c>
      <c r="H154" s="288"/>
      <c r="I154" s="290">
        <f t="shared" si="21"/>
        <v>0</v>
      </c>
      <c r="J154" s="75"/>
      <c r="K154" s="48">
        <f t="shared" si="28"/>
        <v>0</v>
      </c>
      <c r="M154" s="140" t="str">
        <f t="shared" si="29"/>
        <v>4700/021Finance leases - Subsidiary Two 15 (Pty) Ltd</v>
      </c>
      <c r="N154" s="70"/>
      <c r="P154" s="71"/>
      <c r="Q154" s="51"/>
      <c r="R154" s="31"/>
    </row>
    <row r="155" spans="1:18" x14ac:dyDescent="0.2">
      <c r="A155" s="238"/>
      <c r="B155" s="54" t="s">
        <v>421</v>
      </c>
      <c r="C155" s="239" t="s">
        <v>326</v>
      </c>
      <c r="D155" s="283"/>
      <c r="E155" s="281"/>
      <c r="F155" s="79"/>
      <c r="G155" s="47">
        <f>SUMIF(JournalsB!D$14:D$920,TrialBalanceB!M155,JournalsB!J$14:J$920)+SUMIF(JournalsB!E$14:E$920,TrialBalanceB!M155,JournalsB!J$14:J$920)</f>
        <v>0</v>
      </c>
      <c r="H155" s="288"/>
      <c r="I155" s="290">
        <f t="shared" si="21"/>
        <v>0</v>
      </c>
      <c r="J155" s="75"/>
      <c r="K155" s="48">
        <f t="shared" si="28"/>
        <v>0</v>
      </c>
      <c r="M155" s="140" t="str">
        <f t="shared" si="29"/>
        <v>4750/000OTHER</v>
      </c>
      <c r="N155" s="70"/>
      <c r="P155" s="71"/>
      <c r="Q155" s="51"/>
      <c r="R155" s="31"/>
    </row>
    <row r="156" spans="1:18" x14ac:dyDescent="0.2">
      <c r="A156" s="238"/>
      <c r="B156" s="54" t="s">
        <v>422</v>
      </c>
      <c r="C156" s="241" t="s">
        <v>921</v>
      </c>
      <c r="D156" s="272"/>
      <c r="E156" s="281"/>
      <c r="F156" s="79"/>
      <c r="G156" s="47">
        <f>SUMIF(JournalsB!D$14:D$920,TrialBalanceB!M156,JournalsB!J$14:J$920)+SUMIF(JournalsB!E$14:E$920,TrialBalanceB!M156,JournalsB!J$14:J$920)</f>
        <v>0</v>
      </c>
      <c r="H156" s="288"/>
      <c r="I156" s="290">
        <f t="shared" si="21"/>
        <v>0</v>
      </c>
      <c r="J156" s="75"/>
      <c r="K156" s="48">
        <f t="shared" si="28"/>
        <v>0</v>
      </c>
      <c r="M156" s="140" t="str">
        <f t="shared" si="29"/>
        <v>4750/010Impairment losses</v>
      </c>
      <c r="N156" s="70"/>
      <c r="P156" s="71"/>
      <c r="Q156" s="51"/>
      <c r="R156" s="31"/>
    </row>
    <row r="157" spans="1:18" x14ac:dyDescent="0.2">
      <c r="A157" s="238"/>
      <c r="B157" s="54" t="s">
        <v>292</v>
      </c>
      <c r="C157" s="239" t="s">
        <v>293</v>
      </c>
      <c r="D157" s="283"/>
      <c r="E157" s="281"/>
      <c r="F157" s="79"/>
      <c r="G157" s="47">
        <f>SUMIF(JournalsB!D$14:D$920,TrialBalanceB!M157,JournalsB!J$14:J$920)+SUMIF(JournalsB!E$14:E$920,TrialBalanceB!M157,JournalsB!J$14:J$920)</f>
        <v>0</v>
      </c>
      <c r="H157" s="288"/>
      <c r="I157" s="290">
        <f t="shared" si="21"/>
        <v>0</v>
      </c>
      <c r="J157" s="75"/>
      <c r="K157" s="48">
        <f t="shared" si="28"/>
        <v>0</v>
      </c>
      <c r="M157" s="140" t="str">
        <f t="shared" si="29"/>
        <v>4800/000NORMAL TAXATION</v>
      </c>
      <c r="N157" s="70"/>
      <c r="P157" s="71"/>
      <c r="Q157" s="51"/>
      <c r="R157" s="31"/>
    </row>
    <row r="158" spans="1:18" x14ac:dyDescent="0.2">
      <c r="A158" s="238"/>
      <c r="B158" s="54" t="s">
        <v>294</v>
      </c>
      <c r="C158" s="240" t="s">
        <v>295</v>
      </c>
      <c r="D158" s="282"/>
      <c r="E158" s="281"/>
      <c r="F158" s="79"/>
      <c r="G158" s="47">
        <f>SUMIF(JournalsB!D$14:D$920,TrialBalanceB!M158,JournalsB!J$14:J$920)+SUMIF(JournalsB!E$14:E$920,TrialBalanceB!M158,JournalsB!J$14:J$920)</f>
        <v>0</v>
      </c>
      <c r="H158" s="288"/>
      <c r="I158" s="290">
        <f t="shared" si="21"/>
        <v>0</v>
      </c>
      <c r="J158" s="75"/>
      <c r="K158" s="48">
        <f t="shared" si="28"/>
        <v>0</v>
      </c>
      <c r="M158" s="140" t="str">
        <f t="shared" si="29"/>
        <v>4800/001Tax provided this year</v>
      </c>
      <c r="N158" s="70"/>
      <c r="P158" s="71"/>
      <c r="Q158" s="51"/>
      <c r="R158" s="31"/>
    </row>
    <row r="159" spans="1:18" x14ac:dyDescent="0.2">
      <c r="A159" s="238"/>
      <c r="B159" s="54" t="s">
        <v>296</v>
      </c>
      <c r="C159" s="240" t="s">
        <v>297</v>
      </c>
      <c r="D159" s="282"/>
      <c r="E159" s="281"/>
      <c r="F159" s="79"/>
      <c r="G159" s="47">
        <f>SUMIF(JournalsB!D$14:D$920,TrialBalanceB!M159,JournalsB!J$14:J$920)+SUMIF(JournalsB!E$14:E$920,TrialBalanceB!M159,JournalsB!J$14:J$920)</f>
        <v>0</v>
      </c>
      <c r="H159" s="288"/>
      <c r="I159" s="290">
        <f t="shared" si="21"/>
        <v>0</v>
      </c>
      <c r="J159" s="75"/>
      <c r="K159" s="48">
        <f t="shared" si="28"/>
        <v>0</v>
      </c>
      <c r="M159" s="140" t="str">
        <f t="shared" si="29"/>
        <v>4800/002Tax adjustment previous year</v>
      </c>
      <c r="N159" s="70"/>
      <c r="P159" s="71"/>
      <c r="Q159" s="51"/>
      <c r="R159" s="31"/>
    </row>
    <row r="160" spans="1:18" x14ac:dyDescent="0.2">
      <c r="A160" s="238"/>
      <c r="B160" s="54" t="s">
        <v>177</v>
      </c>
      <c r="C160" s="239" t="s">
        <v>178</v>
      </c>
      <c r="D160" s="283"/>
      <c r="E160" s="281"/>
      <c r="F160" s="79"/>
      <c r="G160" s="47">
        <f>SUMIF(JournalsB!D$14:D$920,TrialBalanceB!M160,JournalsB!J$14:J$920)+SUMIF(JournalsB!E$14:E$920,TrialBalanceB!M160,JournalsB!J$14:J$920)</f>
        <v>0</v>
      </c>
      <c r="H160" s="288"/>
      <c r="I160" s="290">
        <f t="shared" si="21"/>
        <v>0</v>
      </c>
      <c r="J160" s="75"/>
      <c r="K160" s="48">
        <f t="shared" si="28"/>
        <v>0</v>
      </c>
      <c r="M160" s="140" t="str">
        <f t="shared" si="29"/>
        <v>4820/000DEFERRED TAX</v>
      </c>
      <c r="N160" s="70"/>
      <c r="P160" s="71"/>
      <c r="Q160" s="51"/>
      <c r="R160" s="31"/>
    </row>
    <row r="161" spans="1:18" x14ac:dyDescent="0.2">
      <c r="A161" s="238"/>
      <c r="B161" s="54" t="s">
        <v>179</v>
      </c>
      <c r="C161" s="240" t="s">
        <v>180</v>
      </c>
      <c r="D161" s="282"/>
      <c r="E161" s="281"/>
      <c r="F161" s="79"/>
      <c r="G161" s="47">
        <f>SUMIF(JournalsB!D$14:D$920,TrialBalanceB!M161,JournalsB!J$14:J$920)+SUMIF(JournalsB!E$14:E$920,TrialBalanceB!M161,JournalsB!J$14:J$920)</f>
        <v>0</v>
      </c>
      <c r="H161" s="288"/>
      <c r="I161" s="290">
        <f t="shared" si="21"/>
        <v>0</v>
      </c>
      <c r="J161" s="75"/>
      <c r="K161" s="48">
        <f t="shared" si="28"/>
        <v>0</v>
      </c>
      <c r="M161" s="140" t="str">
        <f t="shared" si="29"/>
        <v>4820/001Deferred tax this year</v>
      </c>
      <c r="N161" s="70"/>
      <c r="P161" s="71"/>
      <c r="Q161" s="51"/>
      <c r="R161" s="31"/>
    </row>
    <row r="162" spans="1:18" x14ac:dyDescent="0.2">
      <c r="A162" s="238"/>
      <c r="B162" s="90" t="s">
        <v>181</v>
      </c>
      <c r="C162" s="242" t="s">
        <v>954</v>
      </c>
      <c r="D162" s="282"/>
      <c r="E162" s="281"/>
      <c r="F162" s="79"/>
      <c r="G162" s="47">
        <f>SUMIF(JournalsB!D$14:D$920,TrialBalanceB!M162,JournalsB!J$14:J$920)+SUMIF(JournalsB!E$14:E$920,TrialBalanceB!M162,JournalsB!J$14:J$920)</f>
        <v>0</v>
      </c>
      <c r="H162" s="288"/>
      <c r="I162" s="290">
        <f t="shared" ref="I162" si="36">ROUND(D162-E162+G162+F162,0)</f>
        <v>0</v>
      </c>
      <c r="J162" s="75"/>
      <c r="K162" s="48">
        <f t="shared" ref="K162" si="37">ROUND(SUM(A162),0)</f>
        <v>0</v>
      </c>
      <c r="M162" s="140" t="str">
        <f t="shared" ref="M162" si="38">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SUMIF(JournalsB!D$14:D$920,TrialBalanceB!M163,JournalsB!J$14:J$920)+SUMIF(JournalsB!E$14:E$920,TrialBalanceB!M163,JournalsB!J$14:J$920)</f>
        <v>0</v>
      </c>
      <c r="H163" s="288"/>
      <c r="I163" s="290">
        <f t="shared" si="21"/>
        <v>0</v>
      </c>
      <c r="J163" s="75"/>
      <c r="K163" s="48">
        <f t="shared" si="28"/>
        <v>0</v>
      </c>
      <c r="M163" s="140" t="str">
        <f t="shared" si="29"/>
        <v>4820/003Deferred tax adjustment previous year</v>
      </c>
      <c r="N163" s="70"/>
      <c r="P163" s="71"/>
      <c r="Q163" s="51"/>
      <c r="R163" s="31"/>
    </row>
    <row r="164" spans="1:18" x14ac:dyDescent="0.2">
      <c r="A164" s="238"/>
      <c r="B164" s="54" t="s">
        <v>183</v>
      </c>
      <c r="C164" s="242" t="s">
        <v>457</v>
      </c>
      <c r="D164" s="282"/>
      <c r="E164" s="281"/>
      <c r="F164" s="79"/>
      <c r="G164" s="47">
        <f>SUMIF(JournalsB!D$14:D$920,TrialBalanceB!M164,JournalsB!J$14:J$920)+SUMIF(JournalsB!E$14:E$920,TrialBalanceB!M164,JournalsB!J$14:J$920)</f>
        <v>0</v>
      </c>
      <c r="H164" s="288"/>
      <c r="I164" s="290">
        <f t="shared" si="21"/>
        <v>0</v>
      </c>
      <c r="J164" s="75"/>
      <c r="K164" s="48">
        <f t="shared" si="28"/>
        <v>0</v>
      </c>
      <c r="M164" s="140" t="str">
        <f t="shared" si="29"/>
        <v>4850/000Dividends declared</v>
      </c>
      <c r="N164" s="70"/>
      <c r="P164" s="71"/>
      <c r="Q164" s="51"/>
      <c r="R164" s="31"/>
    </row>
    <row r="165" spans="1:18" x14ac:dyDescent="0.2">
      <c r="A165" s="238"/>
      <c r="B165" s="54" t="s">
        <v>184</v>
      </c>
      <c r="C165" s="240" t="s">
        <v>209</v>
      </c>
      <c r="D165" s="282"/>
      <c r="E165" s="281"/>
      <c r="F165" s="79"/>
      <c r="G165" s="47">
        <f>SUMIF(JournalsB!D$14:D$920,TrialBalanceB!M165,JournalsB!J$14:J$920)+SUMIF(JournalsB!E$14:E$920,TrialBalanceB!M165,JournalsB!J$14:J$920)</f>
        <v>0</v>
      </c>
      <c r="H165" s="288"/>
      <c r="I165" s="290">
        <f t="shared" si="21"/>
        <v>0</v>
      </c>
      <c r="J165" s="75"/>
      <c r="K165" s="48">
        <f t="shared" si="28"/>
        <v>0</v>
      </c>
      <c r="M165" s="140" t="str">
        <f t="shared" si="29"/>
        <v>4860/000Dividends paid</v>
      </c>
      <c r="N165" s="70"/>
      <c r="P165" s="71"/>
      <c r="Q165" s="51"/>
      <c r="R165" s="31"/>
    </row>
    <row r="166" spans="1:18" x14ac:dyDescent="0.2">
      <c r="A166" s="238"/>
      <c r="B166" s="54" t="s">
        <v>212</v>
      </c>
      <c r="C166" s="240"/>
      <c r="D166" s="282"/>
      <c r="E166" s="272"/>
      <c r="F166" s="79"/>
      <c r="G166" s="47"/>
      <c r="H166" s="288"/>
      <c r="I166" s="290">
        <f t="shared" si="21"/>
        <v>0</v>
      </c>
      <c r="J166" s="75"/>
      <c r="K166" s="48">
        <f t="shared" si="28"/>
        <v>0</v>
      </c>
      <c r="M166" s="140" t="str">
        <f t="shared" si="29"/>
        <v/>
      </c>
      <c r="N166" s="70"/>
      <c r="P166" s="71"/>
      <c r="Q166" s="51"/>
      <c r="R166" s="31"/>
    </row>
    <row r="167" spans="1:18" x14ac:dyDescent="0.2">
      <c r="A167" s="238"/>
      <c r="B167" s="54" t="s">
        <v>212</v>
      </c>
      <c r="C167" s="240" t="s">
        <v>212</v>
      </c>
      <c r="D167" s="282"/>
      <c r="E167" s="272"/>
      <c r="F167" s="79"/>
      <c r="G167" s="47"/>
      <c r="H167" s="288"/>
      <c r="I167" s="290">
        <f t="shared" si="21"/>
        <v>0</v>
      </c>
      <c r="J167" s="75"/>
      <c r="K167" s="48">
        <f t="shared" si="28"/>
        <v>0</v>
      </c>
      <c r="M167" s="140" t="str">
        <f t="shared" si="29"/>
        <v/>
      </c>
      <c r="N167" s="70"/>
      <c r="P167" s="71"/>
      <c r="Q167" s="51"/>
      <c r="R167" s="31"/>
    </row>
    <row r="168" spans="1:18" x14ac:dyDescent="0.2">
      <c r="A168" s="238"/>
      <c r="B168" s="54" t="s">
        <v>212</v>
      </c>
      <c r="C168" s="240"/>
      <c r="D168" s="282"/>
      <c r="E168" s="272"/>
      <c r="F168" s="79"/>
      <c r="G168" s="47"/>
      <c r="H168" s="288"/>
      <c r="I168" s="290">
        <f t="shared" si="21"/>
        <v>0</v>
      </c>
      <c r="J168" s="75"/>
      <c r="K168" s="48">
        <f t="shared" si="28"/>
        <v>0</v>
      </c>
      <c r="M168" s="140" t="str">
        <f t="shared" si="29"/>
        <v/>
      </c>
      <c r="N168" s="70"/>
      <c r="P168" s="71"/>
      <c r="Q168" s="51"/>
      <c r="R168" s="31"/>
    </row>
    <row r="169" spans="1:18" x14ac:dyDescent="0.2">
      <c r="A169" s="238"/>
      <c r="B169" s="54" t="s">
        <v>471</v>
      </c>
      <c r="C169" s="239" t="s">
        <v>461</v>
      </c>
      <c r="D169" s="283"/>
      <c r="E169" s="272"/>
      <c r="F169" s="79"/>
      <c r="G169" s="47">
        <f>SUMIF(JournalsB!D$14:D$920,TrialBalanceB!M169,JournalsB!J$14:J$920)+SUMIF(JournalsB!E$14:E$920,TrialBalanceB!M169,JournalsB!J$14:J$920)</f>
        <v>0</v>
      </c>
      <c r="H169" s="288"/>
      <c r="I169" s="290">
        <f t="shared" si="21"/>
        <v>0</v>
      </c>
      <c r="J169" s="75"/>
      <c r="K169" s="48">
        <f t="shared" si="28"/>
        <v>0</v>
      </c>
      <c r="M169" s="140" t="str">
        <f t="shared" si="29"/>
        <v>5100/000SHARE CAPITAL</v>
      </c>
      <c r="N169" s="70"/>
      <c r="P169" s="71"/>
      <c r="Q169" s="51"/>
      <c r="R169" s="31"/>
    </row>
    <row r="170" spans="1:18" x14ac:dyDescent="0.2">
      <c r="A170" s="238"/>
      <c r="B170" s="54" t="s">
        <v>472</v>
      </c>
      <c r="C170" s="242" t="s">
        <v>720</v>
      </c>
      <c r="D170" s="282"/>
      <c r="E170" s="272"/>
      <c r="F170" s="79">
        <f>SUM(K170:K171)</f>
        <v>0</v>
      </c>
      <c r="G170" s="47">
        <f>SUMIF(JournalsB!D$14:D$920,TrialBalanceB!M170,JournalsB!J$14:J$920)+SUMIF(JournalsB!E$14:E$920,TrialBalanceB!M170,JournalsB!J$14:J$920)</f>
        <v>0</v>
      </c>
      <c r="H170" s="288"/>
      <c r="I170" s="290">
        <f t="shared" si="21"/>
        <v>0</v>
      </c>
      <c r="J170" s="75"/>
      <c r="K170" s="48">
        <f t="shared" si="28"/>
        <v>0</v>
      </c>
      <c r="M170" s="140" t="str">
        <f t="shared" si="29"/>
        <v>5100/001Share capital - balance b/fwd</v>
      </c>
      <c r="N170" s="70"/>
      <c r="P170" s="71"/>
      <c r="Q170" s="51"/>
      <c r="R170" s="31"/>
    </row>
    <row r="171" spans="1:18" x14ac:dyDescent="0.2">
      <c r="A171" s="238"/>
      <c r="B171" s="54" t="s">
        <v>473</v>
      </c>
      <c r="C171" s="242" t="s">
        <v>721</v>
      </c>
      <c r="D171" s="282"/>
      <c r="E171" s="272"/>
      <c r="F171" s="79"/>
      <c r="G171" s="47">
        <f>SUMIF(JournalsB!D$14:D$920,TrialBalanceB!M171,JournalsB!J$14:J$920)+SUMIF(JournalsB!E$14:E$920,TrialBalanceB!M171,JournalsB!J$14:J$920)</f>
        <v>0</v>
      </c>
      <c r="H171" s="288"/>
      <c r="I171" s="290">
        <f t="shared" si="21"/>
        <v>0</v>
      </c>
      <c r="J171" s="75"/>
      <c r="K171" s="48">
        <f t="shared" si="28"/>
        <v>0</v>
      </c>
      <c r="M171" s="140" t="str">
        <f t="shared" si="29"/>
        <v>5100/002Share capital - additions</v>
      </c>
      <c r="N171" s="70"/>
      <c r="P171" s="71"/>
      <c r="Q171" s="51"/>
      <c r="R171" s="31"/>
    </row>
    <row r="172" spans="1:18" x14ac:dyDescent="0.2">
      <c r="A172" s="238"/>
      <c r="B172" s="86" t="s">
        <v>474</v>
      </c>
      <c r="C172" s="280" t="s">
        <v>465</v>
      </c>
      <c r="D172" s="289"/>
      <c r="E172" s="272"/>
      <c r="F172" s="79"/>
      <c r="G172" s="47">
        <f>SUMIF(JournalsB!D$14:D$920,TrialBalanceB!M172,JournalsB!J$14:J$920)+SUMIF(JournalsB!E$14:E$920,TrialBalanceB!M172,JournalsB!J$14:J$920)</f>
        <v>0</v>
      </c>
      <c r="H172" s="288"/>
      <c r="I172" s="290">
        <f t="shared" ref="I172:I253" si="39">ROUND(D172-E172+G172+F172,0)</f>
        <v>0</v>
      </c>
      <c r="J172" s="75"/>
      <c r="K172" s="48">
        <f t="shared" si="28"/>
        <v>0</v>
      </c>
      <c r="M172" s="140" t="str">
        <f t="shared" si="29"/>
        <v>5110/000SHARE PREMIUM</v>
      </c>
      <c r="N172" s="70"/>
      <c r="P172" s="71"/>
      <c r="Q172" s="51"/>
      <c r="R172" s="31"/>
    </row>
    <row r="173" spans="1:18" x14ac:dyDescent="0.2">
      <c r="A173" s="238"/>
      <c r="B173" s="86" t="s">
        <v>475</v>
      </c>
      <c r="C173" s="242" t="s">
        <v>722</v>
      </c>
      <c r="D173" s="286"/>
      <c r="E173" s="272"/>
      <c r="F173" s="79">
        <f>SUM(K173:K175)</f>
        <v>0</v>
      </c>
      <c r="G173" s="47">
        <f>SUMIF(JournalsB!D$14:D$920,TrialBalanceB!M173,JournalsB!J$14:J$920)+SUMIF(JournalsB!E$14:E$920,TrialBalanceB!M173,JournalsB!J$14:J$920)</f>
        <v>0</v>
      </c>
      <c r="H173" s="288"/>
      <c r="I173" s="290">
        <f t="shared" si="39"/>
        <v>0</v>
      </c>
      <c r="J173" s="75"/>
      <c r="K173" s="48">
        <f t="shared" si="28"/>
        <v>0</v>
      </c>
      <c r="M173" s="140" t="str">
        <f t="shared" si="29"/>
        <v>5110/001Share premium - balance b/fwd</v>
      </c>
      <c r="N173" s="70"/>
      <c r="P173" s="71"/>
      <c r="Q173" s="51"/>
      <c r="R173" s="31"/>
    </row>
    <row r="174" spans="1:18" x14ac:dyDescent="0.2">
      <c r="A174" s="238"/>
      <c r="B174" s="86" t="s">
        <v>476</v>
      </c>
      <c r="C174" s="242" t="s">
        <v>723</v>
      </c>
      <c r="D174" s="286"/>
      <c r="E174" s="272"/>
      <c r="F174" s="79"/>
      <c r="G174" s="47">
        <f>SUMIF(JournalsB!D$14:D$920,TrialBalanceB!M174,JournalsB!J$14:J$920)+SUMIF(JournalsB!E$14:E$920,TrialBalanceB!M174,JournalsB!J$14:J$920)</f>
        <v>0</v>
      </c>
      <c r="H174" s="288"/>
      <c r="I174" s="290">
        <f t="shared" si="39"/>
        <v>0</v>
      </c>
      <c r="J174" s="75"/>
      <c r="K174" s="48">
        <f t="shared" si="28"/>
        <v>0</v>
      </c>
      <c r="M174" s="140" t="str">
        <f t="shared" si="29"/>
        <v>5110/002Share premium - additions</v>
      </c>
      <c r="N174" s="70"/>
      <c r="P174" s="71"/>
      <c r="Q174" s="51"/>
      <c r="R174" s="31"/>
    </row>
    <row r="175" spans="1:18" x14ac:dyDescent="0.2">
      <c r="A175" s="238"/>
      <c r="B175" s="86" t="s">
        <v>477</v>
      </c>
      <c r="C175" s="248" t="s">
        <v>478</v>
      </c>
      <c r="D175" s="286"/>
      <c r="E175" s="272"/>
      <c r="F175" s="79"/>
      <c r="G175" s="47">
        <f>SUMIF(JournalsB!D$14:D$920,TrialBalanceB!M175,JournalsB!J$14:J$920)+SUMIF(JournalsB!E$14:E$920,TrialBalanceB!M175,JournalsB!J$14:J$920)</f>
        <v>0</v>
      </c>
      <c r="H175" s="288"/>
      <c r="I175" s="290">
        <f t="shared" si="39"/>
        <v>0</v>
      </c>
      <c r="J175" s="75"/>
      <c r="K175" s="48">
        <f t="shared" si="28"/>
        <v>0</v>
      </c>
      <c r="M175" s="140" t="str">
        <f t="shared" si="29"/>
        <v>5110/003Share premium - transfer</v>
      </c>
      <c r="N175" s="70"/>
      <c r="P175" s="71"/>
      <c r="Q175" s="51"/>
      <c r="R175" s="31"/>
    </row>
    <row r="176" spans="1:18" x14ac:dyDescent="0.2">
      <c r="A176" s="238"/>
      <c r="B176" s="54" t="s">
        <v>431</v>
      </c>
      <c r="C176" s="239" t="s">
        <v>850</v>
      </c>
      <c r="D176" s="283"/>
      <c r="E176" s="272"/>
      <c r="F176" s="79"/>
      <c r="G176" s="47">
        <f>SUMIF(JournalsB!D$14:D$920,TrialBalanceB!M176,JournalsB!J$14:J$920)+SUMIF(JournalsB!E$14:E$920,TrialBalanceB!M176,JournalsB!J$14:J$920)</f>
        <v>0</v>
      </c>
      <c r="H176" s="288"/>
      <c r="I176" s="290">
        <f t="shared" si="39"/>
        <v>0</v>
      </c>
      <c r="J176" s="75"/>
      <c r="K176" s="48">
        <f t="shared" si="28"/>
        <v>0</v>
      </c>
      <c r="M176" s="140" t="str">
        <f t="shared" si="29"/>
        <v>5120/000REVALUATION RESERVE</v>
      </c>
      <c r="N176" s="70"/>
      <c r="P176" s="71"/>
      <c r="Q176" s="51"/>
      <c r="R176" s="31"/>
    </row>
    <row r="177" spans="1:18" x14ac:dyDescent="0.2">
      <c r="A177" s="238"/>
      <c r="B177" s="54" t="s">
        <v>432</v>
      </c>
      <c r="C177" s="242" t="s">
        <v>851</v>
      </c>
      <c r="D177" s="282"/>
      <c r="E177" s="272"/>
      <c r="F177" s="79">
        <f>SUM(K177:K179)</f>
        <v>0</v>
      </c>
      <c r="G177" s="47">
        <f>SUMIF(JournalsB!D$14:D$920,TrialBalanceB!M177,JournalsB!J$14:J$920)+SUMIF(JournalsB!E$14:E$920,TrialBalanceB!M177,JournalsB!J$14:J$920)</f>
        <v>0</v>
      </c>
      <c r="H177" s="288"/>
      <c r="I177" s="290">
        <f t="shared" si="39"/>
        <v>0</v>
      </c>
      <c r="J177" s="75"/>
      <c r="K177" s="48">
        <f t="shared" si="28"/>
        <v>0</v>
      </c>
      <c r="M177" s="140" t="str">
        <f t="shared" si="29"/>
        <v>5120/001Revaluation reserve - balance b/fwd</v>
      </c>
      <c r="N177" s="70"/>
      <c r="P177" s="71"/>
      <c r="Q177" s="51"/>
      <c r="R177" s="31"/>
    </row>
    <row r="178" spans="1:18" x14ac:dyDescent="0.2">
      <c r="A178" s="238"/>
      <c r="B178" s="54" t="s">
        <v>433</v>
      </c>
      <c r="C178" s="242" t="s">
        <v>852</v>
      </c>
      <c r="D178" s="282"/>
      <c r="E178" s="272"/>
      <c r="F178" s="79"/>
      <c r="G178" s="47">
        <f>SUMIF(JournalsB!D$14:D$920,TrialBalanceB!M178,JournalsB!J$14:J$920)+SUMIF(JournalsB!E$14:E$920,TrialBalanceB!M178,JournalsB!J$14:J$920)</f>
        <v>0</v>
      </c>
      <c r="H178" s="288"/>
      <c r="I178" s="290">
        <f t="shared" si="39"/>
        <v>0</v>
      </c>
      <c r="J178" s="75"/>
      <c r="K178" s="48">
        <f t="shared" si="28"/>
        <v>0</v>
      </c>
      <c r="M178" s="140" t="str">
        <f t="shared" si="29"/>
        <v>5120/002Revaluation reserve - additions</v>
      </c>
      <c r="N178" s="70"/>
      <c r="P178" s="71"/>
      <c r="Q178" s="51"/>
      <c r="R178" s="31"/>
    </row>
    <row r="179" spans="1:18" x14ac:dyDescent="0.2">
      <c r="A179" s="238"/>
      <c r="B179" s="54" t="s">
        <v>434</v>
      </c>
      <c r="C179" s="242" t="s">
        <v>853</v>
      </c>
      <c r="D179" s="282"/>
      <c r="E179" s="272"/>
      <c r="F179" s="79"/>
      <c r="G179" s="47">
        <f>SUMIF(JournalsB!D$14:D$920,TrialBalanceB!M179,JournalsB!J$14:J$920)+SUMIF(JournalsB!E$14:E$920,TrialBalanceB!M179,JournalsB!J$14:J$920)</f>
        <v>0</v>
      </c>
      <c r="H179" s="288"/>
      <c r="I179" s="290">
        <f t="shared" si="39"/>
        <v>0</v>
      </c>
      <c r="J179" s="75"/>
      <c r="K179" s="48">
        <f t="shared" si="28"/>
        <v>0</v>
      </c>
      <c r="M179" s="140" t="str">
        <f t="shared" si="29"/>
        <v>5120/003Revaluation reserve - transfer</v>
      </c>
      <c r="N179" s="70"/>
      <c r="P179" s="71"/>
      <c r="Q179" s="51"/>
      <c r="R179" s="31"/>
    </row>
    <row r="180" spans="1:18" x14ac:dyDescent="0.2">
      <c r="A180" s="238"/>
      <c r="B180" s="54" t="s">
        <v>79</v>
      </c>
      <c r="C180" s="239" t="s">
        <v>232</v>
      </c>
      <c r="D180" s="283"/>
      <c r="E180" s="272"/>
      <c r="F180" s="79"/>
      <c r="G180" s="47">
        <f>SUMIF(JournalsB!D$14:D$920,TrialBalanceB!M180,JournalsB!J$14:J$920)+SUMIF(JournalsB!E$14:E$920,TrialBalanceB!M180,JournalsB!J$14:J$920)</f>
        <v>0</v>
      </c>
      <c r="H180" s="288"/>
      <c r="I180" s="290">
        <f t="shared" si="39"/>
        <v>0</v>
      </c>
      <c r="J180" s="75"/>
      <c r="K180" s="48">
        <f t="shared" si="28"/>
        <v>0</v>
      </c>
      <c r="M180" s="140" t="str">
        <f t="shared" si="29"/>
        <v>5130/000OTHER RESERVES</v>
      </c>
      <c r="N180" s="70"/>
      <c r="P180" s="71"/>
      <c r="Q180" s="51"/>
      <c r="R180" s="31"/>
    </row>
    <row r="181" spans="1:18" x14ac:dyDescent="0.2">
      <c r="A181" s="238"/>
      <c r="B181" s="54" t="s">
        <v>233</v>
      </c>
      <c r="C181" s="242" t="s">
        <v>724</v>
      </c>
      <c r="D181" s="282"/>
      <c r="E181" s="272"/>
      <c r="F181" s="79">
        <f>SUM(K181:K183)</f>
        <v>0</v>
      </c>
      <c r="G181" s="47">
        <f>SUMIF(JournalsB!D$14:D$920,TrialBalanceB!M181,JournalsB!J$14:J$920)+SUMIF(JournalsB!E$14:E$920,TrialBalanceB!M181,JournalsB!J$14:J$920)</f>
        <v>0</v>
      </c>
      <c r="H181" s="288"/>
      <c r="I181" s="290">
        <f t="shared" si="39"/>
        <v>0</v>
      </c>
      <c r="J181" s="75"/>
      <c r="K181" s="48">
        <f t="shared" si="28"/>
        <v>0</v>
      </c>
      <c r="M181" s="140" t="str">
        <f t="shared" si="29"/>
        <v>5130/001Other reserves - balance b/fwd</v>
      </c>
      <c r="N181" s="70"/>
      <c r="P181" s="71"/>
      <c r="Q181" s="51"/>
      <c r="R181" s="31"/>
    </row>
    <row r="182" spans="1:18" x14ac:dyDescent="0.2">
      <c r="A182" s="238"/>
      <c r="B182" s="54" t="s">
        <v>234</v>
      </c>
      <c r="C182" s="242" t="s">
        <v>725</v>
      </c>
      <c r="D182" s="282"/>
      <c r="E182" s="272"/>
      <c r="F182" s="79"/>
      <c r="G182" s="47">
        <f>SUMIF(JournalsB!D$14:D$920,TrialBalanceB!M182,JournalsB!J$14:J$920)+SUMIF(JournalsB!E$14:E$920,TrialBalanceB!M182,JournalsB!J$14:J$920)</f>
        <v>0</v>
      </c>
      <c r="H182" s="288"/>
      <c r="I182" s="290">
        <f t="shared" si="39"/>
        <v>0</v>
      </c>
      <c r="J182" s="75"/>
      <c r="K182" s="48">
        <f t="shared" si="28"/>
        <v>0</v>
      </c>
      <c r="M182" s="140" t="str">
        <f t="shared" si="29"/>
        <v>5130/002Other reserves - additions</v>
      </c>
      <c r="N182" s="70"/>
      <c r="P182" s="71"/>
      <c r="Q182" s="51"/>
      <c r="R182" s="31"/>
    </row>
    <row r="183" spans="1:18" x14ac:dyDescent="0.2">
      <c r="A183" s="238"/>
      <c r="B183" s="54" t="s">
        <v>306</v>
      </c>
      <c r="C183" s="240" t="s">
        <v>359</v>
      </c>
      <c r="D183" s="282"/>
      <c r="E183" s="272"/>
      <c r="F183" s="79"/>
      <c r="G183" s="47">
        <f>SUMIF(JournalsB!D$14:D$920,TrialBalanceB!M183,JournalsB!J$14:J$920)+SUMIF(JournalsB!E$14:E$920,TrialBalanceB!M183,JournalsB!J$14:J$920)</f>
        <v>0</v>
      </c>
      <c r="H183" s="288"/>
      <c r="I183" s="290">
        <f t="shared" si="39"/>
        <v>0</v>
      </c>
      <c r="J183" s="75"/>
      <c r="K183" s="48">
        <f t="shared" si="28"/>
        <v>0</v>
      </c>
      <c r="M183" s="140" t="str">
        <f t="shared" si="29"/>
        <v>5130/003Other reserves - transfer</v>
      </c>
      <c r="N183" s="70"/>
      <c r="P183" s="71"/>
      <c r="Q183" s="51"/>
      <c r="R183" s="31"/>
    </row>
    <row r="184" spans="1:18" x14ac:dyDescent="0.2">
      <c r="A184" s="238"/>
      <c r="B184" s="54" t="s">
        <v>360</v>
      </c>
      <c r="C184" s="239" t="s">
        <v>726</v>
      </c>
      <c r="D184" s="283"/>
      <c r="E184" s="272"/>
      <c r="F184" s="79">
        <f>K184+SUM(K5:K165)</f>
        <v>0</v>
      </c>
      <c r="G184" s="47">
        <f>SUMIF(JournalsB!D$14:D$920,TrialBalanceB!M184,JournalsB!J$14:J$920)+SUMIF(JournalsB!E$14:E$920,TrialBalanceB!M184,JournalsB!J$14:J$920)</f>
        <v>0</v>
      </c>
      <c r="H184" s="288"/>
      <c r="I184" s="290">
        <f t="shared" si="39"/>
        <v>0</v>
      </c>
      <c r="J184" s="75"/>
      <c r="K184" s="48">
        <f t="shared" si="28"/>
        <v>0</v>
      </c>
      <c r="M184" s="140" t="str">
        <f t="shared" si="29"/>
        <v>5200/000(Retained income) / Accumulated loss</v>
      </c>
      <c r="N184" s="70"/>
      <c r="P184" s="71"/>
      <c r="Q184" s="51"/>
      <c r="R184" s="31"/>
    </row>
    <row r="185" spans="1:18" x14ac:dyDescent="0.2">
      <c r="A185" s="238"/>
      <c r="B185" s="54" t="s">
        <v>116</v>
      </c>
      <c r="C185" s="239" t="s">
        <v>117</v>
      </c>
      <c r="D185" s="283"/>
      <c r="E185" s="272"/>
      <c r="F185" s="79"/>
      <c r="G185" s="47">
        <f>SUMIF(JournalsB!D$14:D$920,TrialBalanceB!M185,JournalsB!J$14:J$920)+SUMIF(JournalsB!E$14:E$920,TrialBalanceB!M185,JournalsB!J$14:J$920)</f>
        <v>0</v>
      </c>
      <c r="H185" s="288"/>
      <c r="I185" s="290">
        <f t="shared" si="39"/>
        <v>0</v>
      </c>
      <c r="J185" s="75"/>
      <c r="K185" s="48">
        <f t="shared" si="28"/>
        <v>0</v>
      </c>
      <c r="M185" s="140" t="str">
        <f t="shared" si="29"/>
        <v>5500/000LONG TERM  INTEREST LIABILITIES</v>
      </c>
      <c r="N185" s="70"/>
      <c r="P185" s="71"/>
      <c r="Q185" s="51"/>
      <c r="R185" s="31"/>
    </row>
    <row r="186" spans="1:18" x14ac:dyDescent="0.2">
      <c r="A186" s="238"/>
      <c r="B186" s="54" t="s">
        <v>118</v>
      </c>
      <c r="C186" s="276">
        <f>TrialBalance!C186</f>
        <v>0</v>
      </c>
      <c r="D186" s="281"/>
      <c r="E186" s="272"/>
      <c r="F186" s="79">
        <f>K186</f>
        <v>0</v>
      </c>
      <c r="G186" s="47">
        <f>SUMIF(JournalsB!D$14:D$920,TrialBalanceB!M186,JournalsB!J$14:J$920)+SUMIF(JournalsB!E$14:E$920,TrialBalanceB!M186,JournalsB!J$14:J$920)</f>
        <v>0</v>
      </c>
      <c r="H186" s="288"/>
      <c r="I186" s="290">
        <f t="shared" si="39"/>
        <v>0</v>
      </c>
      <c r="J186" s="75"/>
      <c r="K186" s="48">
        <f t="shared" si="28"/>
        <v>0</v>
      </c>
      <c r="M186" s="140" t="str">
        <f t="shared" si="29"/>
        <v>5500/0010</v>
      </c>
      <c r="N186" s="70"/>
      <c r="P186" s="71"/>
      <c r="Q186" s="51"/>
      <c r="R186" s="31"/>
    </row>
    <row r="187" spans="1:18" x14ac:dyDescent="0.2">
      <c r="A187" s="238"/>
      <c r="B187" s="54" t="s">
        <v>119</v>
      </c>
      <c r="C187" s="276">
        <f>TrialBalance!C187</f>
        <v>0</v>
      </c>
      <c r="D187" s="281"/>
      <c r="E187" s="272"/>
      <c r="F187" s="79">
        <f>K187</f>
        <v>0</v>
      </c>
      <c r="G187" s="47">
        <f>SUMIF(JournalsB!D$14:D$920,TrialBalanceB!M187,JournalsB!J$14:J$920)+SUMIF(JournalsB!E$14:E$920,TrialBalanceB!M187,JournalsB!J$14:J$920)</f>
        <v>0</v>
      </c>
      <c r="H187" s="288"/>
      <c r="I187" s="290">
        <f t="shared" si="39"/>
        <v>0</v>
      </c>
      <c r="J187" s="75"/>
      <c r="K187" s="48">
        <f t="shared" si="28"/>
        <v>0</v>
      </c>
      <c r="M187" s="140" t="str">
        <f t="shared" si="29"/>
        <v>5500/0020</v>
      </c>
      <c r="N187" s="70"/>
      <c r="P187" s="71"/>
      <c r="Q187" s="51"/>
      <c r="R187" s="31"/>
    </row>
    <row r="188" spans="1:18" x14ac:dyDescent="0.2">
      <c r="A188" s="238"/>
      <c r="B188" s="54" t="s">
        <v>120</v>
      </c>
      <c r="C188" s="276">
        <f>TrialBalance!C188</f>
        <v>0</v>
      </c>
      <c r="D188" s="284"/>
      <c r="E188" s="272"/>
      <c r="F188" s="79">
        <f>K188</f>
        <v>0</v>
      </c>
      <c r="G188" s="47">
        <f>SUMIF(JournalsB!D$14:D$920,TrialBalanceB!M188,JournalsB!J$14:J$920)+SUMIF(JournalsB!E$14:E$920,TrialBalanceB!M188,JournalsB!J$14:J$920)</f>
        <v>0</v>
      </c>
      <c r="H188" s="288"/>
      <c r="I188" s="290">
        <f t="shared" si="39"/>
        <v>0</v>
      </c>
      <c r="J188" s="75"/>
      <c r="K188" s="48">
        <f t="shared" si="28"/>
        <v>0</v>
      </c>
      <c r="M188" s="140" t="str">
        <f t="shared" si="29"/>
        <v>5500/0030</v>
      </c>
      <c r="N188" s="70"/>
      <c r="P188" s="71"/>
      <c r="Q188" s="51"/>
      <c r="R188" s="31"/>
    </row>
    <row r="189" spans="1:18" x14ac:dyDescent="0.2">
      <c r="A189" s="238"/>
      <c r="B189" s="54" t="s">
        <v>121</v>
      </c>
      <c r="C189" s="276">
        <f>TrialBalance!C189</f>
        <v>0</v>
      </c>
      <c r="D189" s="282"/>
      <c r="E189" s="272"/>
      <c r="F189" s="79">
        <f>K189</f>
        <v>0</v>
      </c>
      <c r="G189" s="47">
        <f>SUMIF(JournalsB!D$14:D$920,TrialBalanceB!M189,JournalsB!J$14:J$920)+SUMIF(JournalsB!E$14:E$920,TrialBalanceB!M189,JournalsB!J$14:J$920)</f>
        <v>0</v>
      </c>
      <c r="H189" s="288"/>
      <c r="I189" s="290">
        <f t="shared" si="39"/>
        <v>0</v>
      </c>
      <c r="J189" s="75"/>
      <c r="K189" s="48">
        <f t="shared" si="28"/>
        <v>0</v>
      </c>
      <c r="M189" s="140" t="str">
        <f t="shared" si="29"/>
        <v>5500/0040</v>
      </c>
      <c r="N189" s="70"/>
      <c r="P189" s="71"/>
      <c r="Q189" s="51"/>
      <c r="R189" s="31"/>
    </row>
    <row r="190" spans="1:18" x14ac:dyDescent="0.2">
      <c r="A190" s="238"/>
      <c r="B190" s="54" t="s">
        <v>122</v>
      </c>
      <c r="C190" s="276">
        <f>TrialBalance!C190</f>
        <v>0</v>
      </c>
      <c r="D190" s="282"/>
      <c r="E190" s="272"/>
      <c r="F190" s="79">
        <f>K190</f>
        <v>0</v>
      </c>
      <c r="G190" s="47">
        <f>SUMIF(JournalsB!D$14:D$920,TrialBalanceB!M190,JournalsB!J$14:J$920)+SUMIF(JournalsB!E$14:E$920,TrialBalanceB!M190,JournalsB!J$14:J$920)</f>
        <v>0</v>
      </c>
      <c r="H190" s="288"/>
      <c r="I190" s="290">
        <f t="shared" si="39"/>
        <v>0</v>
      </c>
      <c r="J190" s="75"/>
      <c r="K190" s="48">
        <f t="shared" si="28"/>
        <v>0</v>
      </c>
      <c r="M190" s="140" t="str">
        <f t="shared" si="29"/>
        <v>5500/0050</v>
      </c>
      <c r="N190" s="70"/>
      <c r="P190" s="71"/>
      <c r="Q190" s="51"/>
      <c r="R190" s="31"/>
    </row>
    <row r="191" spans="1:18" x14ac:dyDescent="0.2">
      <c r="A191" s="238"/>
      <c r="B191" s="90" t="s">
        <v>563</v>
      </c>
      <c r="C191" s="276">
        <f>TrialBalance!C191</f>
        <v>0</v>
      </c>
      <c r="D191" s="282"/>
      <c r="E191" s="272"/>
      <c r="F191" s="79">
        <f t="shared" ref="F191:F216" si="40">K191</f>
        <v>0</v>
      </c>
      <c r="G191" s="47">
        <f>SUMIF(JournalsB!D$14:D$920,TrialBalanceB!M191,JournalsB!J$14:J$920)+SUMIF(JournalsB!E$14:E$920,TrialBalanceB!M191,JournalsB!J$14:J$920)</f>
        <v>0</v>
      </c>
      <c r="H191" s="288"/>
      <c r="I191" s="290">
        <f t="shared" si="39"/>
        <v>0</v>
      </c>
      <c r="J191" s="75"/>
      <c r="K191" s="48">
        <f t="shared" si="28"/>
        <v>0</v>
      </c>
      <c r="M191" s="140" t="str">
        <f t="shared" si="29"/>
        <v>5500/0060</v>
      </c>
      <c r="N191" s="70"/>
      <c r="P191" s="71"/>
      <c r="Q191" s="51"/>
      <c r="R191" s="31"/>
    </row>
    <row r="192" spans="1:18" x14ac:dyDescent="0.2">
      <c r="A192" s="238"/>
      <c r="B192" s="90" t="s">
        <v>564</v>
      </c>
      <c r="C192" s="276">
        <f>TrialBalance!C192</f>
        <v>0</v>
      </c>
      <c r="D192" s="282"/>
      <c r="E192" s="272"/>
      <c r="F192" s="79">
        <f t="shared" si="40"/>
        <v>0</v>
      </c>
      <c r="G192" s="47">
        <f>SUMIF(JournalsB!D$14:D$920,TrialBalanceB!M192,JournalsB!J$14:J$920)+SUMIF(JournalsB!E$14:E$920,TrialBalanceB!M192,JournalsB!J$14:J$920)</f>
        <v>0</v>
      </c>
      <c r="H192" s="288"/>
      <c r="I192" s="290">
        <f t="shared" si="39"/>
        <v>0</v>
      </c>
      <c r="J192" s="75"/>
      <c r="K192" s="48">
        <f t="shared" si="28"/>
        <v>0</v>
      </c>
      <c r="M192" s="140" t="str">
        <f t="shared" si="29"/>
        <v>5500/0070</v>
      </c>
      <c r="N192" s="70"/>
      <c r="P192" s="71"/>
      <c r="Q192" s="51"/>
      <c r="R192" s="31"/>
    </row>
    <row r="193" spans="1:18" x14ac:dyDescent="0.2">
      <c r="A193" s="238"/>
      <c r="B193" s="90" t="s">
        <v>565</v>
      </c>
      <c r="C193" s="276">
        <f>TrialBalance!C193</f>
        <v>0</v>
      </c>
      <c r="D193" s="282"/>
      <c r="E193" s="272"/>
      <c r="F193" s="79">
        <f t="shared" si="40"/>
        <v>0</v>
      </c>
      <c r="G193" s="47">
        <f>SUMIF(JournalsB!D$14:D$920,TrialBalanceB!M193,JournalsB!J$14:J$920)+SUMIF(JournalsB!E$14:E$920,TrialBalanceB!M193,JournalsB!J$14:J$920)</f>
        <v>0</v>
      </c>
      <c r="H193" s="288"/>
      <c r="I193" s="290">
        <f t="shared" si="39"/>
        <v>0</v>
      </c>
      <c r="J193" s="75"/>
      <c r="K193" s="48">
        <f t="shared" si="28"/>
        <v>0</v>
      </c>
      <c r="M193" s="140" t="str">
        <f t="shared" si="29"/>
        <v>5500/0080</v>
      </c>
      <c r="N193" s="70"/>
      <c r="P193" s="71"/>
      <c r="Q193" s="51"/>
      <c r="R193" s="31"/>
    </row>
    <row r="194" spans="1:18" x14ac:dyDescent="0.2">
      <c r="A194" s="238"/>
      <c r="B194" s="90" t="s">
        <v>566</v>
      </c>
      <c r="C194" s="276">
        <f>TrialBalance!C194</f>
        <v>0</v>
      </c>
      <c r="D194" s="282"/>
      <c r="E194" s="272"/>
      <c r="F194" s="79">
        <f t="shared" si="40"/>
        <v>0</v>
      </c>
      <c r="G194" s="47">
        <f>SUMIF(JournalsB!D$14:D$920,TrialBalanceB!M194,JournalsB!J$14:J$920)+SUMIF(JournalsB!E$14:E$920,TrialBalanceB!M194,JournalsB!J$14:J$920)</f>
        <v>0</v>
      </c>
      <c r="H194" s="288"/>
      <c r="I194" s="290">
        <f t="shared" si="39"/>
        <v>0</v>
      </c>
      <c r="J194" s="75"/>
      <c r="K194" s="48">
        <f t="shared" si="28"/>
        <v>0</v>
      </c>
      <c r="M194" s="140" t="str">
        <f t="shared" si="29"/>
        <v>5500/0090</v>
      </c>
      <c r="N194" s="70"/>
      <c r="P194" s="71"/>
      <c r="Q194" s="51"/>
      <c r="R194" s="31"/>
    </row>
    <row r="195" spans="1:18" x14ac:dyDescent="0.2">
      <c r="A195" s="238"/>
      <c r="B195" s="90" t="s">
        <v>567</v>
      </c>
      <c r="C195" s="276">
        <f>TrialBalance!C195</f>
        <v>0</v>
      </c>
      <c r="D195" s="282"/>
      <c r="E195" s="272"/>
      <c r="F195" s="79">
        <f t="shared" si="40"/>
        <v>0</v>
      </c>
      <c r="G195" s="47">
        <f>SUMIF(JournalsB!D$14:D$920,TrialBalanceB!M195,JournalsB!J$14:J$920)+SUMIF(JournalsB!E$14:E$920,TrialBalanceB!M195,JournalsB!J$14:J$920)</f>
        <v>0</v>
      </c>
      <c r="H195" s="288"/>
      <c r="I195" s="290">
        <f t="shared" si="39"/>
        <v>0</v>
      </c>
      <c r="J195" s="75"/>
      <c r="K195" s="48">
        <f t="shared" si="28"/>
        <v>0</v>
      </c>
      <c r="M195" s="140" t="str">
        <f t="shared" si="29"/>
        <v>5500/0100</v>
      </c>
      <c r="N195" s="70"/>
      <c r="P195" s="71"/>
      <c r="Q195" s="51"/>
      <c r="R195" s="31"/>
    </row>
    <row r="196" spans="1:18" x14ac:dyDescent="0.2">
      <c r="A196" s="238"/>
      <c r="B196" s="90" t="s">
        <v>568</v>
      </c>
      <c r="C196" s="276">
        <f>TrialBalance!C196</f>
        <v>0</v>
      </c>
      <c r="D196" s="282"/>
      <c r="E196" s="272"/>
      <c r="F196" s="79">
        <f t="shared" si="40"/>
        <v>0</v>
      </c>
      <c r="G196" s="47">
        <f>SUMIF(JournalsB!D$14:D$920,TrialBalanceB!M196,JournalsB!J$14:J$920)+SUMIF(JournalsB!E$14:E$920,TrialBalanceB!M196,JournalsB!J$14:J$920)</f>
        <v>0</v>
      </c>
      <c r="H196" s="288"/>
      <c r="I196" s="290">
        <f t="shared" si="39"/>
        <v>0</v>
      </c>
      <c r="J196" s="75"/>
      <c r="K196" s="48">
        <f t="shared" si="28"/>
        <v>0</v>
      </c>
      <c r="M196" s="140" t="str">
        <f t="shared" si="29"/>
        <v>5500/0110</v>
      </c>
      <c r="N196" s="70"/>
      <c r="P196" s="71"/>
      <c r="Q196" s="51"/>
      <c r="R196" s="31"/>
    </row>
    <row r="197" spans="1:18" x14ac:dyDescent="0.2">
      <c r="A197" s="238"/>
      <c r="B197" s="90" t="s">
        <v>569</v>
      </c>
      <c r="C197" s="276">
        <f>TrialBalance!C197</f>
        <v>0</v>
      </c>
      <c r="D197" s="282"/>
      <c r="E197" s="272"/>
      <c r="F197" s="79">
        <f t="shared" si="40"/>
        <v>0</v>
      </c>
      <c r="G197" s="47">
        <f>SUMIF(JournalsB!D$14:D$920,TrialBalanceB!M197,JournalsB!J$14:J$920)+SUMIF(JournalsB!E$14:E$920,TrialBalanceB!M197,JournalsB!J$14:J$920)</f>
        <v>0</v>
      </c>
      <c r="H197" s="288"/>
      <c r="I197" s="290">
        <f t="shared" si="39"/>
        <v>0</v>
      </c>
      <c r="J197" s="75"/>
      <c r="K197" s="48">
        <f t="shared" si="28"/>
        <v>0</v>
      </c>
      <c r="M197" s="140" t="str">
        <f t="shared" si="29"/>
        <v>5500/0120</v>
      </c>
      <c r="N197" s="70"/>
      <c r="P197" s="71"/>
      <c r="Q197" s="51"/>
      <c r="R197" s="31"/>
    </row>
    <row r="198" spans="1:18" x14ac:dyDescent="0.2">
      <c r="A198" s="238"/>
      <c r="B198" s="90" t="s">
        <v>570</v>
      </c>
      <c r="C198" s="276">
        <f>TrialBalance!C198</f>
        <v>0</v>
      </c>
      <c r="D198" s="282"/>
      <c r="E198" s="272"/>
      <c r="F198" s="79">
        <f t="shared" ref="F198:F199" si="41">K198</f>
        <v>0</v>
      </c>
      <c r="G198" s="47">
        <f>SUMIF(JournalsB!D$14:D$920,TrialBalanceB!M198,JournalsB!J$14:J$920)+SUMIF(JournalsB!E$14:E$920,TrialBalanceB!M198,JournalsB!J$14:J$920)</f>
        <v>0</v>
      </c>
      <c r="H198" s="288"/>
      <c r="I198" s="290">
        <f t="shared" ref="I198:I199" si="42">ROUND(D198-E198+G198+F198,0)</f>
        <v>0</v>
      </c>
      <c r="J198" s="75"/>
      <c r="K198" s="48">
        <f t="shared" ref="K198:K199" si="43">ROUND(SUM(A198),0)</f>
        <v>0</v>
      </c>
      <c r="M198" s="140" t="str">
        <f t="shared" ref="M198:M199" si="44">CONCATENATE(B198,C198)</f>
        <v>5500/0130</v>
      </c>
      <c r="N198" s="70"/>
      <c r="P198" s="71"/>
      <c r="Q198" s="51"/>
      <c r="R198" s="31"/>
    </row>
    <row r="199" spans="1:18" x14ac:dyDescent="0.2">
      <c r="A199" s="238"/>
      <c r="B199" s="90" t="s">
        <v>619</v>
      </c>
      <c r="C199" s="276">
        <f>TrialBalance!C199</f>
        <v>0</v>
      </c>
      <c r="D199" s="282"/>
      <c r="E199" s="272"/>
      <c r="F199" s="79">
        <f t="shared" si="41"/>
        <v>0</v>
      </c>
      <c r="G199" s="47">
        <f>SUMIF(JournalsB!D$14:D$920,TrialBalanceB!M199,JournalsB!J$14:J$920)+SUMIF(JournalsB!E$14:E$920,TrialBalanceB!M199,JournalsB!J$14:J$920)</f>
        <v>0</v>
      </c>
      <c r="H199" s="288"/>
      <c r="I199" s="290">
        <f t="shared" si="42"/>
        <v>0</v>
      </c>
      <c r="J199" s="75"/>
      <c r="K199" s="48">
        <f t="shared" si="43"/>
        <v>0</v>
      </c>
      <c r="M199" s="140" t="str">
        <f t="shared" si="44"/>
        <v>5500/0140</v>
      </c>
      <c r="N199" s="70"/>
      <c r="P199" s="71"/>
      <c r="Q199" s="51"/>
      <c r="R199" s="31"/>
    </row>
    <row r="200" spans="1:18" x14ac:dyDescent="0.2">
      <c r="A200" s="238"/>
      <c r="B200" s="90" t="s">
        <v>620</v>
      </c>
      <c r="C200" s="276">
        <f>TrialBalance!C200</f>
        <v>0</v>
      </c>
      <c r="D200" s="282"/>
      <c r="E200" s="272"/>
      <c r="F200" s="79">
        <f t="shared" si="40"/>
        <v>0</v>
      </c>
      <c r="G200" s="47">
        <f>SUMIF(JournalsB!D$14:D$920,TrialBalanceB!M200,JournalsB!J$14:J$920)+SUMIF(JournalsB!E$14:E$920,TrialBalanceB!M200,JournalsB!J$14:J$920)</f>
        <v>0</v>
      </c>
      <c r="H200" s="288"/>
      <c r="I200" s="290">
        <f t="shared" si="39"/>
        <v>0</v>
      </c>
      <c r="J200" s="75"/>
      <c r="K200" s="48">
        <f t="shared" si="28"/>
        <v>0</v>
      </c>
      <c r="M200" s="140" t="str">
        <f t="shared" si="29"/>
        <v>5500/0150</v>
      </c>
      <c r="N200" s="70"/>
      <c r="P200" s="71"/>
      <c r="Q200" s="51"/>
      <c r="R200" s="31"/>
    </row>
    <row r="201" spans="1:18" x14ac:dyDescent="0.2">
      <c r="A201" s="238"/>
      <c r="B201" s="54" t="s">
        <v>123</v>
      </c>
      <c r="C201" s="240" t="s">
        <v>237</v>
      </c>
      <c r="D201" s="282"/>
      <c r="E201" s="272"/>
      <c r="F201" s="79">
        <f t="shared" si="40"/>
        <v>0</v>
      </c>
      <c r="G201" s="47">
        <f>SUMIF(JournalsB!D$14:D$920,TrialBalanceB!M201,JournalsB!J$14:J$920)+SUMIF(JournalsB!E$14:E$920,TrialBalanceB!M201,JournalsB!J$14:J$920)</f>
        <v>0</v>
      </c>
      <c r="H201" s="288"/>
      <c r="I201" s="290">
        <f t="shared" si="39"/>
        <v>0</v>
      </c>
      <c r="J201" s="75"/>
      <c r="K201" s="48">
        <f t="shared" si="28"/>
        <v>0</v>
      </c>
      <c r="M201" s="140" t="str">
        <f t="shared" si="29"/>
        <v>5520/000Short term portion of long term loans</v>
      </c>
      <c r="N201" s="70"/>
      <c r="P201" s="71"/>
      <c r="Q201" s="51"/>
      <c r="R201" s="31"/>
    </row>
    <row r="202" spans="1:18" x14ac:dyDescent="0.2">
      <c r="A202" s="238"/>
      <c r="B202" s="54" t="s">
        <v>125</v>
      </c>
      <c r="C202" s="239" t="s">
        <v>126</v>
      </c>
      <c r="D202" s="283"/>
      <c r="E202" s="272"/>
      <c r="F202" s="79">
        <f t="shared" si="40"/>
        <v>0</v>
      </c>
      <c r="G202" s="47">
        <f>SUMIF(JournalsB!D$14:D$920,TrialBalanceB!M202,JournalsB!J$14:J$920)+SUMIF(JournalsB!E$14:E$920,TrialBalanceB!M202,JournalsB!J$14:J$920)</f>
        <v>0</v>
      </c>
      <c r="H202" s="288"/>
      <c r="I202" s="290">
        <f t="shared" si="39"/>
        <v>0</v>
      </c>
      <c r="J202" s="75"/>
      <c r="K202" s="48">
        <f t="shared" si="28"/>
        <v>0</v>
      </c>
      <c r="M202" s="140" t="str">
        <f t="shared" si="29"/>
        <v>5550/000LONG TERM INTEREST FREE LOANS</v>
      </c>
      <c r="N202" s="70"/>
      <c r="P202" s="71"/>
      <c r="Q202" s="51"/>
      <c r="R202" s="31"/>
    </row>
    <row r="203" spans="1:18" x14ac:dyDescent="0.2">
      <c r="A203" s="238"/>
      <c r="B203" s="54" t="s">
        <v>127</v>
      </c>
      <c r="C203" s="276">
        <f>TrialBalance!C203</f>
        <v>0</v>
      </c>
      <c r="D203" s="272"/>
      <c r="E203" s="272"/>
      <c r="F203" s="79">
        <f t="shared" si="40"/>
        <v>0</v>
      </c>
      <c r="G203" s="47">
        <f>SUMIF(JournalsB!D$14:D$920,TrialBalanceB!M203,JournalsB!J$14:J$920)+SUMIF(JournalsB!E$14:E$920,TrialBalanceB!M203,JournalsB!J$14:J$920)</f>
        <v>0</v>
      </c>
      <c r="H203" s="288"/>
      <c r="I203" s="290">
        <f t="shared" si="39"/>
        <v>0</v>
      </c>
      <c r="J203" s="91"/>
      <c r="K203" s="48">
        <f t="shared" si="28"/>
        <v>0</v>
      </c>
      <c r="M203" s="140" t="str">
        <f t="shared" si="29"/>
        <v>5550/0010</v>
      </c>
      <c r="N203" s="70"/>
      <c r="P203" s="71"/>
      <c r="Q203" s="51"/>
      <c r="R203" s="31"/>
    </row>
    <row r="204" spans="1:18" x14ac:dyDescent="0.2">
      <c r="A204" s="238"/>
      <c r="B204" s="54" t="s">
        <v>128</v>
      </c>
      <c r="C204" s="276">
        <f>TrialBalance!C204</f>
        <v>0</v>
      </c>
      <c r="D204" s="284"/>
      <c r="E204" s="272"/>
      <c r="F204" s="79">
        <f t="shared" si="40"/>
        <v>0</v>
      </c>
      <c r="G204" s="47">
        <f>SUMIF(JournalsB!D$14:D$920,TrialBalanceB!M204,JournalsB!J$14:J$920)+SUMIF(JournalsB!E$14:E$920,TrialBalanceB!M204,JournalsB!J$14:J$920)</f>
        <v>0</v>
      </c>
      <c r="H204" s="288"/>
      <c r="I204" s="290">
        <f t="shared" si="39"/>
        <v>0</v>
      </c>
      <c r="J204" s="75"/>
      <c r="K204" s="48">
        <f t="shared" si="28"/>
        <v>0</v>
      </c>
      <c r="M204" s="140" t="str">
        <f t="shared" si="29"/>
        <v>5550/0020</v>
      </c>
      <c r="N204" s="70"/>
      <c r="P204" s="71"/>
      <c r="Q204" s="51"/>
      <c r="R204" s="31"/>
    </row>
    <row r="205" spans="1:18" x14ac:dyDescent="0.2">
      <c r="A205" s="238"/>
      <c r="B205" s="54" t="s">
        <v>129</v>
      </c>
      <c r="C205" s="276">
        <f>TrialBalance!C205</f>
        <v>0</v>
      </c>
      <c r="D205" s="284"/>
      <c r="E205" s="272"/>
      <c r="F205" s="79">
        <f t="shared" si="40"/>
        <v>0</v>
      </c>
      <c r="G205" s="47">
        <f>SUMIF(JournalsB!D$14:D$920,TrialBalanceB!M205,JournalsB!J$14:J$920)+SUMIF(JournalsB!E$14:E$920,TrialBalanceB!M205,JournalsB!J$14:J$920)</f>
        <v>0</v>
      </c>
      <c r="H205" s="288"/>
      <c r="I205" s="290">
        <f t="shared" si="39"/>
        <v>0</v>
      </c>
      <c r="J205" s="91"/>
      <c r="K205" s="48">
        <f t="shared" si="28"/>
        <v>0</v>
      </c>
      <c r="M205" s="140" t="str">
        <f t="shared" si="29"/>
        <v>5550/0030</v>
      </c>
      <c r="N205" s="70"/>
      <c r="P205" s="71"/>
      <c r="Q205" s="51"/>
      <c r="R205" s="31"/>
    </row>
    <row r="206" spans="1:18" x14ac:dyDescent="0.2">
      <c r="A206" s="238"/>
      <c r="B206" s="54" t="s">
        <v>130</v>
      </c>
      <c r="C206" s="276">
        <f>TrialBalance!C206</f>
        <v>0</v>
      </c>
      <c r="D206" s="284"/>
      <c r="E206" s="272"/>
      <c r="F206" s="79">
        <f t="shared" si="40"/>
        <v>0</v>
      </c>
      <c r="G206" s="47">
        <f>SUMIF(JournalsB!D$14:D$920,TrialBalanceB!M206,JournalsB!J$14:J$920)+SUMIF(JournalsB!E$14:E$920,TrialBalanceB!M206,JournalsB!J$14:J$920)</f>
        <v>0</v>
      </c>
      <c r="H206" s="288"/>
      <c r="I206" s="290">
        <f t="shared" si="39"/>
        <v>0</v>
      </c>
      <c r="J206" s="91"/>
      <c r="K206" s="48">
        <f t="shared" si="28"/>
        <v>0</v>
      </c>
      <c r="M206" s="140" t="str">
        <f t="shared" si="29"/>
        <v>5550/0040</v>
      </c>
      <c r="N206" s="70"/>
      <c r="P206" s="71"/>
      <c r="Q206" s="51"/>
      <c r="R206" s="31"/>
    </row>
    <row r="207" spans="1:18" x14ac:dyDescent="0.2">
      <c r="A207" s="238"/>
      <c r="B207" s="54" t="s">
        <v>131</v>
      </c>
      <c r="C207" s="276">
        <f>TrialBalance!C207</f>
        <v>0</v>
      </c>
      <c r="D207" s="281"/>
      <c r="E207" s="272"/>
      <c r="F207" s="79">
        <f t="shared" si="40"/>
        <v>0</v>
      </c>
      <c r="G207" s="47">
        <f>SUMIF(JournalsB!D$14:D$920,TrialBalanceB!M207,JournalsB!J$14:J$920)+SUMIF(JournalsB!E$14:E$920,TrialBalanceB!M207,JournalsB!J$14:J$920)</f>
        <v>0</v>
      </c>
      <c r="H207" s="288"/>
      <c r="I207" s="290">
        <f t="shared" si="39"/>
        <v>0</v>
      </c>
      <c r="J207" s="75"/>
      <c r="K207" s="48">
        <f t="shared" si="28"/>
        <v>0</v>
      </c>
      <c r="M207" s="140" t="str">
        <f t="shared" si="29"/>
        <v>5550/0050</v>
      </c>
      <c r="N207" s="70"/>
      <c r="P207" s="71"/>
      <c r="Q207" s="51"/>
      <c r="R207" s="31"/>
    </row>
    <row r="208" spans="1:18" x14ac:dyDescent="0.2">
      <c r="A208" s="238"/>
      <c r="B208" s="90" t="s">
        <v>590</v>
      </c>
      <c r="C208" s="276">
        <f>TrialBalance!C208</f>
        <v>0</v>
      </c>
      <c r="D208" s="284"/>
      <c r="E208" s="272"/>
      <c r="F208" s="79">
        <f t="shared" si="40"/>
        <v>0</v>
      </c>
      <c r="G208" s="47">
        <f>SUMIF(JournalsB!D$14:D$920,TrialBalanceB!M208,JournalsB!J$14:J$920)+SUMIF(JournalsB!E$14:E$920,TrialBalanceB!M208,JournalsB!J$14:J$920)</f>
        <v>0</v>
      </c>
      <c r="H208" s="288"/>
      <c r="I208" s="290">
        <f t="shared" si="39"/>
        <v>0</v>
      </c>
      <c r="J208" s="91"/>
      <c r="K208" s="48">
        <f t="shared" ref="K208:K283" si="45">ROUND(SUM(A208),0)</f>
        <v>0</v>
      </c>
      <c r="M208" s="140" t="str">
        <f t="shared" ref="M208:M283" si="46">CONCATENATE(B208,C208)</f>
        <v>5550/0060</v>
      </c>
      <c r="N208" s="70"/>
      <c r="P208" s="71"/>
      <c r="Q208" s="51"/>
      <c r="R208" s="31"/>
    </row>
    <row r="209" spans="1:18" x14ac:dyDescent="0.2">
      <c r="A209" s="238"/>
      <c r="B209" s="90" t="s">
        <v>591</v>
      </c>
      <c r="C209" s="276">
        <f>TrialBalance!C209</f>
        <v>0</v>
      </c>
      <c r="D209" s="281"/>
      <c r="E209" s="272"/>
      <c r="F209" s="79">
        <f t="shared" si="40"/>
        <v>0</v>
      </c>
      <c r="G209" s="47">
        <f>SUMIF(JournalsB!D$14:D$920,TrialBalanceB!M209,JournalsB!J$14:J$920)+SUMIF(JournalsB!E$14:E$920,TrialBalanceB!M209,JournalsB!J$14:J$920)</f>
        <v>0</v>
      </c>
      <c r="H209" s="288"/>
      <c r="I209" s="290">
        <f t="shared" si="39"/>
        <v>0</v>
      </c>
      <c r="J209" s="91"/>
      <c r="K209" s="48">
        <f t="shared" si="45"/>
        <v>0</v>
      </c>
      <c r="M209" s="140" t="str">
        <f t="shared" si="46"/>
        <v>5550/0070</v>
      </c>
      <c r="N209" s="70"/>
      <c r="P209" s="71"/>
      <c r="Q209" s="51"/>
      <c r="R209" s="31"/>
    </row>
    <row r="210" spans="1:18" x14ac:dyDescent="0.2">
      <c r="A210" s="238"/>
      <c r="B210" s="90" t="s">
        <v>592</v>
      </c>
      <c r="C210" s="276">
        <f>TrialBalance!C210</f>
        <v>0</v>
      </c>
      <c r="D210" s="281"/>
      <c r="E210" s="272"/>
      <c r="F210" s="79">
        <f t="shared" si="40"/>
        <v>0</v>
      </c>
      <c r="G210" s="47">
        <f>SUMIF(JournalsB!D$14:D$920,TrialBalanceB!M210,JournalsB!J$14:J$920)+SUMIF(JournalsB!E$14:E$920,TrialBalanceB!M210,JournalsB!J$14:J$920)</f>
        <v>0</v>
      </c>
      <c r="H210" s="288"/>
      <c r="I210" s="290">
        <f>ROUND(D210-E210+G210+F210,0)</f>
        <v>0</v>
      </c>
      <c r="J210" s="75"/>
      <c r="K210" s="48">
        <f t="shared" si="45"/>
        <v>0</v>
      </c>
      <c r="M210" s="140" t="str">
        <f t="shared" si="46"/>
        <v>5550/0080</v>
      </c>
      <c r="N210" s="70"/>
      <c r="P210" s="71"/>
      <c r="Q210" s="51"/>
      <c r="R210" s="31"/>
    </row>
    <row r="211" spans="1:18" x14ac:dyDescent="0.2">
      <c r="A211" s="238"/>
      <c r="B211" s="90" t="s">
        <v>593</v>
      </c>
      <c r="C211" s="276">
        <f>TrialBalance!C211</f>
        <v>0</v>
      </c>
      <c r="D211" s="274"/>
      <c r="E211" s="272"/>
      <c r="F211" s="79">
        <f t="shared" si="40"/>
        <v>0</v>
      </c>
      <c r="G211" s="47">
        <f>SUMIF(JournalsB!D$14:D$920,TrialBalanceB!M211,JournalsB!J$14:J$920)+SUMIF(JournalsB!E$14:E$920,TrialBalanceB!M211,JournalsB!J$14:J$920)</f>
        <v>0</v>
      </c>
      <c r="H211" s="288"/>
      <c r="I211" s="290">
        <f t="shared" si="39"/>
        <v>0</v>
      </c>
      <c r="J211" s="91"/>
      <c r="K211" s="48">
        <f t="shared" si="45"/>
        <v>0</v>
      </c>
      <c r="M211" s="140" t="str">
        <f t="shared" si="46"/>
        <v>5550/0090</v>
      </c>
      <c r="N211" s="70"/>
      <c r="P211" s="71"/>
      <c r="Q211" s="51"/>
      <c r="R211" s="31"/>
    </row>
    <row r="212" spans="1:18" x14ac:dyDescent="0.2">
      <c r="A212" s="238"/>
      <c r="B212" s="90" t="s">
        <v>613</v>
      </c>
      <c r="C212" s="276">
        <f>TrialBalance!C212</f>
        <v>0</v>
      </c>
      <c r="D212" s="287"/>
      <c r="E212" s="272"/>
      <c r="F212" s="79">
        <f t="shared" si="40"/>
        <v>0</v>
      </c>
      <c r="G212" s="47">
        <f>SUMIF(JournalsB!D$14:D$920,TrialBalanceB!M212,JournalsB!J$14:J$920)+SUMIF(JournalsB!E$14:E$920,TrialBalanceB!M212,JournalsB!J$14:J$920)</f>
        <v>0</v>
      </c>
      <c r="H212" s="288"/>
      <c r="I212" s="290">
        <f t="shared" si="39"/>
        <v>0</v>
      </c>
      <c r="J212" s="75"/>
      <c r="K212" s="48">
        <f t="shared" si="45"/>
        <v>0</v>
      </c>
      <c r="M212" s="140" t="str">
        <f t="shared" si="46"/>
        <v>5550/0100</v>
      </c>
      <c r="N212" s="70"/>
      <c r="P212" s="71"/>
      <c r="Q212" s="51"/>
      <c r="R212" s="31"/>
    </row>
    <row r="213" spans="1:18" x14ac:dyDescent="0.2">
      <c r="A213" s="238"/>
      <c r="B213" s="90" t="s">
        <v>626</v>
      </c>
      <c r="C213" s="276">
        <f>TrialBalance!C213</f>
        <v>0</v>
      </c>
      <c r="D213" s="287"/>
      <c r="E213" s="272"/>
      <c r="F213" s="79">
        <f t="shared" si="40"/>
        <v>0</v>
      </c>
      <c r="G213" s="47">
        <f>SUMIF(JournalsB!D$14:D$920,TrialBalanceB!M213,JournalsB!J$14:J$920)+SUMIF(JournalsB!E$14:E$920,TrialBalanceB!M213,JournalsB!J$14:J$920)</f>
        <v>0</v>
      </c>
      <c r="H213" s="288"/>
      <c r="I213" s="290">
        <f t="shared" si="39"/>
        <v>0</v>
      </c>
      <c r="J213" s="75"/>
      <c r="K213" s="48">
        <f t="shared" si="45"/>
        <v>0</v>
      </c>
      <c r="M213" s="140" t="str">
        <f t="shared" si="46"/>
        <v>5550/0110</v>
      </c>
      <c r="N213" s="70"/>
      <c r="P213" s="71"/>
      <c r="Q213" s="51"/>
      <c r="R213" s="31"/>
    </row>
    <row r="214" spans="1:18" x14ac:dyDescent="0.2">
      <c r="A214" s="238"/>
      <c r="B214" s="90" t="s">
        <v>627</v>
      </c>
      <c r="C214" s="276">
        <f>TrialBalance!C214</f>
        <v>0</v>
      </c>
      <c r="D214" s="287"/>
      <c r="E214" s="272"/>
      <c r="F214" s="79">
        <f t="shared" si="40"/>
        <v>0</v>
      </c>
      <c r="G214" s="47">
        <f>SUMIF(JournalsB!D$14:D$920,TrialBalanceB!M214,JournalsB!J$14:J$920)+SUMIF(JournalsB!E$14:E$920,TrialBalanceB!M214,JournalsB!J$14:J$920)</f>
        <v>0</v>
      </c>
      <c r="H214" s="288"/>
      <c r="I214" s="290">
        <f t="shared" si="39"/>
        <v>0</v>
      </c>
      <c r="J214" s="75"/>
      <c r="K214" s="48">
        <f t="shared" si="45"/>
        <v>0</v>
      </c>
      <c r="M214" s="140" t="str">
        <f t="shared" si="46"/>
        <v>5550/0120</v>
      </c>
      <c r="N214" s="70"/>
      <c r="P214" s="71"/>
      <c r="Q214" s="51"/>
      <c r="R214" s="31"/>
    </row>
    <row r="215" spans="1:18" x14ac:dyDescent="0.2">
      <c r="A215" s="238"/>
      <c r="B215" s="90" t="s">
        <v>628</v>
      </c>
      <c r="C215" s="276">
        <f>TrialBalance!C215</f>
        <v>0</v>
      </c>
      <c r="D215" s="287"/>
      <c r="E215" s="272"/>
      <c r="F215" s="79">
        <f t="shared" si="40"/>
        <v>0</v>
      </c>
      <c r="G215" s="47">
        <f>SUMIF(JournalsB!D$14:D$920,TrialBalanceB!M215,JournalsB!J$14:J$920)+SUMIF(JournalsB!E$14:E$920,TrialBalanceB!M215,JournalsB!J$14:J$920)</f>
        <v>0</v>
      </c>
      <c r="H215" s="288"/>
      <c r="I215" s="290">
        <f t="shared" si="39"/>
        <v>0</v>
      </c>
      <c r="J215" s="75"/>
      <c r="K215" s="48">
        <f t="shared" si="45"/>
        <v>0</v>
      </c>
      <c r="M215" s="140" t="str">
        <f t="shared" si="46"/>
        <v>5550/0130</v>
      </c>
      <c r="N215" s="70"/>
      <c r="P215" s="71"/>
      <c r="Q215" s="51"/>
      <c r="R215" s="31"/>
    </row>
    <row r="216" spans="1:18" x14ac:dyDescent="0.2">
      <c r="A216" s="238"/>
      <c r="B216" s="90" t="s">
        <v>629</v>
      </c>
      <c r="C216" s="276">
        <f>TrialBalance!C216</f>
        <v>0</v>
      </c>
      <c r="D216" s="283"/>
      <c r="E216" s="272"/>
      <c r="F216" s="79">
        <f t="shared" si="40"/>
        <v>0</v>
      </c>
      <c r="G216" s="47">
        <f>SUMIF(JournalsB!D$14:D$920,TrialBalanceB!M216,JournalsB!J$14:J$920)+SUMIF(JournalsB!E$14:E$920,TrialBalanceB!M216,JournalsB!J$14:J$920)</f>
        <v>0</v>
      </c>
      <c r="H216" s="288"/>
      <c r="I216" s="290">
        <f t="shared" si="39"/>
        <v>0</v>
      </c>
      <c r="J216" s="75"/>
      <c r="K216" s="48">
        <f t="shared" si="45"/>
        <v>0</v>
      </c>
      <c r="M216" s="140" t="str">
        <f t="shared" si="46"/>
        <v>5550/0140</v>
      </c>
      <c r="N216" s="70"/>
      <c r="P216" s="71"/>
      <c r="Q216" s="51"/>
      <c r="R216" s="31"/>
    </row>
    <row r="217" spans="1:18" x14ac:dyDescent="0.2">
      <c r="A217" s="238"/>
      <c r="B217" s="90" t="s">
        <v>630</v>
      </c>
      <c r="C217" s="276">
        <f>TrialBalance!C217</f>
        <v>0</v>
      </c>
      <c r="D217" s="282"/>
      <c r="E217" s="272"/>
      <c r="F217" s="79">
        <f>K217</f>
        <v>0</v>
      </c>
      <c r="G217" s="47">
        <f>SUMIF(JournalsB!D$14:D$920,TrialBalanceB!M217,JournalsB!J$14:J$920)+SUMIF(JournalsB!E$14:E$920,TrialBalanceB!M217,JournalsB!J$14:J$920)</f>
        <v>0</v>
      </c>
      <c r="H217" s="288"/>
      <c r="I217" s="290">
        <f t="shared" si="39"/>
        <v>0</v>
      </c>
      <c r="J217" s="75"/>
      <c r="K217" s="48">
        <f t="shared" si="45"/>
        <v>0</v>
      </c>
      <c r="M217" s="140" t="str">
        <f t="shared" si="46"/>
        <v>5550/0150</v>
      </c>
      <c r="N217" s="70"/>
      <c r="P217" s="71"/>
      <c r="Q217" s="51"/>
      <c r="R217" s="31"/>
    </row>
    <row r="218" spans="1:18" x14ac:dyDescent="0.2">
      <c r="A218" s="238"/>
      <c r="B218" s="90" t="s">
        <v>631</v>
      </c>
      <c r="C218" s="276">
        <f>TrialBalance!C218</f>
        <v>0</v>
      </c>
      <c r="D218" s="272"/>
      <c r="E218" s="272"/>
      <c r="F218" s="79">
        <f>K218</f>
        <v>0</v>
      </c>
      <c r="G218" s="47">
        <f>SUMIF(JournalsB!D$14:D$920,TrialBalanceB!M218,JournalsB!J$14:J$920)+SUMIF(JournalsB!E$14:E$920,TrialBalanceB!M218,JournalsB!J$14:J$920)</f>
        <v>0</v>
      </c>
      <c r="H218" s="288"/>
      <c r="I218" s="290">
        <f t="shared" si="39"/>
        <v>0</v>
      </c>
      <c r="J218" s="75"/>
      <c r="K218" s="48">
        <f t="shared" si="45"/>
        <v>0</v>
      </c>
      <c r="M218" s="140" t="str">
        <f t="shared" si="46"/>
        <v>5550/0160</v>
      </c>
      <c r="N218" s="70"/>
      <c r="P218" s="71"/>
      <c r="Q218" s="51"/>
      <c r="R218" s="31"/>
    </row>
    <row r="219" spans="1:18" x14ac:dyDescent="0.2">
      <c r="A219" s="238"/>
      <c r="B219" s="90" t="s">
        <v>632</v>
      </c>
      <c r="C219" s="276">
        <f>TrialBalance!C219</f>
        <v>0</v>
      </c>
      <c r="D219" s="274"/>
      <c r="E219" s="272"/>
      <c r="F219" s="79">
        <f>K219</f>
        <v>0</v>
      </c>
      <c r="G219" s="47">
        <f>SUMIF(JournalsB!D$14:D$920,TrialBalanceB!M219,JournalsB!J$14:J$920)+SUMIF(JournalsB!E$14:E$920,TrialBalanceB!M219,JournalsB!J$14:J$920)</f>
        <v>0</v>
      </c>
      <c r="H219" s="288"/>
      <c r="I219" s="290">
        <f t="shared" si="39"/>
        <v>0</v>
      </c>
      <c r="J219" s="75"/>
      <c r="K219" s="48">
        <f t="shared" si="45"/>
        <v>0</v>
      </c>
      <c r="M219" s="140" t="str">
        <f t="shared" si="46"/>
        <v>5550/0170</v>
      </c>
      <c r="N219" s="70"/>
      <c r="P219" s="71"/>
      <c r="Q219" s="51"/>
      <c r="R219" s="31"/>
    </row>
    <row r="220" spans="1:18" x14ac:dyDescent="0.2">
      <c r="A220" s="238"/>
      <c r="B220" s="54" t="s">
        <v>132</v>
      </c>
      <c r="C220" s="240" t="s">
        <v>178</v>
      </c>
      <c r="D220" s="282"/>
      <c r="E220" s="272"/>
      <c r="F220" s="79"/>
      <c r="G220" s="47">
        <f>SUMIF(JournalsB!D$14:D$920,TrialBalanceB!M220,JournalsB!J$14:J$920)+SUMIF(JournalsB!E$14:E$920,TrialBalanceB!M220,JournalsB!J$14:J$920)</f>
        <v>0</v>
      </c>
      <c r="H220" s="288"/>
      <c r="I220" s="290">
        <f t="shared" si="39"/>
        <v>0</v>
      </c>
      <c r="J220" s="75"/>
      <c r="K220" s="48">
        <f t="shared" si="45"/>
        <v>0</v>
      </c>
      <c r="M220" s="140" t="str">
        <f t="shared" si="46"/>
        <v>5700/000DEFERRED TAX</v>
      </c>
      <c r="N220" s="70"/>
      <c r="P220" s="71"/>
      <c r="Q220" s="51"/>
      <c r="R220" s="31"/>
    </row>
    <row r="221" spans="1:18" x14ac:dyDescent="0.2">
      <c r="A221" s="238"/>
      <c r="B221" s="54" t="s">
        <v>133</v>
      </c>
      <c r="C221" s="242" t="s">
        <v>498</v>
      </c>
      <c r="D221" s="284"/>
      <c r="E221" s="272"/>
      <c r="F221" s="79">
        <f>K221+K223+K225+K227</f>
        <v>0</v>
      </c>
      <c r="G221" s="47">
        <f>SUMIF(JournalsB!D$14:D$920,TrialBalanceB!M221,JournalsB!J$14:J$920)+SUMIF(JournalsB!E$14:E$920,TrialBalanceB!M221,JournalsB!J$14:J$920)</f>
        <v>0</v>
      </c>
      <c r="H221" s="288"/>
      <c r="I221" s="290">
        <f t="shared" si="39"/>
        <v>0</v>
      </c>
      <c r="J221" s="75"/>
      <c r="K221" s="48">
        <f t="shared" si="45"/>
        <v>0</v>
      </c>
      <c r="M221" s="140" t="str">
        <f t="shared" si="46"/>
        <v>5700/010Deferred tax balance  depreciation b/fwd</v>
      </c>
      <c r="N221" s="70"/>
      <c r="P221" s="71"/>
      <c r="Q221" s="51"/>
      <c r="R221" s="31"/>
    </row>
    <row r="222" spans="1:18" x14ac:dyDescent="0.2">
      <c r="A222" s="238"/>
      <c r="B222" s="90" t="s">
        <v>594</v>
      </c>
      <c r="C222" s="242" t="s">
        <v>499</v>
      </c>
      <c r="D222" s="284"/>
      <c r="E222" s="272"/>
      <c r="F222" s="79">
        <f>K222+K224+K226+K228</f>
        <v>0</v>
      </c>
      <c r="G222" s="47">
        <f>SUMIF(JournalsB!D$14:D$920,TrialBalanceB!M222,JournalsB!J$14:J$920)+SUMIF(JournalsB!E$14:E$920,TrialBalanceB!M222,JournalsB!J$14:J$920)</f>
        <v>0</v>
      </c>
      <c r="H222" s="288"/>
      <c r="I222" s="290">
        <f t="shared" si="39"/>
        <v>0</v>
      </c>
      <c r="J222" s="75"/>
      <c r="K222" s="48">
        <f t="shared" si="45"/>
        <v>0</v>
      </c>
      <c r="M222" s="140" t="str">
        <f t="shared" si="46"/>
        <v>5700/020Deferred tax balance  tax loss b/fwd</v>
      </c>
      <c r="N222" s="70"/>
      <c r="P222" s="71"/>
      <c r="Q222" s="51"/>
      <c r="R222" s="31"/>
    </row>
    <row r="223" spans="1:18" x14ac:dyDescent="0.2">
      <c r="A223" s="238"/>
      <c r="B223" s="90" t="s">
        <v>950</v>
      </c>
      <c r="C223" s="242" t="s">
        <v>951</v>
      </c>
      <c r="D223" s="284"/>
      <c r="E223" s="272"/>
      <c r="F223" s="79"/>
      <c r="G223" s="47">
        <f>SUMIF(JournalsB!D$14:D$920,TrialBalanceB!M223,JournalsB!J$14:J$920)+SUMIF(JournalsB!E$14:E$920,TrialBalanceB!M223,JournalsB!J$14:J$920)</f>
        <v>0</v>
      </c>
      <c r="H223" s="288"/>
      <c r="I223" s="290">
        <f t="shared" ref="I223:I224" si="47">ROUND(D223-E223+G223+F223,0)</f>
        <v>0</v>
      </c>
      <c r="J223" s="75"/>
      <c r="K223" s="48">
        <f t="shared" ref="K223:K224" si="48">ROUND(SUM(A223),0)</f>
        <v>0</v>
      </c>
      <c r="M223" s="140" t="str">
        <f t="shared" ref="M223:M224" si="49">CONCATENATE(B223,C223)</f>
        <v>5700/021Opening balance depreciation tax rate change</v>
      </c>
      <c r="N223" s="70"/>
      <c r="P223" s="71"/>
      <c r="Q223" s="51"/>
      <c r="R223" s="31"/>
    </row>
    <row r="224" spans="1:18" x14ac:dyDescent="0.2">
      <c r="A224" s="238"/>
      <c r="B224" s="90" t="s">
        <v>952</v>
      </c>
      <c r="C224" s="242" t="s">
        <v>953</v>
      </c>
      <c r="D224" s="284"/>
      <c r="E224" s="272"/>
      <c r="F224" s="79"/>
      <c r="G224" s="47">
        <f>SUMIF(JournalsB!D$14:D$920,TrialBalanceB!M224,JournalsB!J$14:J$920)+SUMIF(JournalsB!E$14:E$920,TrialBalanceB!M224,JournalsB!J$14:J$920)</f>
        <v>0</v>
      </c>
      <c r="H224" s="288"/>
      <c r="I224" s="290">
        <f t="shared" si="47"/>
        <v>0</v>
      </c>
      <c r="J224" s="75"/>
      <c r="K224" s="48">
        <f t="shared" si="48"/>
        <v>0</v>
      </c>
      <c r="M224" s="140" t="str">
        <f t="shared" si="49"/>
        <v>5700/022Opening balance tax loss tax rate change</v>
      </c>
      <c r="N224" s="70"/>
      <c r="P224" s="71"/>
      <c r="Q224" s="51"/>
      <c r="R224" s="31"/>
    </row>
    <row r="225" spans="1:18" x14ac:dyDescent="0.2">
      <c r="A225" s="238"/>
      <c r="B225" s="90" t="s">
        <v>595</v>
      </c>
      <c r="C225" s="240" t="s">
        <v>134</v>
      </c>
      <c r="D225" s="282"/>
      <c r="E225" s="272"/>
      <c r="F225" s="79"/>
      <c r="G225" s="47">
        <f>SUMIF(JournalsB!D$14:D$920,TrialBalanceB!M225,JournalsB!J$14:J$920)+SUMIF(JournalsB!E$14:E$920,TrialBalanceB!M225,JournalsB!J$14:J$920)</f>
        <v>0</v>
      </c>
      <c r="H225" s="288"/>
      <c r="I225" s="290">
        <f t="shared" si="39"/>
        <v>0</v>
      </c>
      <c r="J225" s="75"/>
      <c r="K225" s="48">
        <f t="shared" si="45"/>
        <v>0</v>
      </c>
      <c r="M225" s="140" t="str">
        <f t="shared" si="46"/>
        <v>5700/030Deferred tax on depreciation for year</v>
      </c>
      <c r="N225" s="70"/>
      <c r="P225" s="71"/>
      <c r="Q225" s="51"/>
      <c r="R225" s="31"/>
    </row>
    <row r="226" spans="1:18" x14ac:dyDescent="0.2">
      <c r="A226" s="238"/>
      <c r="B226" s="90" t="s">
        <v>596</v>
      </c>
      <c r="C226" s="240" t="s">
        <v>135</v>
      </c>
      <c r="D226" s="282"/>
      <c r="E226" s="272"/>
      <c r="F226" s="79"/>
      <c r="G226" s="47">
        <f>SUMIF(JournalsB!D$14:D$920,TrialBalanceB!M226,JournalsB!J$14:J$920)+SUMIF(JournalsB!E$14:E$920,TrialBalanceB!M226,JournalsB!J$14:J$920)</f>
        <v>0</v>
      </c>
      <c r="H226" s="288"/>
      <c r="I226" s="290">
        <f t="shared" si="39"/>
        <v>0</v>
      </c>
      <c r="J226" s="75"/>
      <c r="K226" s="48">
        <f t="shared" si="45"/>
        <v>0</v>
      </c>
      <c r="M226" s="140" t="str">
        <f t="shared" si="46"/>
        <v>5700/040Deferred tax on tax loss for year</v>
      </c>
      <c r="N226" s="70"/>
      <c r="P226" s="71"/>
      <c r="Q226" s="51"/>
      <c r="R226" s="31"/>
    </row>
    <row r="227" spans="1:18" x14ac:dyDescent="0.2">
      <c r="A227" s="238"/>
      <c r="B227" s="90" t="s">
        <v>597</v>
      </c>
      <c r="C227" s="242" t="s">
        <v>576</v>
      </c>
      <c r="D227" s="284"/>
      <c r="E227" s="272"/>
      <c r="F227" s="79"/>
      <c r="G227" s="47">
        <f>SUMIF(JournalsB!D$14:D$920,TrialBalanceB!M227,JournalsB!J$14:J$920)+SUMIF(JournalsB!E$14:E$920,TrialBalanceB!M227,JournalsB!J$14:J$920)</f>
        <v>0</v>
      </c>
      <c r="H227" s="288"/>
      <c r="I227" s="290">
        <f t="shared" si="39"/>
        <v>0</v>
      </c>
      <c r="J227" s="75"/>
      <c r="K227" s="48">
        <f t="shared" si="45"/>
        <v>0</v>
      </c>
      <c r="M227" s="140" t="str">
        <f t="shared" si="46"/>
        <v>5700/050Def tax adj  depreciation previous year</v>
      </c>
      <c r="N227" s="70"/>
      <c r="P227" s="71"/>
      <c r="Q227" s="51"/>
      <c r="R227" s="31"/>
    </row>
    <row r="228" spans="1:18" x14ac:dyDescent="0.2">
      <c r="A228" s="238"/>
      <c r="B228" s="90" t="s">
        <v>598</v>
      </c>
      <c r="C228" s="242" t="s">
        <v>577</v>
      </c>
      <c r="D228" s="284"/>
      <c r="E228" s="272"/>
      <c r="F228" s="79"/>
      <c r="G228" s="47">
        <f>SUMIF(JournalsB!D$14:D$920,TrialBalanceB!M228,JournalsB!J$14:J$920)+SUMIF(JournalsB!E$14:E$920,TrialBalanceB!M228,JournalsB!J$14:J$920)</f>
        <v>0</v>
      </c>
      <c r="H228" s="288"/>
      <c r="I228" s="290">
        <f t="shared" si="39"/>
        <v>0</v>
      </c>
      <c r="J228" s="75"/>
      <c r="K228" s="48">
        <f t="shared" si="45"/>
        <v>0</v>
      </c>
      <c r="M228" s="140" t="str">
        <f t="shared" si="46"/>
        <v>5700/060Def tax adj tax loss previous year</v>
      </c>
      <c r="N228" s="70"/>
      <c r="P228" s="71"/>
      <c r="Q228" s="51"/>
      <c r="R228" s="31"/>
    </row>
    <row r="229" spans="1:18" x14ac:dyDescent="0.2">
      <c r="A229" s="238"/>
      <c r="B229" s="54" t="s">
        <v>136</v>
      </c>
      <c r="C229" s="239" t="s">
        <v>980</v>
      </c>
      <c r="D229" s="283"/>
      <c r="E229" s="272"/>
      <c r="F229" s="79"/>
      <c r="G229" s="47">
        <f>SUMIF(JournalsB!D$14:D$920,TrialBalanceB!M229,JournalsB!J$14:J$920)+SUMIF(JournalsB!E$14:E$920,TrialBalanceB!M229,JournalsB!J$14:J$920)</f>
        <v>0</v>
      </c>
      <c r="H229" s="288"/>
      <c r="I229" s="290">
        <f t="shared" si="39"/>
        <v>0</v>
      </c>
      <c r="J229" s="75"/>
      <c r="K229" s="48">
        <f t="shared" si="45"/>
        <v>0</v>
      </c>
      <c r="M229" s="140" t="str">
        <f t="shared" si="46"/>
        <v>6100/000PROPERTY - COST</v>
      </c>
      <c r="N229" s="70"/>
      <c r="P229" s="71"/>
      <c r="Q229" s="51"/>
      <c r="R229" s="31"/>
    </row>
    <row r="230" spans="1:18" x14ac:dyDescent="0.2">
      <c r="A230" s="238"/>
      <c r="B230" s="54" t="s">
        <v>137</v>
      </c>
      <c r="C230" s="242" t="s">
        <v>975</v>
      </c>
      <c r="D230" s="282"/>
      <c r="E230" s="272"/>
      <c r="F230" s="79">
        <f>SUM(K230:K234)</f>
        <v>0</v>
      </c>
      <c r="G230" s="47">
        <f>SUMIF(JournalsB!D$14:D$920,TrialBalanceB!M230,JournalsB!J$14:J$920)+SUMIF(JournalsB!E$14:E$920,TrialBalanceB!M230,JournalsB!J$14:J$920)</f>
        <v>0</v>
      </c>
      <c r="H230" s="288"/>
      <c r="I230" s="290">
        <f t="shared" si="39"/>
        <v>0</v>
      </c>
      <c r="J230" s="75"/>
      <c r="K230" s="48">
        <f t="shared" si="45"/>
        <v>0</v>
      </c>
      <c r="M230" s="140" t="str">
        <f t="shared" si="46"/>
        <v>6100/001Property - cost b/fwd</v>
      </c>
      <c r="N230" s="70"/>
      <c r="P230" s="71"/>
      <c r="Q230" s="51"/>
      <c r="R230" s="31"/>
    </row>
    <row r="231" spans="1:18" x14ac:dyDescent="0.2">
      <c r="A231" s="238"/>
      <c r="B231" s="54" t="s">
        <v>138</v>
      </c>
      <c r="C231" s="242" t="s">
        <v>976</v>
      </c>
      <c r="D231" s="282"/>
      <c r="E231" s="272"/>
      <c r="F231" s="79"/>
      <c r="G231" s="47">
        <f>SUMIF(JournalsB!D$14:D$920,TrialBalanceB!M231,JournalsB!J$14:J$920)+SUMIF(JournalsB!E$14:E$920,TrialBalanceB!M231,JournalsB!J$14:J$920)</f>
        <v>0</v>
      </c>
      <c r="H231" s="288"/>
      <c r="I231" s="290">
        <f t="shared" si="39"/>
        <v>0</v>
      </c>
      <c r="J231" s="75"/>
      <c r="K231" s="48">
        <f t="shared" si="45"/>
        <v>0</v>
      </c>
      <c r="M231" s="140" t="str">
        <f t="shared" si="46"/>
        <v>6100/002Property - additions</v>
      </c>
      <c r="N231" s="70"/>
      <c r="P231" s="71"/>
      <c r="Q231" s="51"/>
      <c r="R231" s="31"/>
    </row>
    <row r="232" spans="1:18" x14ac:dyDescent="0.2">
      <c r="A232" s="238"/>
      <c r="B232" s="54" t="s">
        <v>139</v>
      </c>
      <c r="C232" s="242" t="s">
        <v>977</v>
      </c>
      <c r="D232" s="282"/>
      <c r="E232" s="272"/>
      <c r="F232" s="79"/>
      <c r="G232" s="47">
        <f>SUMIF(JournalsB!D$14:D$920,TrialBalanceB!M232,JournalsB!J$14:J$920)+SUMIF(JournalsB!E$14:E$920,TrialBalanceB!M232,JournalsB!J$14:J$920)</f>
        <v>0</v>
      </c>
      <c r="H232" s="288"/>
      <c r="I232" s="290">
        <f t="shared" si="39"/>
        <v>0</v>
      </c>
      <c r="J232" s="75"/>
      <c r="K232" s="48">
        <f t="shared" si="45"/>
        <v>0</v>
      </c>
      <c r="M232" s="140" t="str">
        <f t="shared" si="46"/>
        <v>6100/003Property - cost of sales</v>
      </c>
      <c r="N232" s="70"/>
      <c r="P232" s="71"/>
      <c r="Q232" s="51"/>
      <c r="R232" s="31"/>
    </row>
    <row r="233" spans="1:18" x14ac:dyDescent="0.2">
      <c r="A233" s="238"/>
      <c r="B233" s="90" t="s">
        <v>871</v>
      </c>
      <c r="C233" s="242" t="s">
        <v>978</v>
      </c>
      <c r="D233" s="282"/>
      <c r="E233" s="272"/>
      <c r="F233" s="79"/>
      <c r="G233" s="47">
        <f>SUMIF(JournalsB!D$14:D$920,TrialBalanceB!M233,JournalsB!J$14:J$920)+SUMIF(JournalsB!E$14:E$920,TrialBalanceB!M233,JournalsB!J$14:J$920)</f>
        <v>0</v>
      </c>
      <c r="H233" s="288"/>
      <c r="I233" s="290">
        <f t="shared" ref="I233" si="50">ROUND(D233-E233+G233+F233,0)</f>
        <v>0</v>
      </c>
      <c r="J233" s="75"/>
      <c r="K233" s="48">
        <f t="shared" ref="K233" si="51">ROUND(SUM(A233),0)</f>
        <v>0</v>
      </c>
      <c r="M233" s="140" t="str">
        <f t="shared" ref="M233" si="52">CONCATENATE(B233,C233)</f>
        <v>6100/004Property - transfer to investment property</v>
      </c>
      <c r="N233" s="70"/>
      <c r="P233" s="71"/>
      <c r="Q233" s="51"/>
      <c r="R233" s="31"/>
    </row>
    <row r="234" spans="1:18" x14ac:dyDescent="0.2">
      <c r="A234" s="238"/>
      <c r="B234" s="90" t="s">
        <v>939</v>
      </c>
      <c r="C234" s="242" t="s">
        <v>979</v>
      </c>
      <c r="D234" s="282"/>
      <c r="E234" s="272"/>
      <c r="F234" s="79"/>
      <c r="G234" s="47">
        <f>SUMIF(JournalsB!D$14:D$920,TrialBalanceB!M234,JournalsB!J$14:J$920)+SUMIF(JournalsB!E$14:E$920,TrialBalanceB!M234,JournalsB!J$14:J$920)</f>
        <v>0</v>
      </c>
      <c r="H234" s="288"/>
      <c r="I234" s="290">
        <f t="shared" ref="I234" si="53">ROUND(D234-E234+G234+F234,0)</f>
        <v>0</v>
      </c>
      <c r="J234" s="75"/>
      <c r="K234" s="48">
        <f t="shared" ref="K234" si="54">ROUND(SUM(A234),0)</f>
        <v>0</v>
      </c>
      <c r="M234" s="140" t="str">
        <f t="shared" ref="M234" si="55">CONCATENATE(B234,C234)</f>
        <v>6100/005Property - transfer from investment property</v>
      </c>
      <c r="N234" s="70"/>
      <c r="P234" s="71"/>
      <c r="Q234" s="51"/>
      <c r="R234" s="31"/>
    </row>
    <row r="235" spans="1:18" x14ac:dyDescent="0.2">
      <c r="A235" s="238"/>
      <c r="B235" s="54" t="s">
        <v>259</v>
      </c>
      <c r="C235" s="239" t="s">
        <v>981</v>
      </c>
      <c r="D235" s="283"/>
      <c r="E235" s="272"/>
      <c r="F235" s="79"/>
      <c r="G235" s="47">
        <f>SUMIF(JournalsB!D$14:D$920,TrialBalanceB!M235,JournalsB!J$14:J$920)+SUMIF(JournalsB!E$14:E$920,TrialBalanceB!M235,JournalsB!J$14:J$920)</f>
        <v>0</v>
      </c>
      <c r="H235" s="288"/>
      <c r="I235" s="290">
        <f t="shared" si="39"/>
        <v>0</v>
      </c>
      <c r="J235" s="75"/>
      <c r="K235" s="48">
        <f t="shared" si="45"/>
        <v>0</v>
      </c>
      <c r="M235" s="140" t="str">
        <f t="shared" si="46"/>
        <v>6100/020PROPERTY - ACC DEPR</v>
      </c>
      <c r="N235" s="70"/>
      <c r="P235" s="71"/>
      <c r="Q235" s="51"/>
      <c r="R235" s="31"/>
    </row>
    <row r="236" spans="1:18" x14ac:dyDescent="0.2">
      <c r="A236" s="238"/>
      <c r="B236" s="54" t="s">
        <v>260</v>
      </c>
      <c r="C236" s="242" t="s">
        <v>982</v>
      </c>
      <c r="D236" s="282"/>
      <c r="E236" s="272"/>
      <c r="F236" s="79">
        <f>SUM(K236:K239)</f>
        <v>0</v>
      </c>
      <c r="G236" s="47">
        <f>SUMIF(JournalsB!D$14:D$920,TrialBalanceB!M236,JournalsB!J$14:J$920)+SUMIF(JournalsB!E$14:E$920,TrialBalanceB!M236,JournalsB!J$14:J$920)</f>
        <v>0</v>
      </c>
      <c r="H236" s="288"/>
      <c r="I236" s="290">
        <f t="shared" si="39"/>
        <v>0</v>
      </c>
      <c r="J236" s="75"/>
      <c r="K236" s="48">
        <f t="shared" si="45"/>
        <v>0</v>
      </c>
      <c r="M236" s="140" t="str">
        <f t="shared" si="46"/>
        <v>6100/021Property - acc depr b/fwd</v>
      </c>
      <c r="N236" s="70"/>
      <c r="P236" s="71"/>
      <c r="Q236" s="51"/>
      <c r="R236" s="31"/>
    </row>
    <row r="237" spans="1:18" x14ac:dyDescent="0.2">
      <c r="A237" s="238"/>
      <c r="B237" s="54" t="s">
        <v>261</v>
      </c>
      <c r="C237" s="242" t="s">
        <v>983</v>
      </c>
      <c r="D237" s="282"/>
      <c r="E237" s="272"/>
      <c r="F237" s="79"/>
      <c r="G237" s="47">
        <f>SUMIF(JournalsB!D$14:D$920,TrialBalanceB!M237,JournalsB!J$14:J$920)+SUMIF(JournalsB!E$14:E$920,TrialBalanceB!M237,JournalsB!J$14:J$920)</f>
        <v>0</v>
      </c>
      <c r="H237" s="288"/>
      <c r="I237" s="290">
        <f t="shared" si="39"/>
        <v>0</v>
      </c>
      <c r="J237" s="75"/>
      <c r="K237" s="48">
        <f t="shared" si="45"/>
        <v>0</v>
      </c>
      <c r="M237" s="140" t="str">
        <f t="shared" si="46"/>
        <v>6100/022Property - depr this year</v>
      </c>
      <c r="N237" s="70"/>
      <c r="P237" s="71"/>
      <c r="Q237" s="51"/>
      <c r="R237" s="31"/>
    </row>
    <row r="238" spans="1:18" x14ac:dyDescent="0.2">
      <c r="A238" s="238"/>
      <c r="B238" s="54" t="s">
        <v>263</v>
      </c>
      <c r="C238" s="242" t="s">
        <v>984</v>
      </c>
      <c r="D238" s="282"/>
      <c r="E238" s="272"/>
      <c r="F238" s="79"/>
      <c r="G238" s="47">
        <f>SUMIF(JournalsB!D$14:D$920,TrialBalanceB!M238,JournalsB!J$14:J$920)+SUMIF(JournalsB!E$14:E$920,TrialBalanceB!M238,JournalsB!J$14:J$920)</f>
        <v>0</v>
      </c>
      <c r="H238" s="288"/>
      <c r="I238" s="290">
        <f t="shared" si="39"/>
        <v>0</v>
      </c>
      <c r="J238" s="75"/>
      <c r="K238" s="48">
        <f t="shared" si="45"/>
        <v>0</v>
      </c>
      <c r="M238" s="140" t="str">
        <f t="shared" si="46"/>
        <v>6100/023Property - acc depr on sales</v>
      </c>
      <c r="N238" s="70"/>
      <c r="P238" s="71"/>
      <c r="Q238" s="51"/>
      <c r="R238" s="31"/>
    </row>
    <row r="239" spans="1:18" x14ac:dyDescent="0.2">
      <c r="A239" s="238"/>
      <c r="B239" s="90" t="s">
        <v>931</v>
      </c>
      <c r="C239" s="242" t="s">
        <v>985</v>
      </c>
      <c r="D239" s="282"/>
      <c r="E239" s="272"/>
      <c r="F239" s="79"/>
      <c r="G239" s="47">
        <f>SUMIF(JournalsB!D$14:D$920,TrialBalanceB!M239,JournalsB!J$14:J$920)+SUMIF(JournalsB!E$14:E$920,TrialBalanceB!M239,JournalsB!J$14:J$920)</f>
        <v>0</v>
      </c>
      <c r="H239" s="288"/>
      <c r="I239" s="290">
        <f t="shared" ref="I239" si="56">ROUND(D239-E239+G239+F239,0)</f>
        <v>0</v>
      </c>
      <c r="J239" s="75"/>
      <c r="K239" s="48">
        <f t="shared" ref="K239" si="57">ROUND(SUM(A239),0)</f>
        <v>0</v>
      </c>
      <c r="M239" s="140" t="str">
        <f t="shared" ref="M239" si="58">CONCATENATE(B239,C239)</f>
        <v>6100/024Property - recoupment of depr</v>
      </c>
      <c r="N239" s="70"/>
      <c r="P239" s="71"/>
      <c r="Q239" s="51"/>
      <c r="R239" s="31"/>
    </row>
    <row r="240" spans="1:18" x14ac:dyDescent="0.2">
      <c r="A240" s="238"/>
      <c r="B240" s="90" t="s">
        <v>652</v>
      </c>
      <c r="C240" s="239" t="s">
        <v>866</v>
      </c>
      <c r="D240" s="282"/>
      <c r="E240" s="272"/>
      <c r="F240" s="79"/>
      <c r="G240" s="47">
        <f>SUMIF(JournalsB!D$14:D$920,TrialBalanceB!M240,JournalsB!J$14:J$920)+SUMIF(JournalsB!E$14:E$920,TrialBalanceB!M240,JournalsB!J$14:J$920)</f>
        <v>0</v>
      </c>
      <c r="H240" s="288"/>
      <c r="I240" s="290">
        <f t="shared" ref="I240:I244" si="59">ROUND(D240-E240+G240+F240,0)</f>
        <v>0</v>
      </c>
      <c r="J240" s="75"/>
      <c r="K240" s="48">
        <f t="shared" ref="K240:K244" si="60">ROUND(SUM(A240),0)</f>
        <v>0</v>
      </c>
      <c r="M240" s="140" t="str">
        <f t="shared" ref="M240:M244" si="61">CONCATENATE(B240,C240)</f>
        <v>6100/030INVESTMENT PROPERTY - COST</v>
      </c>
      <c r="N240" s="70"/>
      <c r="P240" s="71"/>
      <c r="Q240" s="51"/>
      <c r="R240" s="31"/>
    </row>
    <row r="241" spans="1:18" x14ac:dyDescent="0.2">
      <c r="A241" s="238"/>
      <c r="B241" s="90" t="s">
        <v>653</v>
      </c>
      <c r="C241" s="242" t="s">
        <v>867</v>
      </c>
      <c r="D241" s="282"/>
      <c r="E241" s="272"/>
      <c r="F241" s="79">
        <f>SUM(K241:K245)</f>
        <v>0</v>
      </c>
      <c r="G241" s="47">
        <f>SUMIF(JournalsB!D$14:D$920,TrialBalanceB!M241,JournalsB!J$14:J$920)+SUMIF(JournalsB!E$14:E$920,TrialBalanceB!M241,JournalsB!J$14:J$920)</f>
        <v>0</v>
      </c>
      <c r="H241" s="288"/>
      <c r="I241" s="290">
        <f t="shared" si="59"/>
        <v>0</v>
      </c>
      <c r="J241" s="75"/>
      <c r="K241" s="48">
        <f t="shared" si="60"/>
        <v>0</v>
      </c>
      <c r="M241" s="140" t="str">
        <f t="shared" si="61"/>
        <v>6100/031Investment property - cost b/fwd</v>
      </c>
      <c r="N241" s="70"/>
      <c r="P241" s="71"/>
      <c r="Q241" s="51"/>
      <c r="R241" s="31"/>
    </row>
    <row r="242" spans="1:18" x14ac:dyDescent="0.2">
      <c r="A242" s="238"/>
      <c r="B242" s="90" t="s">
        <v>654</v>
      </c>
      <c r="C242" s="242" t="s">
        <v>868</v>
      </c>
      <c r="D242" s="282"/>
      <c r="E242" s="272"/>
      <c r="F242" s="79"/>
      <c r="G242" s="47">
        <f>SUMIF(JournalsB!D$14:D$920,TrialBalanceB!M242,JournalsB!J$14:J$920)+SUMIF(JournalsB!E$14:E$920,TrialBalanceB!M242,JournalsB!J$14:J$920)</f>
        <v>0</v>
      </c>
      <c r="H242" s="288"/>
      <c r="I242" s="290">
        <f t="shared" si="59"/>
        <v>0</v>
      </c>
      <c r="J242" s="75"/>
      <c r="K242" s="48">
        <f t="shared" si="60"/>
        <v>0</v>
      </c>
      <c r="M242" s="140" t="str">
        <f t="shared" si="61"/>
        <v>6100/032Investment property - additions</v>
      </c>
      <c r="N242" s="70"/>
      <c r="P242" s="71"/>
      <c r="Q242" s="51"/>
      <c r="R242" s="31"/>
    </row>
    <row r="243" spans="1:18" x14ac:dyDescent="0.2">
      <c r="A243" s="238"/>
      <c r="B243" s="90" t="s">
        <v>655</v>
      </c>
      <c r="C243" s="242" t="s">
        <v>869</v>
      </c>
      <c r="D243" s="282"/>
      <c r="E243" s="272"/>
      <c r="F243" s="79"/>
      <c r="G243" s="47">
        <f>SUMIF(JournalsB!D$14:D$920,TrialBalanceB!M243,JournalsB!J$14:J$920)+SUMIF(JournalsB!E$14:E$920,TrialBalanceB!M243,JournalsB!J$14:J$920)</f>
        <v>0</v>
      </c>
      <c r="H243" s="288"/>
      <c r="I243" s="290">
        <f t="shared" si="59"/>
        <v>0</v>
      </c>
      <c r="J243" s="75"/>
      <c r="K243" s="48">
        <f t="shared" si="60"/>
        <v>0</v>
      </c>
      <c r="M243" s="140" t="str">
        <f t="shared" si="61"/>
        <v>6100/033Investment property - cost of sales</v>
      </c>
      <c r="N243" s="70"/>
      <c r="P243" s="71"/>
      <c r="Q243" s="51"/>
      <c r="R243" s="31"/>
    </row>
    <row r="244" spans="1:18" x14ac:dyDescent="0.2">
      <c r="A244" s="238"/>
      <c r="B244" s="90" t="s">
        <v>923</v>
      </c>
      <c r="C244" s="242" t="s">
        <v>870</v>
      </c>
      <c r="D244" s="282"/>
      <c r="E244" s="272"/>
      <c r="F244" s="79"/>
      <c r="G244" s="47">
        <f>SUMIF(JournalsB!D$14:D$920,TrialBalanceB!M244,JournalsB!J$14:J$920)+SUMIF(JournalsB!E$14:E$920,TrialBalanceB!M244,JournalsB!J$14:J$920)</f>
        <v>0</v>
      </c>
      <c r="H244" s="288"/>
      <c r="I244" s="290">
        <f t="shared" si="59"/>
        <v>0</v>
      </c>
      <c r="J244" s="75"/>
      <c r="K244" s="48">
        <f t="shared" si="60"/>
        <v>0</v>
      </c>
      <c r="M244" s="140" t="str">
        <f t="shared" si="61"/>
        <v>6100/034Investment property - transfer from property</v>
      </c>
      <c r="N244" s="70"/>
      <c r="P244" s="71"/>
      <c r="Q244" s="51"/>
      <c r="R244" s="31"/>
    </row>
    <row r="245" spans="1:18" x14ac:dyDescent="0.2">
      <c r="A245" s="238"/>
      <c r="B245" s="90" t="s">
        <v>940</v>
      </c>
      <c r="C245" s="242" t="s">
        <v>941</v>
      </c>
      <c r="D245" s="282"/>
      <c r="E245" s="272"/>
      <c r="F245" s="79"/>
      <c r="G245" s="47">
        <f>SUMIF(JournalsB!D$14:D$920,TrialBalanceB!M245,JournalsB!J$14:J$920)+SUMIF(JournalsB!E$14:E$920,TrialBalanceB!M245,JournalsB!J$14:J$920)</f>
        <v>0</v>
      </c>
      <c r="H245" s="288"/>
      <c r="I245" s="290">
        <f t="shared" ref="I245" si="62">ROUND(D245-E245+G245+F245,0)</f>
        <v>0</v>
      </c>
      <c r="J245" s="75"/>
      <c r="K245" s="48">
        <f t="shared" ref="K245" si="63">ROUND(SUM(A245),0)</f>
        <v>0</v>
      </c>
      <c r="M245" s="140" t="str">
        <f t="shared" ref="M245" si="64">CONCATENATE(B245,C245)</f>
        <v>6100/035Investment property - transfer to property</v>
      </c>
      <c r="N245" s="70"/>
      <c r="P245" s="71"/>
      <c r="Q245" s="51"/>
      <c r="R245" s="31"/>
    </row>
    <row r="246" spans="1:18" x14ac:dyDescent="0.2">
      <c r="A246" s="238"/>
      <c r="B246" s="90" t="s">
        <v>924</v>
      </c>
      <c r="C246" s="239" t="s">
        <v>928</v>
      </c>
      <c r="D246" s="282"/>
      <c r="E246" s="272"/>
      <c r="F246" s="79"/>
      <c r="G246" s="47">
        <f>SUMIF(JournalsB!D$14:D$920,TrialBalanceB!M246,JournalsB!J$14:J$920)+SUMIF(JournalsB!E$14:E$920,TrialBalanceB!M246,JournalsB!J$14:J$920)</f>
        <v>0</v>
      </c>
      <c r="H246" s="288"/>
      <c r="I246" s="290">
        <f t="shared" ref="I246:I250" si="65">ROUND(D246-E246+G246+F246,0)</f>
        <v>0</v>
      </c>
      <c r="J246" s="75"/>
      <c r="K246" s="48">
        <f t="shared" ref="K246:K250" si="66">ROUND(SUM(A246),0)</f>
        <v>0</v>
      </c>
      <c r="M246" s="140" t="str">
        <f t="shared" ref="M246:M250" si="67">CONCATENATE(B246,C246)</f>
        <v>6100/040INVESTMENT PROPERTY - VALUATION</v>
      </c>
      <c r="N246" s="70"/>
      <c r="P246" s="71"/>
      <c r="Q246" s="51"/>
      <c r="R246" s="31"/>
    </row>
    <row r="247" spans="1:18" x14ac:dyDescent="0.2">
      <c r="A247" s="238"/>
      <c r="B247" s="90" t="s">
        <v>925</v>
      </c>
      <c r="C247" s="242" t="s">
        <v>929</v>
      </c>
      <c r="D247" s="282"/>
      <c r="E247" s="272"/>
      <c r="F247" s="79">
        <f>SUM(K247:K250)</f>
        <v>0</v>
      </c>
      <c r="G247" s="47">
        <f>SUMIF(JournalsB!D$14:D$920,TrialBalanceB!M247,JournalsB!J$14:J$920)+SUMIF(JournalsB!E$14:E$920,TrialBalanceB!M247,JournalsB!J$14:J$920)</f>
        <v>0</v>
      </c>
      <c r="H247" s="288"/>
      <c r="I247" s="290">
        <f t="shared" si="65"/>
        <v>0</v>
      </c>
      <c r="J247" s="75"/>
      <c r="K247" s="48">
        <f t="shared" si="66"/>
        <v>0</v>
      </c>
      <c r="M247" s="140" t="str">
        <f t="shared" si="67"/>
        <v>6100/041Investment property - valuation b/fwd</v>
      </c>
      <c r="N247" s="70"/>
      <c r="P247" s="71"/>
      <c r="Q247" s="51"/>
      <c r="R247" s="31"/>
    </row>
    <row r="248" spans="1:18" x14ac:dyDescent="0.2">
      <c r="A248" s="238"/>
      <c r="B248" s="90" t="s">
        <v>926</v>
      </c>
      <c r="C248" s="242" t="s">
        <v>930</v>
      </c>
      <c r="D248" s="282"/>
      <c r="E248" s="272"/>
      <c r="F248" s="79"/>
      <c r="G248" s="47">
        <f>SUMIF(JournalsB!D$14:D$920,TrialBalanceB!M248,JournalsB!J$14:J$920)+SUMIF(JournalsB!E$14:E$920,TrialBalanceB!M248,JournalsB!J$14:J$920)</f>
        <v>0</v>
      </c>
      <c r="H248" s="288"/>
      <c r="I248" s="290">
        <f t="shared" si="65"/>
        <v>0</v>
      </c>
      <c r="J248" s="75"/>
      <c r="K248" s="48">
        <f t="shared" si="66"/>
        <v>0</v>
      </c>
      <c r="M248" s="140" t="str">
        <f t="shared" si="67"/>
        <v>6100/042Investment property - valuation additions</v>
      </c>
      <c r="N248" s="70"/>
      <c r="P248" s="71"/>
      <c r="Q248" s="51"/>
      <c r="R248" s="31"/>
    </row>
    <row r="249" spans="1:18" x14ac:dyDescent="0.2">
      <c r="A249" s="238"/>
      <c r="B249" s="90" t="s">
        <v>927</v>
      </c>
      <c r="C249" s="242" t="s">
        <v>942</v>
      </c>
      <c r="D249" s="282"/>
      <c r="E249" s="272"/>
      <c r="F249" s="79"/>
      <c r="G249" s="47">
        <f>SUMIF(JournalsB!D$14:D$920,TrialBalanceB!M249,JournalsB!J$14:J$920)+SUMIF(JournalsB!E$14:E$920,TrialBalanceB!M249,JournalsB!J$14:J$920)</f>
        <v>0</v>
      </c>
      <c r="H249" s="288"/>
      <c r="I249" s="290">
        <f t="shared" ref="I249" si="68">ROUND(D249-E249+G249+F249,0)</f>
        <v>0</v>
      </c>
      <c r="J249" s="75"/>
      <c r="K249" s="48">
        <f t="shared" ref="K249" si="69">ROUND(SUM(A249),0)</f>
        <v>0</v>
      </c>
      <c r="M249" s="140" t="str">
        <f t="shared" ref="M249" si="70">CONCATENATE(B249,C249)</f>
        <v>6100/043Investment property - valuation reduction on sales</v>
      </c>
      <c r="N249" s="70"/>
      <c r="P249" s="71"/>
      <c r="Q249" s="51"/>
      <c r="R249" s="31"/>
    </row>
    <row r="250" spans="1:18" x14ac:dyDescent="0.2">
      <c r="A250" s="238"/>
      <c r="B250" s="90" t="s">
        <v>943</v>
      </c>
      <c r="C250" s="242" t="s">
        <v>944</v>
      </c>
      <c r="D250" s="282"/>
      <c r="E250" s="272"/>
      <c r="F250" s="79"/>
      <c r="G250" s="47">
        <f>SUMIF(JournalsB!D$14:D$920,TrialBalanceB!M250,JournalsB!J$14:J$920)+SUMIF(JournalsB!E$14:E$920,TrialBalanceB!M250,JournalsB!J$14:J$920)</f>
        <v>0</v>
      </c>
      <c r="H250" s="288"/>
      <c r="I250" s="290">
        <f t="shared" si="65"/>
        <v>0</v>
      </c>
      <c r="J250" s="75"/>
      <c r="K250" s="48">
        <f t="shared" si="66"/>
        <v>0</v>
      </c>
      <c r="M250" s="140" t="str">
        <f t="shared" si="67"/>
        <v>6100/044Investment property - valuation reduction on transfers</v>
      </c>
      <c r="N250" s="70"/>
      <c r="P250" s="71"/>
      <c r="Q250" s="51"/>
      <c r="R250" s="31"/>
    </row>
    <row r="251" spans="1:18" x14ac:dyDescent="0.2">
      <c r="A251" s="238"/>
      <c r="B251" s="54" t="s">
        <v>264</v>
      </c>
      <c r="C251" s="239" t="s">
        <v>727</v>
      </c>
      <c r="D251" s="283"/>
      <c r="E251" s="272"/>
      <c r="F251" s="79"/>
      <c r="G251" s="47">
        <f>SUMIF(JournalsB!D$14:D$920,TrialBalanceB!M251,JournalsB!J$14:J$920)+SUMIF(JournalsB!E$14:E$920,TrialBalanceB!M251,JournalsB!J$14:J$920)</f>
        <v>0</v>
      </c>
      <c r="H251" s="288"/>
      <c r="I251" s="290">
        <f t="shared" si="39"/>
        <v>0</v>
      </c>
      <c r="J251" s="75"/>
      <c r="K251" s="48">
        <f t="shared" si="45"/>
        <v>0</v>
      </c>
      <c r="M251" s="140" t="str">
        <f t="shared" si="46"/>
        <v>6150/000PLANT AND MACHINERY - COST</v>
      </c>
      <c r="N251" s="70"/>
      <c r="P251" s="71"/>
      <c r="Q251" s="51"/>
      <c r="R251" s="31"/>
    </row>
    <row r="252" spans="1:18" x14ac:dyDescent="0.2">
      <c r="A252" s="238"/>
      <c r="B252" s="54" t="s">
        <v>39</v>
      </c>
      <c r="C252" s="242" t="s">
        <v>728</v>
      </c>
      <c r="D252" s="282"/>
      <c r="E252" s="272"/>
      <c r="F252" s="79">
        <f>SUM(K252:K254)</f>
        <v>0</v>
      </c>
      <c r="G252" s="47">
        <f>SUMIF(JournalsB!D$14:D$920,TrialBalanceB!M252,JournalsB!J$14:J$920)+SUMIF(JournalsB!E$14:E$920,TrialBalanceB!M252,JournalsB!J$14:J$920)</f>
        <v>0</v>
      </c>
      <c r="H252" s="288"/>
      <c r="I252" s="290">
        <f t="shared" si="39"/>
        <v>0</v>
      </c>
      <c r="J252" s="75"/>
      <c r="K252" s="48">
        <f t="shared" si="45"/>
        <v>0</v>
      </c>
      <c r="M252" s="140" t="str">
        <f t="shared" si="46"/>
        <v>6150/001Plant and machinery - cost b/fwd</v>
      </c>
      <c r="N252" s="70"/>
      <c r="P252" s="71"/>
      <c r="Q252" s="51"/>
      <c r="R252" s="31"/>
    </row>
    <row r="253" spans="1:18" x14ac:dyDescent="0.2">
      <c r="A253" s="238"/>
      <c r="B253" s="54" t="s">
        <v>40</v>
      </c>
      <c r="C253" s="242" t="s">
        <v>729</v>
      </c>
      <c r="D253" s="282"/>
      <c r="E253" s="272"/>
      <c r="F253" s="79"/>
      <c r="G253" s="47">
        <f>SUMIF(JournalsB!D$14:D$920,TrialBalanceB!M253,JournalsB!J$14:J$920)+SUMIF(JournalsB!E$14:E$920,TrialBalanceB!M253,JournalsB!J$14:J$920)</f>
        <v>0</v>
      </c>
      <c r="H253" s="288"/>
      <c r="I253" s="290">
        <f t="shared" si="39"/>
        <v>0</v>
      </c>
      <c r="J253" s="75"/>
      <c r="K253" s="48">
        <f t="shared" si="45"/>
        <v>0</v>
      </c>
      <c r="M253" s="140" t="str">
        <f t="shared" si="46"/>
        <v>6150/002Plant and machinery - additions</v>
      </c>
      <c r="N253" s="70"/>
      <c r="P253" s="71"/>
      <c r="Q253" s="51"/>
      <c r="R253" s="31"/>
    </row>
    <row r="254" spans="1:18" x14ac:dyDescent="0.2">
      <c r="A254" s="238"/>
      <c r="B254" s="54" t="s">
        <v>41</v>
      </c>
      <c r="C254" s="242" t="s">
        <v>730</v>
      </c>
      <c r="D254" s="282"/>
      <c r="E254" s="272"/>
      <c r="F254" s="79"/>
      <c r="G254" s="47">
        <f>SUMIF(JournalsB!D$14:D$920,TrialBalanceB!M254,JournalsB!J$14:J$920)+SUMIF(JournalsB!E$14:E$920,TrialBalanceB!M254,JournalsB!J$14:J$920)</f>
        <v>0</v>
      </c>
      <c r="H254" s="288"/>
      <c r="I254" s="290">
        <f t="shared" ref="I254:I355" si="71">ROUND(D254-E254+G254+F254,0)</f>
        <v>0</v>
      </c>
      <c r="J254" s="75"/>
      <c r="K254" s="48">
        <f t="shared" si="45"/>
        <v>0</v>
      </c>
      <c r="M254" s="140" t="str">
        <f t="shared" si="46"/>
        <v>6150/003Plant and machinery - cost of sales</v>
      </c>
      <c r="N254" s="70"/>
      <c r="P254" s="71"/>
      <c r="Q254" s="51"/>
      <c r="R254" s="31"/>
    </row>
    <row r="255" spans="1:18" x14ac:dyDescent="0.2">
      <c r="A255" s="238"/>
      <c r="B255" s="54" t="s">
        <v>16</v>
      </c>
      <c r="C255" s="239" t="s">
        <v>731</v>
      </c>
      <c r="D255" s="283"/>
      <c r="E255" s="272"/>
      <c r="F255" s="79"/>
      <c r="G255" s="47">
        <f>SUMIF(JournalsB!D$14:D$920,TrialBalanceB!M255,JournalsB!J$14:J$920)+SUMIF(JournalsB!E$14:E$920,TrialBalanceB!M255,JournalsB!J$14:J$920)</f>
        <v>0</v>
      </c>
      <c r="H255" s="288"/>
      <c r="I255" s="290">
        <f t="shared" si="71"/>
        <v>0</v>
      </c>
      <c r="J255" s="75"/>
      <c r="K255" s="48">
        <f t="shared" si="45"/>
        <v>0</v>
      </c>
      <c r="M255" s="140" t="str">
        <f t="shared" si="46"/>
        <v>6150/020PLANT AND MACHINERY - ACC DEPR</v>
      </c>
      <c r="N255" s="70"/>
      <c r="P255" s="71"/>
      <c r="Q255" s="51"/>
      <c r="R255" s="31"/>
    </row>
    <row r="256" spans="1:18" x14ac:dyDescent="0.2">
      <c r="A256" s="238"/>
      <c r="B256" s="54" t="s">
        <v>17</v>
      </c>
      <c r="C256" s="242" t="s">
        <v>732</v>
      </c>
      <c r="D256" s="282"/>
      <c r="E256" s="272"/>
      <c r="F256" s="79">
        <f>SUM(K256:K258)</f>
        <v>0</v>
      </c>
      <c r="G256" s="47">
        <f>SUMIF(JournalsB!D$14:D$920,TrialBalanceB!M256,JournalsB!J$14:J$920)+SUMIF(JournalsB!E$14:E$920,TrialBalanceB!M256,JournalsB!J$14:J$920)</f>
        <v>0</v>
      </c>
      <c r="H256" s="288"/>
      <c r="I256" s="290">
        <f t="shared" si="71"/>
        <v>0</v>
      </c>
      <c r="J256" s="75"/>
      <c r="K256" s="48">
        <f t="shared" si="45"/>
        <v>0</v>
      </c>
      <c r="M256" s="140" t="str">
        <f t="shared" si="46"/>
        <v>6150/021Plant and machinery - acc depr b/fwd</v>
      </c>
      <c r="N256" s="70"/>
      <c r="P256" s="71"/>
      <c r="Q256" s="51"/>
      <c r="R256" s="31"/>
    </row>
    <row r="257" spans="1:18" x14ac:dyDescent="0.2">
      <c r="A257" s="238"/>
      <c r="B257" s="54" t="s">
        <v>33</v>
      </c>
      <c r="C257" s="242" t="s">
        <v>733</v>
      </c>
      <c r="D257" s="282"/>
      <c r="E257" s="272"/>
      <c r="F257" s="79"/>
      <c r="G257" s="47">
        <f>SUMIF(JournalsB!D$14:D$920,TrialBalanceB!M257,JournalsB!J$14:J$920)+SUMIF(JournalsB!E$14:E$920,TrialBalanceB!M257,JournalsB!J$14:J$920)</f>
        <v>0</v>
      </c>
      <c r="H257" s="288"/>
      <c r="I257" s="290">
        <f t="shared" si="71"/>
        <v>0</v>
      </c>
      <c r="J257" s="75"/>
      <c r="K257" s="48">
        <f t="shared" si="45"/>
        <v>0</v>
      </c>
      <c r="M257" s="140" t="str">
        <f t="shared" si="46"/>
        <v>6150/022Plant and machinery - depr this year</v>
      </c>
      <c r="N257" s="70"/>
      <c r="P257" s="71"/>
      <c r="Q257" s="51"/>
      <c r="R257" s="31"/>
    </row>
    <row r="258" spans="1:18" x14ac:dyDescent="0.2">
      <c r="A258" s="238"/>
      <c r="B258" s="54" t="s">
        <v>34</v>
      </c>
      <c r="C258" s="242" t="s">
        <v>734</v>
      </c>
      <c r="D258" s="282"/>
      <c r="E258" s="272"/>
      <c r="F258" s="79"/>
      <c r="G258" s="47">
        <f>SUMIF(JournalsB!D$14:D$920,TrialBalanceB!M258,JournalsB!J$14:J$920)+SUMIF(JournalsB!E$14:E$920,TrialBalanceB!M258,JournalsB!J$14:J$920)</f>
        <v>0</v>
      </c>
      <c r="H258" s="288"/>
      <c r="I258" s="290">
        <f t="shared" si="71"/>
        <v>0</v>
      </c>
      <c r="J258" s="75"/>
      <c r="K258" s="48">
        <f t="shared" si="45"/>
        <v>0</v>
      </c>
      <c r="M258" s="140" t="str">
        <f t="shared" si="46"/>
        <v>6150/023Plant and machinery - acc depr on sales</v>
      </c>
      <c r="N258" s="70"/>
      <c r="P258" s="71"/>
      <c r="Q258" s="51"/>
      <c r="R258" s="31"/>
    </row>
    <row r="259" spans="1:18" x14ac:dyDescent="0.2">
      <c r="A259" s="238"/>
      <c r="B259" s="54" t="s">
        <v>35</v>
      </c>
      <c r="C259" s="239" t="s">
        <v>36</v>
      </c>
      <c r="D259" s="283"/>
      <c r="E259" s="272"/>
      <c r="F259" s="79"/>
      <c r="G259" s="47">
        <f>SUMIF(JournalsB!D$14:D$920,TrialBalanceB!M259,JournalsB!J$14:J$920)+SUMIF(JournalsB!E$14:E$920,TrialBalanceB!M259,JournalsB!J$14:J$920)</f>
        <v>0</v>
      </c>
      <c r="H259" s="288"/>
      <c r="I259" s="290">
        <f t="shared" si="71"/>
        <v>0</v>
      </c>
      <c r="J259" s="75"/>
      <c r="K259" s="48">
        <f t="shared" si="45"/>
        <v>0</v>
      </c>
      <c r="M259" s="140" t="str">
        <f t="shared" si="46"/>
        <v>6200/000MOTOR VEHICLES - COST</v>
      </c>
      <c r="N259" s="70"/>
      <c r="P259" s="71"/>
      <c r="Q259" s="51"/>
      <c r="R259" s="31"/>
    </row>
    <row r="260" spans="1:18" x14ac:dyDescent="0.2">
      <c r="A260" s="238"/>
      <c r="B260" s="54" t="s">
        <v>37</v>
      </c>
      <c r="C260" s="242" t="s">
        <v>735</v>
      </c>
      <c r="D260" s="282"/>
      <c r="E260" s="272"/>
      <c r="F260" s="79">
        <f>SUM(K260:K262)</f>
        <v>0</v>
      </c>
      <c r="G260" s="47">
        <f>SUMIF(JournalsB!D$14:D$920,TrialBalanceB!M260,JournalsB!J$14:J$920)+SUMIF(JournalsB!E$14:E$920,TrialBalanceB!M260,JournalsB!J$14:J$920)</f>
        <v>0</v>
      </c>
      <c r="H260" s="288"/>
      <c r="I260" s="290">
        <f t="shared" si="71"/>
        <v>0</v>
      </c>
      <c r="J260" s="75"/>
      <c r="K260" s="48">
        <f t="shared" si="45"/>
        <v>0</v>
      </c>
      <c r="M260" s="140" t="str">
        <f t="shared" si="46"/>
        <v>6200/001Motor vehicles - cost b/fwd</v>
      </c>
      <c r="N260" s="70"/>
      <c r="P260" s="71"/>
      <c r="Q260" s="51"/>
      <c r="R260" s="31"/>
    </row>
    <row r="261" spans="1:18" x14ac:dyDescent="0.2">
      <c r="A261" s="238"/>
      <c r="B261" s="54" t="s">
        <v>38</v>
      </c>
      <c r="C261" s="242" t="s">
        <v>736</v>
      </c>
      <c r="D261" s="282"/>
      <c r="E261" s="272"/>
      <c r="F261" s="79"/>
      <c r="G261" s="47">
        <f>SUMIF(JournalsB!D$14:D$920,TrialBalanceB!M261,JournalsB!J$14:J$920)+SUMIF(JournalsB!E$14:E$920,TrialBalanceB!M261,JournalsB!J$14:J$920)</f>
        <v>0</v>
      </c>
      <c r="H261" s="288"/>
      <c r="I261" s="290">
        <f t="shared" si="71"/>
        <v>0</v>
      </c>
      <c r="J261" s="75"/>
      <c r="K261" s="48">
        <f t="shared" si="45"/>
        <v>0</v>
      </c>
      <c r="M261" s="140" t="str">
        <f t="shared" si="46"/>
        <v>6200/002Motor vehicles - additions</v>
      </c>
      <c r="N261" s="70"/>
      <c r="P261" s="71"/>
      <c r="Q261" s="51"/>
      <c r="R261" s="31"/>
    </row>
    <row r="262" spans="1:18" x14ac:dyDescent="0.2">
      <c r="A262" s="238"/>
      <c r="B262" s="54" t="s">
        <v>453</v>
      </c>
      <c r="C262" s="242" t="s">
        <v>737</v>
      </c>
      <c r="D262" s="282"/>
      <c r="E262" s="272"/>
      <c r="F262" s="79"/>
      <c r="G262" s="47">
        <f>SUMIF(JournalsB!D$14:D$920,TrialBalanceB!M262,JournalsB!J$14:J$920)+SUMIF(JournalsB!E$14:E$920,TrialBalanceB!M262,JournalsB!J$14:J$920)</f>
        <v>0</v>
      </c>
      <c r="H262" s="288"/>
      <c r="I262" s="290">
        <f t="shared" si="71"/>
        <v>0</v>
      </c>
      <c r="J262" s="75"/>
      <c r="K262" s="48">
        <f t="shared" si="45"/>
        <v>0</v>
      </c>
      <c r="M262" s="140" t="str">
        <f t="shared" si="46"/>
        <v>6200/003Motor vehicles - cost of sales</v>
      </c>
      <c r="N262" s="70"/>
      <c r="P262" s="71"/>
      <c r="Q262" s="51"/>
      <c r="R262" s="31"/>
    </row>
    <row r="263" spans="1:18" x14ac:dyDescent="0.2">
      <c r="A263" s="238"/>
      <c r="B263" s="54" t="s">
        <v>0</v>
      </c>
      <c r="C263" s="239" t="s">
        <v>1</v>
      </c>
      <c r="D263" s="283"/>
      <c r="E263" s="272"/>
      <c r="F263" s="79"/>
      <c r="G263" s="47">
        <f>SUMIF(JournalsB!D$14:D$920,TrialBalanceB!M263,JournalsB!J$14:J$920)+SUMIF(JournalsB!E$14:E$920,TrialBalanceB!M263,JournalsB!J$14:J$920)</f>
        <v>0</v>
      </c>
      <c r="H263" s="288"/>
      <c r="I263" s="290">
        <f t="shared" si="71"/>
        <v>0</v>
      </c>
      <c r="J263" s="75"/>
      <c r="K263" s="48">
        <f t="shared" si="45"/>
        <v>0</v>
      </c>
      <c r="M263" s="140" t="str">
        <f t="shared" si="46"/>
        <v>6200/020MOTOR VEHICLES - ACC DEPR</v>
      </c>
      <c r="N263" s="70"/>
      <c r="P263" s="71"/>
      <c r="Q263" s="51"/>
      <c r="R263" s="31"/>
    </row>
    <row r="264" spans="1:18" x14ac:dyDescent="0.2">
      <c r="A264" s="238"/>
      <c r="B264" s="54" t="s">
        <v>2</v>
      </c>
      <c r="C264" s="242" t="s">
        <v>738</v>
      </c>
      <c r="D264" s="282"/>
      <c r="E264" s="272"/>
      <c r="F264" s="79">
        <f>SUM(K264:K266)</f>
        <v>0</v>
      </c>
      <c r="G264" s="47">
        <f>SUMIF(JournalsB!D$14:D$920,TrialBalanceB!M264,JournalsB!J$14:J$920)+SUMIF(JournalsB!E$14:E$920,TrialBalanceB!M264,JournalsB!J$14:J$920)</f>
        <v>0</v>
      </c>
      <c r="H264" s="288"/>
      <c r="I264" s="290">
        <f t="shared" si="71"/>
        <v>0</v>
      </c>
      <c r="J264" s="75"/>
      <c r="K264" s="48">
        <f t="shared" si="45"/>
        <v>0</v>
      </c>
      <c r="M264" s="140" t="str">
        <f t="shared" si="46"/>
        <v>6200/021Motor vehicles - acc depr b/fwd</v>
      </c>
      <c r="N264" s="70"/>
      <c r="P264" s="71"/>
      <c r="Q264" s="51"/>
      <c r="R264" s="31"/>
    </row>
    <row r="265" spans="1:18" x14ac:dyDescent="0.2">
      <c r="A265" s="238"/>
      <c r="B265" s="54" t="s">
        <v>3</v>
      </c>
      <c r="C265" s="242" t="s">
        <v>739</v>
      </c>
      <c r="D265" s="282"/>
      <c r="E265" s="272"/>
      <c r="F265" s="79"/>
      <c r="G265" s="47">
        <f>SUMIF(JournalsB!D$14:D$920,TrialBalanceB!M265,JournalsB!J$14:J$920)+SUMIF(JournalsB!E$14:E$920,TrialBalanceB!M265,JournalsB!J$14:J$920)</f>
        <v>0</v>
      </c>
      <c r="H265" s="288"/>
      <c r="I265" s="290">
        <f t="shared" si="71"/>
        <v>0</v>
      </c>
      <c r="J265" s="75"/>
      <c r="K265" s="48">
        <f t="shared" si="45"/>
        <v>0</v>
      </c>
      <c r="M265" s="140" t="str">
        <f t="shared" si="46"/>
        <v>6200/022Motor vehicles - depr this year</v>
      </c>
      <c r="N265" s="70"/>
      <c r="P265" s="71"/>
      <c r="Q265" s="51"/>
      <c r="R265" s="31"/>
    </row>
    <row r="266" spans="1:18" x14ac:dyDescent="0.2">
      <c r="A266" s="238"/>
      <c r="B266" s="54" t="s">
        <v>4</v>
      </c>
      <c r="C266" s="242" t="s">
        <v>740</v>
      </c>
      <c r="D266" s="282"/>
      <c r="E266" s="272"/>
      <c r="F266" s="79"/>
      <c r="G266" s="47">
        <f>SUMIF(JournalsB!D$14:D$920,TrialBalanceB!M266,JournalsB!J$14:J$920)+SUMIF(JournalsB!E$14:E$920,TrialBalanceB!M266,JournalsB!J$14:J$920)</f>
        <v>0</v>
      </c>
      <c r="H266" s="288"/>
      <c r="I266" s="290">
        <f t="shared" si="71"/>
        <v>0</v>
      </c>
      <c r="J266" s="75"/>
      <c r="K266" s="48">
        <f t="shared" si="45"/>
        <v>0</v>
      </c>
      <c r="M266" s="140" t="str">
        <f t="shared" si="46"/>
        <v>6200/023Motor vehicles - acc depr on sales</v>
      </c>
      <c r="N266" s="70"/>
      <c r="P266" s="71"/>
      <c r="Q266" s="51"/>
      <c r="R266" s="31"/>
    </row>
    <row r="267" spans="1:18" x14ac:dyDescent="0.2">
      <c r="A267" s="238"/>
      <c r="B267" s="54" t="s">
        <v>5</v>
      </c>
      <c r="C267" s="239" t="s">
        <v>108</v>
      </c>
      <c r="D267" s="283"/>
      <c r="E267" s="272"/>
      <c r="F267" s="79"/>
      <c r="G267" s="47">
        <f>SUMIF(JournalsB!D$14:D$920,TrialBalanceB!M267,JournalsB!J$14:J$920)+SUMIF(JournalsB!E$14:E$920,TrialBalanceB!M267,JournalsB!J$14:J$920)</f>
        <v>0</v>
      </c>
      <c r="H267" s="288"/>
      <c r="I267" s="290">
        <f t="shared" si="71"/>
        <v>0</v>
      </c>
      <c r="J267" s="75"/>
      <c r="K267" s="48">
        <f t="shared" si="45"/>
        <v>0</v>
      </c>
      <c r="M267" s="140" t="str">
        <f t="shared" si="46"/>
        <v>6250/000ELECTRONIC EQUIPMENT - COST</v>
      </c>
      <c r="N267" s="70"/>
      <c r="P267" s="71"/>
      <c r="Q267" s="51"/>
      <c r="R267" s="31"/>
    </row>
    <row r="268" spans="1:18" x14ac:dyDescent="0.2">
      <c r="A268" s="238"/>
      <c r="B268" s="54" t="s">
        <v>6</v>
      </c>
      <c r="C268" s="242" t="s">
        <v>741</v>
      </c>
      <c r="D268" s="282"/>
      <c r="E268" s="272"/>
      <c r="F268" s="79">
        <f>SUM(K268:K270)</f>
        <v>0</v>
      </c>
      <c r="G268" s="47">
        <f>SUMIF(JournalsB!D$14:D$920,TrialBalanceB!M268,JournalsB!J$14:J$920)+SUMIF(JournalsB!E$14:E$920,TrialBalanceB!M268,JournalsB!J$14:J$920)</f>
        <v>0</v>
      </c>
      <c r="H268" s="288"/>
      <c r="I268" s="290">
        <f t="shared" si="71"/>
        <v>0</v>
      </c>
      <c r="J268" s="75"/>
      <c r="K268" s="48">
        <f t="shared" si="45"/>
        <v>0</v>
      </c>
      <c r="M268" s="140" t="str">
        <f t="shared" si="46"/>
        <v>6250/001Electronic equipment - cost b/fwd</v>
      </c>
      <c r="N268" s="70"/>
      <c r="P268" s="71"/>
      <c r="Q268" s="51"/>
      <c r="R268" s="31"/>
    </row>
    <row r="269" spans="1:18" x14ac:dyDescent="0.2">
      <c r="A269" s="238"/>
      <c r="B269" s="54" t="s">
        <v>7</v>
      </c>
      <c r="C269" s="242" t="s">
        <v>742</v>
      </c>
      <c r="D269" s="282"/>
      <c r="E269" s="272"/>
      <c r="F269" s="79"/>
      <c r="G269" s="47">
        <f>SUMIF(JournalsB!D$14:D$920,TrialBalanceB!M269,JournalsB!J$14:J$920)+SUMIF(JournalsB!E$14:E$920,TrialBalanceB!M269,JournalsB!J$14:J$920)</f>
        <v>0</v>
      </c>
      <c r="H269" s="288"/>
      <c r="I269" s="290">
        <f t="shared" si="71"/>
        <v>0</v>
      </c>
      <c r="J269" s="75"/>
      <c r="K269" s="48">
        <f t="shared" si="45"/>
        <v>0</v>
      </c>
      <c r="M269" s="140" t="str">
        <f t="shared" si="46"/>
        <v>6250/002Electronic equipment - additions</v>
      </c>
      <c r="N269" s="70"/>
      <c r="P269" s="71"/>
      <c r="Q269" s="51"/>
      <c r="R269" s="31"/>
    </row>
    <row r="270" spans="1:18" x14ac:dyDescent="0.2">
      <c r="A270" s="238"/>
      <c r="B270" s="54" t="s">
        <v>8</v>
      </c>
      <c r="C270" s="242" t="s">
        <v>743</v>
      </c>
      <c r="D270" s="282"/>
      <c r="E270" s="272"/>
      <c r="F270" s="79"/>
      <c r="G270" s="47">
        <f>SUMIF(JournalsB!D$14:D$920,TrialBalanceB!M270,JournalsB!J$14:J$920)+SUMIF(JournalsB!E$14:E$920,TrialBalanceB!M270,JournalsB!J$14:J$920)</f>
        <v>0</v>
      </c>
      <c r="H270" s="288"/>
      <c r="I270" s="290">
        <f t="shared" si="71"/>
        <v>0</v>
      </c>
      <c r="J270" s="75"/>
      <c r="K270" s="48">
        <f t="shared" si="45"/>
        <v>0</v>
      </c>
      <c r="M270" s="140" t="str">
        <f t="shared" si="46"/>
        <v>6250/003Electronic equipment - cost of sales</v>
      </c>
      <c r="N270" s="70"/>
      <c r="P270" s="71"/>
      <c r="Q270" s="51"/>
      <c r="R270" s="31"/>
    </row>
    <row r="271" spans="1:18" x14ac:dyDescent="0.2">
      <c r="A271" s="238"/>
      <c r="B271" s="54" t="s">
        <v>9</v>
      </c>
      <c r="C271" s="239" t="s">
        <v>109</v>
      </c>
      <c r="D271" s="283"/>
      <c r="E271" s="272"/>
      <c r="F271" s="79"/>
      <c r="G271" s="47">
        <f>SUMIF(JournalsB!D$14:D$920,TrialBalanceB!M271,JournalsB!J$14:J$920)+SUMIF(JournalsB!E$14:E$920,TrialBalanceB!M271,JournalsB!J$14:J$920)</f>
        <v>0</v>
      </c>
      <c r="H271" s="288"/>
      <c r="I271" s="290">
        <f t="shared" si="71"/>
        <v>0</v>
      </c>
      <c r="J271" s="75"/>
      <c r="K271" s="48">
        <f t="shared" si="45"/>
        <v>0</v>
      </c>
      <c r="M271" s="140" t="str">
        <f t="shared" si="46"/>
        <v>6250/020ELECTRONIC EQUIPMENT - ACC DEPR</v>
      </c>
      <c r="N271" s="70"/>
      <c r="P271" s="71"/>
      <c r="Q271" s="51"/>
      <c r="R271" s="31"/>
    </row>
    <row r="272" spans="1:18" x14ac:dyDescent="0.2">
      <c r="A272" s="238"/>
      <c r="B272" s="54" t="s">
        <v>10</v>
      </c>
      <c r="C272" s="242" t="s">
        <v>744</v>
      </c>
      <c r="D272" s="282"/>
      <c r="E272" s="272"/>
      <c r="F272" s="79">
        <f>SUM(K272:K274)</f>
        <v>0</v>
      </c>
      <c r="G272" s="47">
        <f>SUMIF(JournalsB!D$14:D$920,TrialBalanceB!M272,JournalsB!J$14:J$920)+SUMIF(JournalsB!E$14:E$920,TrialBalanceB!M272,JournalsB!J$14:J$920)</f>
        <v>0</v>
      </c>
      <c r="H272" s="288"/>
      <c r="I272" s="290">
        <f t="shared" si="71"/>
        <v>0</v>
      </c>
      <c r="J272" s="75"/>
      <c r="K272" s="48">
        <f t="shared" si="45"/>
        <v>0</v>
      </c>
      <c r="M272" s="140" t="str">
        <f t="shared" si="46"/>
        <v>6250/021Electronic equipment - acc depr b/fwd</v>
      </c>
      <c r="N272" s="70"/>
      <c r="P272" s="71"/>
      <c r="Q272" s="51"/>
      <c r="R272" s="31"/>
    </row>
    <row r="273" spans="1:18" x14ac:dyDescent="0.2">
      <c r="A273" s="238"/>
      <c r="B273" s="54" t="s">
        <v>11</v>
      </c>
      <c r="C273" s="242" t="s">
        <v>745</v>
      </c>
      <c r="D273" s="282"/>
      <c r="E273" s="272"/>
      <c r="F273" s="79"/>
      <c r="G273" s="47">
        <f>SUMIF(JournalsB!D$14:D$920,TrialBalanceB!M273,JournalsB!J$14:J$920)+SUMIF(JournalsB!E$14:E$920,TrialBalanceB!M273,JournalsB!J$14:J$920)</f>
        <v>0</v>
      </c>
      <c r="H273" s="288"/>
      <c r="I273" s="290">
        <f t="shared" si="71"/>
        <v>0</v>
      </c>
      <c r="J273" s="75"/>
      <c r="K273" s="48">
        <f t="shared" si="45"/>
        <v>0</v>
      </c>
      <c r="M273" s="140" t="str">
        <f t="shared" si="46"/>
        <v>6250/022Electronic equipment - depr this year</v>
      </c>
      <c r="N273" s="70"/>
      <c r="P273" s="71"/>
      <c r="Q273" s="51"/>
      <c r="R273" s="31"/>
    </row>
    <row r="274" spans="1:18" x14ac:dyDescent="0.2">
      <c r="A274" s="238"/>
      <c r="B274" s="54" t="s">
        <v>12</v>
      </c>
      <c r="C274" s="242" t="s">
        <v>746</v>
      </c>
      <c r="D274" s="282"/>
      <c r="E274" s="272"/>
      <c r="F274" s="79"/>
      <c r="G274" s="47">
        <f>SUMIF(JournalsB!D$14:D$920,TrialBalanceB!M274,JournalsB!J$14:J$920)+SUMIF(JournalsB!E$14:E$920,TrialBalanceB!M274,JournalsB!J$14:J$920)</f>
        <v>0</v>
      </c>
      <c r="H274" s="288"/>
      <c r="I274" s="290">
        <f t="shared" si="71"/>
        <v>0</v>
      </c>
      <c r="J274" s="75"/>
      <c r="K274" s="48">
        <f t="shared" si="45"/>
        <v>0</v>
      </c>
      <c r="M274" s="140" t="str">
        <f t="shared" si="46"/>
        <v>6250/023Electronic equipment - acc depr on sales</v>
      </c>
      <c r="N274" s="70"/>
      <c r="P274" s="71"/>
      <c r="Q274" s="51"/>
      <c r="R274" s="31"/>
    </row>
    <row r="275" spans="1:18" x14ac:dyDescent="0.2">
      <c r="A275" s="238"/>
      <c r="B275" s="54" t="s">
        <v>14</v>
      </c>
      <c r="C275" s="239" t="s">
        <v>747</v>
      </c>
      <c r="D275" s="283"/>
      <c r="E275" s="272"/>
      <c r="F275" s="79"/>
      <c r="G275" s="47">
        <f>SUMIF(JournalsB!D$14:D$920,TrialBalanceB!M275,JournalsB!J$14:J$920)+SUMIF(JournalsB!E$14:E$920,TrialBalanceB!M275,JournalsB!J$14:J$920)</f>
        <v>0</v>
      </c>
      <c r="H275" s="288"/>
      <c r="I275" s="290">
        <f t="shared" si="71"/>
        <v>0</v>
      </c>
      <c r="J275" s="75"/>
      <c r="K275" s="48">
        <f t="shared" si="45"/>
        <v>0</v>
      </c>
      <c r="M275" s="140" t="str">
        <f t="shared" si="46"/>
        <v>6350/000FURNITURE AND FITTINGS - COST</v>
      </c>
      <c r="N275" s="70"/>
      <c r="P275" s="71"/>
      <c r="Q275" s="51"/>
      <c r="R275" s="31"/>
    </row>
    <row r="276" spans="1:18" x14ac:dyDescent="0.2">
      <c r="A276" s="238"/>
      <c r="B276" s="54" t="s">
        <v>15</v>
      </c>
      <c r="C276" s="242" t="s">
        <v>748</v>
      </c>
      <c r="D276" s="282"/>
      <c r="E276" s="272"/>
      <c r="F276" s="79">
        <f>SUM(K276:K278)</f>
        <v>0</v>
      </c>
      <c r="G276" s="47">
        <f>SUMIF(JournalsB!D$14:D$920,TrialBalanceB!M276,JournalsB!J$14:J$920)+SUMIF(JournalsB!E$14:E$920,TrialBalanceB!M276,JournalsB!J$14:J$920)</f>
        <v>0</v>
      </c>
      <c r="H276" s="288"/>
      <c r="I276" s="290">
        <f t="shared" si="71"/>
        <v>0</v>
      </c>
      <c r="J276" s="75"/>
      <c r="K276" s="48">
        <f t="shared" si="45"/>
        <v>0</v>
      </c>
      <c r="M276" s="140" t="str">
        <f t="shared" si="46"/>
        <v>6350/001Furniture and fittings - cost b/fwd</v>
      </c>
      <c r="N276" s="70"/>
      <c r="P276" s="71"/>
      <c r="Q276" s="51"/>
      <c r="R276" s="31"/>
    </row>
    <row r="277" spans="1:18" x14ac:dyDescent="0.2">
      <c r="A277" s="238"/>
      <c r="B277" s="54" t="s">
        <v>397</v>
      </c>
      <c r="C277" s="242" t="s">
        <v>749</v>
      </c>
      <c r="D277" s="282"/>
      <c r="E277" s="272"/>
      <c r="F277" s="79"/>
      <c r="G277" s="47">
        <f>SUMIF(JournalsB!D$14:D$920,TrialBalanceB!M277,JournalsB!J$14:J$920)+SUMIF(JournalsB!E$14:E$920,TrialBalanceB!M277,JournalsB!J$14:J$920)</f>
        <v>0</v>
      </c>
      <c r="H277" s="288"/>
      <c r="I277" s="290">
        <f t="shared" si="71"/>
        <v>0</v>
      </c>
      <c r="J277" s="75"/>
      <c r="K277" s="48">
        <f t="shared" si="45"/>
        <v>0</v>
      </c>
      <c r="M277" s="140" t="str">
        <f t="shared" si="46"/>
        <v>6350/002Furniture and fittings - additions</v>
      </c>
      <c r="N277" s="70"/>
      <c r="P277" s="71"/>
      <c r="Q277" s="51"/>
      <c r="R277" s="31"/>
    </row>
    <row r="278" spans="1:18" x14ac:dyDescent="0.2">
      <c r="A278" s="238"/>
      <c r="B278" s="54" t="s">
        <v>413</v>
      </c>
      <c r="C278" s="242" t="s">
        <v>750</v>
      </c>
      <c r="D278" s="282"/>
      <c r="E278" s="272"/>
      <c r="F278" s="79"/>
      <c r="G278" s="47">
        <f>SUMIF(JournalsB!D$14:D$920,TrialBalanceB!M278,JournalsB!J$14:J$920)+SUMIF(JournalsB!E$14:E$920,TrialBalanceB!M278,JournalsB!J$14:J$920)</f>
        <v>0</v>
      </c>
      <c r="H278" s="288"/>
      <c r="I278" s="290">
        <f t="shared" si="71"/>
        <v>0</v>
      </c>
      <c r="J278" s="75"/>
      <c r="K278" s="48">
        <f t="shared" si="45"/>
        <v>0</v>
      </c>
      <c r="M278" s="140" t="str">
        <f t="shared" si="46"/>
        <v>6350/003Furniture and fittings - cost of sales</v>
      </c>
      <c r="N278" s="70"/>
      <c r="P278" s="71"/>
      <c r="Q278" s="51"/>
      <c r="R278" s="31"/>
    </row>
    <row r="279" spans="1:18" x14ac:dyDescent="0.2">
      <c r="A279" s="238"/>
      <c r="B279" s="54" t="s">
        <v>248</v>
      </c>
      <c r="C279" s="239" t="s">
        <v>751</v>
      </c>
      <c r="D279" s="283"/>
      <c r="E279" s="272"/>
      <c r="F279" s="79"/>
      <c r="G279" s="47">
        <f>SUMIF(JournalsB!D$14:D$920,TrialBalanceB!M279,JournalsB!J$14:J$920)+SUMIF(JournalsB!E$14:E$920,TrialBalanceB!M279,JournalsB!J$14:J$920)</f>
        <v>0</v>
      </c>
      <c r="H279" s="288"/>
      <c r="I279" s="290">
        <f t="shared" si="71"/>
        <v>0</v>
      </c>
      <c r="J279" s="75"/>
      <c r="K279" s="48">
        <f t="shared" si="45"/>
        <v>0</v>
      </c>
      <c r="M279" s="140" t="str">
        <f t="shared" si="46"/>
        <v>6350/020FURNITURE AND FITTINGS - ACC DEPR</v>
      </c>
      <c r="N279" s="70"/>
      <c r="P279" s="71"/>
      <c r="Q279" s="51"/>
      <c r="R279" s="31"/>
    </row>
    <row r="280" spans="1:18" x14ac:dyDescent="0.2">
      <c r="A280" s="238"/>
      <c r="B280" s="54" t="s">
        <v>140</v>
      </c>
      <c r="C280" s="242" t="s">
        <v>752</v>
      </c>
      <c r="D280" s="282"/>
      <c r="E280" s="272"/>
      <c r="F280" s="79">
        <f>SUM(K280:K282)</f>
        <v>0</v>
      </c>
      <c r="G280" s="47">
        <f>SUMIF(JournalsB!D$14:D$920,TrialBalanceB!M280,JournalsB!J$14:J$920)+SUMIF(JournalsB!E$14:E$920,TrialBalanceB!M280,JournalsB!J$14:J$920)</f>
        <v>0</v>
      </c>
      <c r="H280" s="288"/>
      <c r="I280" s="290">
        <f t="shared" si="71"/>
        <v>0</v>
      </c>
      <c r="J280" s="75"/>
      <c r="K280" s="48">
        <f t="shared" si="45"/>
        <v>0</v>
      </c>
      <c r="M280" s="140" t="str">
        <f t="shared" si="46"/>
        <v>6350/021Furniture and fittings - acc depr b/fwd</v>
      </c>
      <c r="N280" s="70"/>
      <c r="P280" s="71"/>
      <c r="Q280" s="51"/>
      <c r="R280" s="31"/>
    </row>
    <row r="281" spans="1:18" x14ac:dyDescent="0.2">
      <c r="A281" s="238"/>
      <c r="B281" s="54" t="s">
        <v>141</v>
      </c>
      <c r="C281" s="242" t="s">
        <v>753</v>
      </c>
      <c r="D281" s="282"/>
      <c r="E281" s="272"/>
      <c r="F281" s="79"/>
      <c r="G281" s="47">
        <f>SUMIF(JournalsB!D$14:D$920,TrialBalanceB!M281,JournalsB!J$14:J$920)+SUMIF(JournalsB!E$14:E$920,TrialBalanceB!M281,JournalsB!J$14:J$920)</f>
        <v>0</v>
      </c>
      <c r="H281" s="288"/>
      <c r="I281" s="290">
        <f t="shared" si="71"/>
        <v>0</v>
      </c>
      <c r="J281" s="75"/>
      <c r="K281" s="48">
        <f t="shared" si="45"/>
        <v>0</v>
      </c>
      <c r="M281" s="140" t="str">
        <f t="shared" si="46"/>
        <v>6350/022Furniture and fittings - depr this year</v>
      </c>
      <c r="N281" s="70"/>
      <c r="P281" s="71"/>
      <c r="Q281" s="51"/>
      <c r="R281" s="31"/>
    </row>
    <row r="282" spans="1:18" x14ac:dyDescent="0.2">
      <c r="A282" s="238"/>
      <c r="B282" s="54" t="s">
        <v>228</v>
      </c>
      <c r="C282" s="242" t="s">
        <v>754</v>
      </c>
      <c r="D282" s="282"/>
      <c r="E282" s="272"/>
      <c r="F282" s="79"/>
      <c r="G282" s="47">
        <f>SUMIF(JournalsB!D$14:D$920,TrialBalanceB!M282,JournalsB!J$14:J$920)+SUMIF(JournalsB!E$14:E$920,TrialBalanceB!M282,JournalsB!J$14:J$920)</f>
        <v>0</v>
      </c>
      <c r="H282" s="288"/>
      <c r="I282" s="290">
        <f t="shared" si="71"/>
        <v>0</v>
      </c>
      <c r="J282" s="75"/>
      <c r="K282" s="48">
        <f t="shared" si="45"/>
        <v>0</v>
      </c>
      <c r="M282" s="140" t="str">
        <f t="shared" si="46"/>
        <v>6350/023Furniture and fittings - acc depr on sales</v>
      </c>
      <c r="N282" s="70"/>
      <c r="P282" s="71"/>
      <c r="Q282" s="51"/>
      <c r="R282" s="31"/>
    </row>
    <row r="283" spans="1:18" x14ac:dyDescent="0.2">
      <c r="A283" s="238"/>
      <c r="B283" s="54" t="s">
        <v>435</v>
      </c>
      <c r="C283" s="239" t="s">
        <v>43</v>
      </c>
      <c r="D283" s="283"/>
      <c r="E283" s="272"/>
      <c r="F283" s="79"/>
      <c r="G283" s="47">
        <f>SUMIF(JournalsB!D$14:D$920,TrialBalanceB!M283,JournalsB!J$14:J$920)+SUMIF(JournalsB!E$14:E$920,TrialBalanceB!M283,JournalsB!J$14:J$920)</f>
        <v>0</v>
      </c>
      <c r="H283" s="288"/>
      <c r="I283" s="290">
        <f t="shared" si="71"/>
        <v>0</v>
      </c>
      <c r="J283" s="75"/>
      <c r="K283" s="48">
        <f t="shared" si="45"/>
        <v>0</v>
      </c>
      <c r="M283" s="140" t="str">
        <f t="shared" si="46"/>
        <v>7000/000INTANGIBLE ASSETS</v>
      </c>
      <c r="N283" s="70"/>
      <c r="P283" s="71"/>
      <c r="Q283" s="51"/>
      <c r="R283" s="31"/>
    </row>
    <row r="284" spans="1:18" x14ac:dyDescent="0.2">
      <c r="A284" s="238"/>
      <c r="B284" s="90" t="s">
        <v>884</v>
      </c>
      <c r="C284" s="239" t="s">
        <v>885</v>
      </c>
      <c r="D284" s="283"/>
      <c r="E284" s="272"/>
      <c r="F284" s="79"/>
      <c r="G284" s="47">
        <f>SUMIF(JournalsB!D$14:D$920,TrialBalanceB!M284,JournalsB!J$14:J$920)+SUMIF(JournalsB!E$14:E$920,TrialBalanceB!M284,JournalsB!J$14:J$920)</f>
        <v>0</v>
      </c>
      <c r="H284" s="288"/>
      <c r="I284" s="290">
        <f t="shared" ref="I284:I301" si="72">ROUND(D284-E284+G284+F284,0)</f>
        <v>0</v>
      </c>
      <c r="J284" s="75"/>
      <c r="K284" s="48">
        <f t="shared" ref="K284:K301" si="73">ROUND(SUM(A284),0)</f>
        <v>0</v>
      </c>
      <c r="M284" s="140" t="str">
        <f t="shared" ref="M284:M301" si="74">CONCATENATE(B284,C284)</f>
        <v>7000/001GOODWILL - COST</v>
      </c>
      <c r="N284" s="70"/>
      <c r="P284" s="71"/>
      <c r="Q284" s="51"/>
      <c r="R284" s="31"/>
    </row>
    <row r="285" spans="1:18" x14ac:dyDescent="0.2">
      <c r="A285" s="238"/>
      <c r="B285" s="90" t="s">
        <v>886</v>
      </c>
      <c r="C285" s="242" t="s">
        <v>887</v>
      </c>
      <c r="D285" s="283"/>
      <c r="E285" s="272"/>
      <c r="F285" s="79">
        <f>SUM(K285:K286)</f>
        <v>0</v>
      </c>
      <c r="G285" s="47">
        <f>SUMIF(JournalsB!D$14:D$920,TrialBalanceB!M285,JournalsB!J$14:J$920)+SUMIF(JournalsB!E$14:E$920,TrialBalanceB!M285,JournalsB!J$14:J$920)</f>
        <v>0</v>
      </c>
      <c r="H285" s="288"/>
      <c r="I285" s="290">
        <f t="shared" si="72"/>
        <v>0</v>
      </c>
      <c r="J285" s="75"/>
      <c r="K285" s="48">
        <f t="shared" si="73"/>
        <v>0</v>
      </c>
      <c r="M285" s="140" t="str">
        <f t="shared" si="74"/>
        <v>7000/002Goodwill - cost b/fwd</v>
      </c>
      <c r="N285" s="70"/>
      <c r="P285" s="71"/>
      <c r="Q285" s="51"/>
      <c r="R285" s="31"/>
    </row>
    <row r="286" spans="1:18" x14ac:dyDescent="0.2">
      <c r="A286" s="238"/>
      <c r="B286" s="90" t="s">
        <v>888</v>
      </c>
      <c r="C286" s="242" t="s">
        <v>889</v>
      </c>
      <c r="D286" s="283"/>
      <c r="E286" s="272"/>
      <c r="F286" s="79"/>
      <c r="G286" s="47">
        <f>SUMIF(JournalsB!D$14:D$920,TrialBalanceB!M286,JournalsB!J$14:J$920)+SUMIF(JournalsB!E$14:E$920,TrialBalanceB!M286,JournalsB!J$14:J$920)</f>
        <v>0</v>
      </c>
      <c r="H286" s="288"/>
      <c r="I286" s="290">
        <f t="shared" si="72"/>
        <v>0</v>
      </c>
      <c r="J286" s="75"/>
      <c r="K286" s="48">
        <f t="shared" si="73"/>
        <v>0</v>
      </c>
      <c r="M286" s="140" t="str">
        <f t="shared" si="74"/>
        <v>7000/003Goodwill - additions</v>
      </c>
      <c r="N286" s="70"/>
      <c r="P286" s="71"/>
      <c r="Q286" s="51"/>
      <c r="R286" s="31"/>
    </row>
    <row r="287" spans="1:18" x14ac:dyDescent="0.2">
      <c r="A287" s="238"/>
      <c r="B287" s="90" t="s">
        <v>890</v>
      </c>
      <c r="C287" s="239" t="s">
        <v>891</v>
      </c>
      <c r="D287" s="283"/>
      <c r="E287" s="272"/>
      <c r="F287" s="79"/>
      <c r="G287" s="47">
        <f>SUMIF(JournalsB!D$14:D$920,TrialBalanceB!M287,JournalsB!J$14:J$920)+SUMIF(JournalsB!E$14:E$920,TrialBalanceB!M287,JournalsB!J$14:J$920)</f>
        <v>0</v>
      </c>
      <c r="H287" s="288"/>
      <c r="I287" s="290">
        <f t="shared" si="72"/>
        <v>0</v>
      </c>
      <c r="J287" s="75"/>
      <c r="K287" s="48">
        <f t="shared" si="73"/>
        <v>0</v>
      </c>
      <c r="M287" s="140" t="str">
        <f t="shared" si="74"/>
        <v>7000/005GOODWILL - ACC AMORTISATION</v>
      </c>
      <c r="N287" s="70"/>
      <c r="P287" s="71"/>
      <c r="Q287" s="51"/>
      <c r="R287" s="31"/>
    </row>
    <row r="288" spans="1:18" x14ac:dyDescent="0.2">
      <c r="A288" s="238"/>
      <c r="B288" s="90" t="s">
        <v>892</v>
      </c>
      <c r="C288" s="242" t="s">
        <v>893</v>
      </c>
      <c r="D288" s="283"/>
      <c r="E288" s="272"/>
      <c r="F288" s="79">
        <f>SUM(K288:K289)</f>
        <v>0</v>
      </c>
      <c r="G288" s="47">
        <f>SUMIF(JournalsB!D$14:D$920,TrialBalanceB!M288,JournalsB!J$14:J$920)+SUMIF(JournalsB!E$14:E$920,TrialBalanceB!M288,JournalsB!J$14:J$920)</f>
        <v>0</v>
      </c>
      <c r="H288" s="288"/>
      <c r="I288" s="290">
        <f t="shared" si="72"/>
        <v>0</v>
      </c>
      <c r="J288" s="75"/>
      <c r="K288" s="48">
        <f t="shared" si="73"/>
        <v>0</v>
      </c>
      <c r="M288" s="140" t="str">
        <f t="shared" si="74"/>
        <v>7000/006Goodwill - acc amortisation b/fwd</v>
      </c>
      <c r="N288" s="70"/>
      <c r="P288" s="71"/>
      <c r="Q288" s="51"/>
      <c r="R288" s="31"/>
    </row>
    <row r="289" spans="1:18" x14ac:dyDescent="0.2">
      <c r="A289" s="238"/>
      <c r="B289" s="90" t="s">
        <v>894</v>
      </c>
      <c r="C289" s="242" t="s">
        <v>895</v>
      </c>
      <c r="D289" s="283"/>
      <c r="E289" s="272"/>
      <c r="F289" s="79"/>
      <c r="G289" s="47">
        <f>SUMIF(JournalsB!D$14:D$920,TrialBalanceB!M289,JournalsB!J$14:J$920)+SUMIF(JournalsB!E$14:E$920,TrialBalanceB!M289,JournalsB!J$14:J$920)</f>
        <v>0</v>
      </c>
      <c r="H289" s="288"/>
      <c r="I289" s="290">
        <f t="shared" si="72"/>
        <v>0</v>
      </c>
      <c r="J289" s="75"/>
      <c r="K289" s="48">
        <f t="shared" si="73"/>
        <v>0</v>
      </c>
      <c r="M289" s="140" t="str">
        <f t="shared" si="74"/>
        <v>7000/007Goodwill - amortisation this year</v>
      </c>
      <c r="N289" s="70"/>
      <c r="P289" s="71"/>
      <c r="Q289" s="51"/>
      <c r="R289" s="31"/>
    </row>
    <row r="290" spans="1:18" x14ac:dyDescent="0.2">
      <c r="A290" s="238"/>
      <c r="B290" s="90" t="s">
        <v>436</v>
      </c>
      <c r="C290" s="239" t="s">
        <v>896</v>
      </c>
      <c r="D290" s="283"/>
      <c r="E290" s="272"/>
      <c r="F290" s="79"/>
      <c r="G290" s="47">
        <f>SUMIF(JournalsB!D$14:D$920,TrialBalanceB!M290,JournalsB!J$14:J$920)+SUMIF(JournalsB!E$14:E$920,TrialBalanceB!M290,JournalsB!J$14:J$920)</f>
        <v>0</v>
      </c>
      <c r="H290" s="288"/>
      <c r="I290" s="290">
        <f t="shared" si="72"/>
        <v>0</v>
      </c>
      <c r="J290" s="75"/>
      <c r="K290" s="48">
        <f t="shared" si="73"/>
        <v>0</v>
      </c>
      <c r="M290" s="140" t="str">
        <f t="shared" si="74"/>
        <v>7000/010GOODWILL - IMPAIRMENT</v>
      </c>
      <c r="N290" s="70"/>
      <c r="P290" s="71"/>
      <c r="Q290" s="51"/>
      <c r="R290" s="31"/>
    </row>
    <row r="291" spans="1:18" x14ac:dyDescent="0.2">
      <c r="A291" s="238"/>
      <c r="B291" s="90" t="s">
        <v>611</v>
      </c>
      <c r="C291" s="242" t="s">
        <v>897</v>
      </c>
      <c r="D291" s="283"/>
      <c r="E291" s="272"/>
      <c r="F291" s="79">
        <f>SUM(K291:K292)</f>
        <v>0</v>
      </c>
      <c r="G291" s="47">
        <f>SUMIF(JournalsB!D$14:D$920,TrialBalanceB!M291,JournalsB!J$14:J$920)+SUMIF(JournalsB!E$14:E$920,TrialBalanceB!M291,JournalsB!J$14:J$920)</f>
        <v>0</v>
      </c>
      <c r="H291" s="288"/>
      <c r="I291" s="290">
        <f t="shared" si="72"/>
        <v>0</v>
      </c>
      <c r="J291" s="75"/>
      <c r="K291" s="48">
        <f t="shared" si="73"/>
        <v>0</v>
      </c>
      <c r="M291" s="140" t="str">
        <f t="shared" si="74"/>
        <v>7000/011Goodwill - impairment loss b/fwd</v>
      </c>
      <c r="N291" s="70"/>
      <c r="P291" s="71"/>
      <c r="Q291" s="51"/>
      <c r="R291" s="31"/>
    </row>
    <row r="292" spans="1:18" x14ac:dyDescent="0.2">
      <c r="A292" s="238"/>
      <c r="B292" s="90" t="s">
        <v>898</v>
      </c>
      <c r="C292" s="242" t="s">
        <v>899</v>
      </c>
      <c r="D292" s="283"/>
      <c r="E292" s="272"/>
      <c r="F292" s="79"/>
      <c r="G292" s="47">
        <f>SUMIF(JournalsB!D$14:D$920,TrialBalanceB!M292,JournalsB!J$14:J$920)+SUMIF(JournalsB!E$14:E$920,TrialBalanceB!M292,JournalsB!J$14:J$920)</f>
        <v>0</v>
      </c>
      <c r="H292" s="288"/>
      <c r="I292" s="290">
        <f t="shared" si="72"/>
        <v>0</v>
      </c>
      <c r="J292" s="75"/>
      <c r="K292" s="48">
        <f t="shared" si="73"/>
        <v>0</v>
      </c>
      <c r="M292" s="140" t="str">
        <f t="shared" si="74"/>
        <v>7000/012Goodwill - impairment loss this year</v>
      </c>
      <c r="N292" s="70"/>
      <c r="P292" s="71"/>
      <c r="Q292" s="51"/>
      <c r="R292" s="31"/>
    </row>
    <row r="293" spans="1:18" x14ac:dyDescent="0.2">
      <c r="A293" s="238"/>
      <c r="B293" s="90" t="s">
        <v>900</v>
      </c>
      <c r="C293" s="239" t="s">
        <v>901</v>
      </c>
      <c r="D293" s="283"/>
      <c r="E293" s="272"/>
      <c r="F293" s="79"/>
      <c r="G293" s="47">
        <f>SUMIF(JournalsB!D$14:D$920,TrialBalanceB!M293,JournalsB!J$14:J$920)+SUMIF(JournalsB!E$14:E$920,TrialBalanceB!M293,JournalsB!J$14:J$920)</f>
        <v>0</v>
      </c>
      <c r="H293" s="288"/>
      <c r="I293" s="290">
        <f t="shared" si="72"/>
        <v>0</v>
      </c>
      <c r="J293" s="75"/>
      <c r="K293" s="48">
        <f t="shared" si="73"/>
        <v>0</v>
      </c>
      <c r="M293" s="140" t="str">
        <f t="shared" si="74"/>
        <v>7000/021PREPAID LEASE AGREEMENT - COST</v>
      </c>
      <c r="N293" s="70"/>
      <c r="P293" s="71"/>
      <c r="Q293" s="51"/>
      <c r="R293" s="31"/>
    </row>
    <row r="294" spans="1:18" x14ac:dyDescent="0.2">
      <c r="A294" s="238"/>
      <c r="B294" s="90" t="s">
        <v>902</v>
      </c>
      <c r="C294" s="242" t="s">
        <v>903</v>
      </c>
      <c r="D294" s="283"/>
      <c r="E294" s="272"/>
      <c r="F294" s="79">
        <f>SUM(K294:K295)</f>
        <v>0</v>
      </c>
      <c r="G294" s="47">
        <f>SUMIF(JournalsB!D$14:D$920,TrialBalanceB!M294,JournalsB!J$14:J$920)+SUMIF(JournalsB!E$14:E$920,TrialBalanceB!M294,JournalsB!J$14:J$920)</f>
        <v>0</v>
      </c>
      <c r="H294" s="288"/>
      <c r="I294" s="290">
        <f t="shared" si="72"/>
        <v>0</v>
      </c>
      <c r="J294" s="75"/>
      <c r="K294" s="48">
        <f t="shared" si="73"/>
        <v>0</v>
      </c>
      <c r="M294" s="140" t="str">
        <f t="shared" si="74"/>
        <v>7000/022Prepaid lease agreement - cost b/fwd</v>
      </c>
      <c r="N294" s="70"/>
      <c r="P294" s="71"/>
      <c r="Q294" s="51"/>
      <c r="R294" s="31"/>
    </row>
    <row r="295" spans="1:18" x14ac:dyDescent="0.2">
      <c r="A295" s="238"/>
      <c r="B295" s="90" t="s">
        <v>904</v>
      </c>
      <c r="C295" s="242" t="s">
        <v>905</v>
      </c>
      <c r="D295" s="283"/>
      <c r="E295" s="272"/>
      <c r="F295" s="79"/>
      <c r="G295" s="47">
        <f>SUMIF(JournalsB!D$14:D$920,TrialBalanceB!M295,JournalsB!J$14:J$920)+SUMIF(JournalsB!E$14:E$920,TrialBalanceB!M295,JournalsB!J$14:J$920)</f>
        <v>0</v>
      </c>
      <c r="H295" s="288"/>
      <c r="I295" s="290">
        <f t="shared" si="72"/>
        <v>0</v>
      </c>
      <c r="J295" s="75"/>
      <c r="K295" s="48">
        <f t="shared" si="73"/>
        <v>0</v>
      </c>
      <c r="M295" s="140" t="str">
        <f t="shared" si="74"/>
        <v>7000/023Prepaid lease agreement - additions</v>
      </c>
      <c r="N295" s="70"/>
      <c r="P295" s="71"/>
      <c r="Q295" s="51"/>
      <c r="R295" s="31"/>
    </row>
    <row r="296" spans="1:18" x14ac:dyDescent="0.2">
      <c r="A296" s="238"/>
      <c r="B296" s="90" t="s">
        <v>437</v>
      </c>
      <c r="C296" s="239" t="s">
        <v>906</v>
      </c>
      <c r="D296" s="283"/>
      <c r="E296" s="272"/>
      <c r="F296" s="79"/>
      <c r="G296" s="47">
        <f>SUMIF(JournalsB!D$14:D$920,TrialBalanceB!M296,JournalsB!J$14:J$920)+SUMIF(JournalsB!E$14:E$920,TrialBalanceB!M296,JournalsB!J$14:J$920)</f>
        <v>0</v>
      </c>
      <c r="H296" s="288"/>
      <c r="I296" s="290">
        <f t="shared" si="72"/>
        <v>0</v>
      </c>
      <c r="J296" s="75"/>
      <c r="K296" s="48">
        <f t="shared" si="73"/>
        <v>0</v>
      </c>
      <c r="M296" s="140" t="str">
        <f t="shared" si="74"/>
        <v>7000/025PREPAID LEASE AGREEMENT - ACC AMORTISATION</v>
      </c>
      <c r="N296" s="70"/>
      <c r="P296" s="71"/>
      <c r="Q296" s="51"/>
      <c r="R296" s="31"/>
    </row>
    <row r="297" spans="1:18" x14ac:dyDescent="0.2">
      <c r="A297" s="238"/>
      <c r="B297" s="90" t="s">
        <v>907</v>
      </c>
      <c r="C297" s="242" t="s">
        <v>908</v>
      </c>
      <c r="D297" s="283"/>
      <c r="E297" s="272"/>
      <c r="F297" s="79">
        <f>SUM(K297:K298)</f>
        <v>0</v>
      </c>
      <c r="G297" s="47">
        <f>SUMIF(JournalsB!D$14:D$920,TrialBalanceB!M297,JournalsB!J$14:J$920)+SUMIF(JournalsB!E$14:E$920,TrialBalanceB!M297,JournalsB!J$14:J$920)</f>
        <v>0</v>
      </c>
      <c r="H297" s="288"/>
      <c r="I297" s="290">
        <f t="shared" si="72"/>
        <v>0</v>
      </c>
      <c r="J297" s="75"/>
      <c r="K297" s="48">
        <f t="shared" si="73"/>
        <v>0</v>
      </c>
      <c r="M297" s="140" t="str">
        <f t="shared" si="74"/>
        <v>7000/026Prepaid lease agreement - acc amortisation b/fwd</v>
      </c>
      <c r="N297" s="70"/>
      <c r="P297" s="71"/>
      <c r="Q297" s="51"/>
      <c r="R297" s="31"/>
    </row>
    <row r="298" spans="1:18" x14ac:dyDescent="0.2">
      <c r="A298" s="238"/>
      <c r="B298" s="90" t="s">
        <v>909</v>
      </c>
      <c r="C298" s="242" t="s">
        <v>910</v>
      </c>
      <c r="D298" s="283"/>
      <c r="E298" s="272"/>
      <c r="F298" s="79"/>
      <c r="G298" s="47">
        <f>SUMIF(JournalsB!D$14:D$920,TrialBalanceB!M298,JournalsB!J$14:J$920)+SUMIF(JournalsB!E$14:E$920,TrialBalanceB!M298,JournalsB!J$14:J$920)</f>
        <v>0</v>
      </c>
      <c r="H298" s="288"/>
      <c r="I298" s="290">
        <f t="shared" si="72"/>
        <v>0</v>
      </c>
      <c r="J298" s="75"/>
      <c r="K298" s="48">
        <f t="shared" si="73"/>
        <v>0</v>
      </c>
      <c r="M298" s="140" t="str">
        <f t="shared" si="74"/>
        <v>7000/027Prepaid lease agreement - amortisation this year</v>
      </c>
      <c r="N298" s="70"/>
      <c r="P298" s="71"/>
      <c r="Q298" s="51"/>
      <c r="R298" s="31"/>
    </row>
    <row r="299" spans="1:18" x14ac:dyDescent="0.2">
      <c r="A299" s="238"/>
      <c r="B299" s="90" t="s">
        <v>911</v>
      </c>
      <c r="C299" s="239" t="s">
        <v>912</v>
      </c>
      <c r="D299" s="283"/>
      <c r="E299" s="272"/>
      <c r="F299" s="79"/>
      <c r="G299" s="47">
        <f>SUMIF(JournalsB!D$14:D$920,TrialBalanceB!M299,JournalsB!J$14:J$920)+SUMIF(JournalsB!E$14:E$920,TrialBalanceB!M299,JournalsB!J$14:J$920)</f>
        <v>0</v>
      </c>
      <c r="H299" s="288"/>
      <c r="I299" s="290">
        <f t="shared" si="72"/>
        <v>0</v>
      </c>
      <c r="J299" s="75"/>
      <c r="K299" s="48">
        <f t="shared" si="73"/>
        <v>0</v>
      </c>
      <c r="M299" s="140" t="str">
        <f t="shared" si="74"/>
        <v>7000/030PREPAID LEASE AGREEMENT - IMPAIRMENT</v>
      </c>
      <c r="N299" s="70"/>
      <c r="P299" s="71"/>
      <c r="Q299" s="51"/>
      <c r="R299" s="31"/>
    </row>
    <row r="300" spans="1:18" x14ac:dyDescent="0.2">
      <c r="A300" s="238"/>
      <c r="B300" s="90" t="s">
        <v>913</v>
      </c>
      <c r="C300" s="242" t="s">
        <v>914</v>
      </c>
      <c r="D300" s="283"/>
      <c r="E300" s="272"/>
      <c r="F300" s="79">
        <f>SUM(K300:K301)</f>
        <v>0</v>
      </c>
      <c r="G300" s="47">
        <f>SUMIF(JournalsB!D$14:D$920,TrialBalanceB!M300,JournalsB!J$14:J$920)+SUMIF(JournalsB!E$14:E$920,TrialBalanceB!M300,JournalsB!J$14:J$920)</f>
        <v>0</v>
      </c>
      <c r="H300" s="288"/>
      <c r="I300" s="290">
        <f t="shared" si="72"/>
        <v>0</v>
      </c>
      <c r="J300" s="75"/>
      <c r="K300" s="48">
        <f t="shared" si="73"/>
        <v>0</v>
      </c>
      <c r="M300" s="140" t="str">
        <f t="shared" si="74"/>
        <v>7000/031Prepaid lease agreement - impairment loss b/fwd</v>
      </c>
      <c r="N300" s="70"/>
      <c r="P300" s="71"/>
      <c r="Q300" s="51"/>
      <c r="R300" s="31"/>
    </row>
    <row r="301" spans="1:18" x14ac:dyDescent="0.2">
      <c r="A301" s="238"/>
      <c r="B301" s="90" t="s">
        <v>915</v>
      </c>
      <c r="C301" s="242" t="s">
        <v>916</v>
      </c>
      <c r="D301" s="283"/>
      <c r="E301" s="272"/>
      <c r="F301" s="79"/>
      <c r="G301" s="47">
        <f>SUMIF(JournalsB!D$14:D$920,TrialBalanceB!M301,JournalsB!J$14:J$920)+SUMIF(JournalsB!E$14:E$920,TrialBalanceB!M301,JournalsB!J$14:J$920)</f>
        <v>0</v>
      </c>
      <c r="H301" s="288"/>
      <c r="I301" s="290">
        <f t="shared" si="72"/>
        <v>0</v>
      </c>
      <c r="J301" s="75"/>
      <c r="K301" s="48">
        <f t="shared" si="73"/>
        <v>0</v>
      </c>
      <c r="M301" s="140" t="str">
        <f t="shared" si="74"/>
        <v>7000/032Prepaid lease agreement - impairment loss this year</v>
      </c>
      <c r="N301" s="70"/>
      <c r="P301" s="71"/>
      <c r="Q301" s="51"/>
      <c r="R301" s="31"/>
    </row>
    <row r="302" spans="1:18" x14ac:dyDescent="0.2">
      <c r="A302" s="238"/>
      <c r="B302" s="54" t="s">
        <v>438</v>
      </c>
      <c r="C302" s="239" t="s">
        <v>155</v>
      </c>
      <c r="D302" s="283"/>
      <c r="E302" s="272"/>
      <c r="F302" s="79"/>
      <c r="G302" s="47">
        <f>SUMIF(JournalsB!D$14:D$920,TrialBalanceB!M302,JournalsB!J$14:J$920)+SUMIF(JournalsB!E$14:E$920,TrialBalanceB!M302,JournalsB!J$14:J$920)</f>
        <v>0</v>
      </c>
      <c r="H302" s="288"/>
      <c r="I302" s="290">
        <f t="shared" si="71"/>
        <v>0</v>
      </c>
      <c r="J302" s="75"/>
      <c r="K302" s="48">
        <f t="shared" ref="K302:K389" si="75">ROUND(SUM(A302),0)</f>
        <v>0</v>
      </c>
      <c r="M302" s="140" t="str">
        <f t="shared" ref="M302:M389" si="76">CONCATENATE(B302,C302)</f>
        <v>7100/000INVESTMENTS</v>
      </c>
      <c r="N302" s="70"/>
      <c r="P302" s="71"/>
      <c r="Q302" s="51"/>
      <c r="R302" s="31"/>
    </row>
    <row r="303" spans="1:18" x14ac:dyDescent="0.2">
      <c r="A303" s="238"/>
      <c r="B303" s="90" t="s">
        <v>845</v>
      </c>
      <c r="C303" s="242" t="s">
        <v>846</v>
      </c>
      <c r="D303" s="283"/>
      <c r="E303" s="272"/>
      <c r="F303" s="79"/>
      <c r="G303" s="47">
        <f>SUMIF(JournalsB!D$14:D$920,TrialBalanceB!M303,JournalsB!J$14:J$920)+SUMIF(JournalsB!E$14:E$920,TrialBalanceB!M303,JournalsB!J$14:J$920)</f>
        <v>0</v>
      </c>
      <c r="H303" s="288"/>
      <c r="I303" s="290">
        <f t="shared" ref="I303:I306" si="77">ROUND(D303-E303+G303+F303,0)</f>
        <v>0</v>
      </c>
      <c r="J303" s="75"/>
      <c r="K303" s="48">
        <f t="shared" ref="K303:K306" si="78">ROUND(SUM(A303),0)</f>
        <v>0</v>
      </c>
      <c r="M303" s="140" t="str">
        <f t="shared" ref="M303:M306" si="79">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SUMIF(JournalsB!D$14:D$920,TrialBalanceB!M304,JournalsB!J$14:J$920)+SUMIF(JournalsB!E$14:E$920,TrialBalanceB!M304,JournalsB!J$14:J$920)</f>
        <v>0</v>
      </c>
      <c r="H304" s="288"/>
      <c r="I304" s="290">
        <f t="shared" si="77"/>
        <v>0</v>
      </c>
      <c r="J304" s="75"/>
      <c r="K304" s="48">
        <f t="shared" si="78"/>
        <v>0</v>
      </c>
      <c r="M304" s="140" t="str">
        <f t="shared" si="79"/>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SUMIF(JournalsB!D$14:D$920,TrialBalanceB!M305,JournalsB!J$14:J$920)+SUMIF(JournalsB!E$14:E$920,TrialBalanceB!M305,JournalsB!J$14:J$920)</f>
        <v>0</v>
      </c>
      <c r="H305" s="288"/>
      <c r="I305" s="290">
        <f t="shared" si="77"/>
        <v>0</v>
      </c>
      <c r="J305" s="75"/>
      <c r="K305" s="48">
        <f t="shared" si="78"/>
        <v>0</v>
      </c>
      <c r="M305" s="140" t="str">
        <f t="shared" si="79"/>
        <v>7100/0520</v>
      </c>
      <c r="N305" s="70"/>
      <c r="P305" s="71"/>
      <c r="Q305" s="51"/>
      <c r="R305" s="31"/>
    </row>
    <row r="306" spans="1:18" x14ac:dyDescent="0.2">
      <c r="A306" s="238"/>
      <c r="B306" s="90" t="s">
        <v>849</v>
      </c>
      <c r="C306" s="276">
        <f>TrialBalance!C306</f>
        <v>0</v>
      </c>
      <c r="D306" s="250"/>
      <c r="E306" s="251"/>
      <c r="F306" s="79">
        <f>K306</f>
        <v>0</v>
      </c>
      <c r="G306" s="47">
        <f>SUMIF(JournalsB!D$14:D$920,TrialBalanceB!M306,JournalsB!J$14:J$920)+SUMIF(JournalsB!E$14:E$920,TrialBalanceB!M306,JournalsB!J$14:J$920)</f>
        <v>0</v>
      </c>
      <c r="H306" s="288"/>
      <c r="I306" s="290">
        <f t="shared" si="77"/>
        <v>0</v>
      </c>
      <c r="J306" s="75"/>
      <c r="K306" s="48">
        <f t="shared" si="78"/>
        <v>0</v>
      </c>
      <c r="M306" s="140" t="str">
        <f t="shared" si="79"/>
        <v>7100/0530</v>
      </c>
      <c r="N306" s="70"/>
      <c r="P306" s="71"/>
      <c r="Q306" s="51"/>
      <c r="R306" s="31"/>
    </row>
    <row r="307" spans="1:18" x14ac:dyDescent="0.2">
      <c r="A307" s="238"/>
      <c r="B307" s="54" t="s">
        <v>439</v>
      </c>
      <c r="C307" s="240" t="s">
        <v>440</v>
      </c>
      <c r="D307" s="282"/>
      <c r="E307" s="272"/>
      <c r="F307" s="79"/>
      <c r="G307" s="47">
        <f>SUMIF(JournalsB!D$14:D$920,TrialBalanceB!M307,JournalsB!J$14:J$920)+SUMIF(JournalsB!E$14:E$920,TrialBalanceB!M307,JournalsB!J$14:J$920)</f>
        <v>0</v>
      </c>
      <c r="H307" s="288"/>
      <c r="I307" s="290">
        <f t="shared" si="71"/>
        <v>0</v>
      </c>
      <c r="J307" s="75"/>
      <c r="K307" s="48">
        <f t="shared" si="75"/>
        <v>0</v>
      </c>
      <c r="M307" s="140" t="str">
        <f t="shared" si="76"/>
        <v>7100/100LISTED INVESTMENTS</v>
      </c>
      <c r="N307" s="70"/>
      <c r="P307" s="71"/>
      <c r="Q307" s="51"/>
      <c r="R307" s="31"/>
    </row>
    <row r="308" spans="1:18" x14ac:dyDescent="0.2">
      <c r="A308" s="238"/>
      <c r="B308" s="54" t="s">
        <v>441</v>
      </c>
      <c r="C308" s="276">
        <f>TrialBalance!C308</f>
        <v>0</v>
      </c>
      <c r="D308" s="282"/>
      <c r="E308" s="272"/>
      <c r="F308" s="79">
        <f>K308</f>
        <v>0</v>
      </c>
      <c r="G308" s="47">
        <f>SUMIF(JournalsB!D$14:D$920,TrialBalanceB!M308,JournalsB!J$14:J$920)+SUMIF(JournalsB!E$14:E$920,TrialBalanceB!M308,JournalsB!J$14:J$920)</f>
        <v>0</v>
      </c>
      <c r="H308" s="288"/>
      <c r="I308" s="290">
        <f t="shared" si="71"/>
        <v>0</v>
      </c>
      <c r="J308" s="75"/>
      <c r="K308" s="48">
        <f t="shared" si="75"/>
        <v>0</v>
      </c>
      <c r="M308" s="140" t="str">
        <f t="shared" si="76"/>
        <v>7100/1010</v>
      </c>
      <c r="N308" s="70"/>
      <c r="P308" s="71"/>
      <c r="Q308" s="51"/>
      <c r="R308" s="31"/>
    </row>
    <row r="309" spans="1:18" x14ac:dyDescent="0.2">
      <c r="A309" s="238"/>
      <c r="B309" s="54" t="s">
        <v>442</v>
      </c>
      <c r="C309" s="276">
        <f>TrialBalance!C309</f>
        <v>0</v>
      </c>
      <c r="D309" s="282"/>
      <c r="E309" s="272"/>
      <c r="F309" s="79">
        <f t="shared" ref="F309:F377" si="80">K309</f>
        <v>0</v>
      </c>
      <c r="G309" s="47">
        <f>SUMIF(JournalsB!D$14:D$920,TrialBalanceB!M309,JournalsB!J$14:J$920)+SUMIF(JournalsB!E$14:E$920,TrialBalanceB!M309,JournalsB!J$14:J$920)</f>
        <v>0</v>
      </c>
      <c r="H309" s="288"/>
      <c r="I309" s="290">
        <f t="shared" si="71"/>
        <v>0</v>
      </c>
      <c r="J309" s="75"/>
      <c r="K309" s="48">
        <f t="shared" si="75"/>
        <v>0</v>
      </c>
      <c r="M309" s="140" t="str">
        <f t="shared" si="76"/>
        <v>7100/1020</v>
      </c>
      <c r="N309" s="70"/>
      <c r="P309" s="71"/>
      <c r="Q309" s="51"/>
      <c r="R309" s="31"/>
    </row>
    <row r="310" spans="1:18" x14ac:dyDescent="0.2">
      <c r="A310" s="238"/>
      <c r="B310" s="54" t="s">
        <v>443</v>
      </c>
      <c r="C310" s="276">
        <f>TrialBalance!C310</f>
        <v>0</v>
      </c>
      <c r="D310" s="282"/>
      <c r="E310" s="272"/>
      <c r="F310" s="79">
        <f t="shared" si="80"/>
        <v>0</v>
      </c>
      <c r="G310" s="47">
        <f>SUMIF(JournalsB!D$14:D$920,TrialBalanceB!M310,JournalsB!J$14:J$920)+SUMIF(JournalsB!E$14:E$920,TrialBalanceB!M310,JournalsB!J$14:J$920)</f>
        <v>0</v>
      </c>
      <c r="H310" s="288"/>
      <c r="I310" s="290">
        <f t="shared" si="71"/>
        <v>0</v>
      </c>
      <c r="J310" s="75"/>
      <c r="K310" s="48">
        <f t="shared" si="75"/>
        <v>0</v>
      </c>
      <c r="M310" s="140" t="str">
        <f t="shared" si="76"/>
        <v>7100/1030</v>
      </c>
      <c r="N310" s="70"/>
      <c r="P310" s="71"/>
      <c r="Q310" s="51"/>
      <c r="R310" s="31"/>
    </row>
    <row r="311" spans="1:18" x14ac:dyDescent="0.2">
      <c r="A311" s="238"/>
      <c r="B311" s="54" t="s">
        <v>444</v>
      </c>
      <c r="C311" s="276">
        <f>TrialBalance!C311</f>
        <v>0</v>
      </c>
      <c r="D311" s="282"/>
      <c r="E311" s="272"/>
      <c r="F311" s="79">
        <f t="shared" si="80"/>
        <v>0</v>
      </c>
      <c r="G311" s="47">
        <f>SUMIF(JournalsB!D$14:D$920,TrialBalanceB!M311,JournalsB!J$14:J$920)+SUMIF(JournalsB!E$14:E$920,TrialBalanceB!M311,JournalsB!J$14:J$920)</f>
        <v>0</v>
      </c>
      <c r="H311" s="288"/>
      <c r="I311" s="290">
        <f t="shared" si="71"/>
        <v>0</v>
      </c>
      <c r="J311" s="75"/>
      <c r="K311" s="48">
        <f t="shared" si="75"/>
        <v>0</v>
      </c>
      <c r="M311" s="140" t="str">
        <f t="shared" si="76"/>
        <v>7100/1040</v>
      </c>
      <c r="N311" s="70"/>
      <c r="P311" s="71"/>
      <c r="Q311" s="51"/>
      <c r="R311" s="31"/>
    </row>
    <row r="312" spans="1:18" x14ac:dyDescent="0.2">
      <c r="A312" s="238"/>
      <c r="B312" s="54" t="s">
        <v>445</v>
      </c>
      <c r="C312" s="276">
        <f>TrialBalance!C312</f>
        <v>0</v>
      </c>
      <c r="D312" s="282"/>
      <c r="E312" s="272"/>
      <c r="F312" s="79">
        <f t="shared" si="80"/>
        <v>0</v>
      </c>
      <c r="G312" s="47">
        <f>SUMIF(JournalsB!D$14:D$920,TrialBalanceB!M312,JournalsB!J$14:J$920)+SUMIF(JournalsB!E$14:E$920,TrialBalanceB!M312,JournalsB!J$14:J$920)</f>
        <v>0</v>
      </c>
      <c r="H312" s="288"/>
      <c r="I312" s="290">
        <f t="shared" si="71"/>
        <v>0</v>
      </c>
      <c r="J312" s="75"/>
      <c r="K312" s="48">
        <f t="shared" si="75"/>
        <v>0</v>
      </c>
      <c r="M312" s="140" t="str">
        <f t="shared" si="76"/>
        <v>7100/1050</v>
      </c>
      <c r="N312" s="70"/>
      <c r="P312" s="71"/>
      <c r="Q312" s="51"/>
      <c r="R312" s="31"/>
    </row>
    <row r="313" spans="1:18" x14ac:dyDescent="0.2">
      <c r="A313" s="238"/>
      <c r="B313" s="54" t="s">
        <v>446</v>
      </c>
      <c r="C313" s="239" t="s">
        <v>347</v>
      </c>
      <c r="D313" s="283"/>
      <c r="E313" s="272"/>
      <c r="F313" s="79"/>
      <c r="G313" s="47">
        <f>SUMIF(JournalsB!D$14:D$920,TrialBalanceB!M313,JournalsB!J$14:J$920)+SUMIF(JournalsB!E$14:E$920,TrialBalanceB!M313,JournalsB!J$14:J$920)</f>
        <v>0</v>
      </c>
      <c r="H313" s="288"/>
      <c r="I313" s="290">
        <f t="shared" si="71"/>
        <v>0</v>
      </c>
      <c r="J313" s="75"/>
      <c r="K313" s="48">
        <f t="shared" si="75"/>
        <v>0</v>
      </c>
      <c r="M313" s="140" t="str">
        <f t="shared" si="76"/>
        <v>7100/200OTHER INVESTMENTS</v>
      </c>
      <c r="N313" s="70"/>
      <c r="P313" s="71"/>
      <c r="Q313" s="51"/>
      <c r="R313" s="31"/>
    </row>
    <row r="314" spans="1:18" x14ac:dyDescent="0.2">
      <c r="A314" s="238"/>
      <c r="B314" s="54" t="s">
        <v>447</v>
      </c>
      <c r="C314" s="276">
        <f>TrialBalance!C314</f>
        <v>0</v>
      </c>
      <c r="D314" s="284"/>
      <c r="E314" s="272"/>
      <c r="F314" s="79">
        <f t="shared" si="80"/>
        <v>0</v>
      </c>
      <c r="G314" s="47">
        <f>SUMIF(JournalsB!D$14:D$920,TrialBalanceB!M314,JournalsB!J$14:J$920)+SUMIF(JournalsB!E$14:E$920,TrialBalanceB!M314,JournalsB!J$14:J$920)</f>
        <v>0</v>
      </c>
      <c r="H314" s="288"/>
      <c r="I314" s="290">
        <f t="shared" si="71"/>
        <v>0</v>
      </c>
      <c r="J314" s="75"/>
      <c r="K314" s="48">
        <f t="shared" si="75"/>
        <v>0</v>
      </c>
      <c r="M314" s="140" t="str">
        <f t="shared" si="76"/>
        <v>7100/2010</v>
      </c>
      <c r="N314" s="70"/>
      <c r="P314" s="71"/>
      <c r="Q314" s="51"/>
      <c r="R314" s="31"/>
    </row>
    <row r="315" spans="1:18" x14ac:dyDescent="0.2">
      <c r="A315" s="238"/>
      <c r="B315" s="54" t="s">
        <v>448</v>
      </c>
      <c r="C315" s="276">
        <f>TrialBalance!C315</f>
        <v>0</v>
      </c>
      <c r="D315" s="284"/>
      <c r="E315" s="272"/>
      <c r="F315" s="79">
        <f t="shared" si="80"/>
        <v>0</v>
      </c>
      <c r="G315" s="47">
        <f>SUMIF(JournalsB!D$14:D$920,TrialBalanceB!M315,JournalsB!J$14:J$920)+SUMIF(JournalsB!E$14:E$920,TrialBalanceB!M315,JournalsB!J$14:J$920)</f>
        <v>0</v>
      </c>
      <c r="H315" s="288"/>
      <c r="I315" s="290">
        <f t="shared" si="71"/>
        <v>0</v>
      </c>
      <c r="J315" s="75"/>
      <c r="K315" s="48">
        <f t="shared" si="75"/>
        <v>0</v>
      </c>
      <c r="M315" s="140" t="str">
        <f t="shared" si="76"/>
        <v>7100/2020</v>
      </c>
      <c r="N315" s="70"/>
      <c r="P315" s="71"/>
      <c r="Q315" s="51"/>
      <c r="R315" s="31"/>
    </row>
    <row r="316" spans="1:18" x14ac:dyDescent="0.2">
      <c r="A316" s="238"/>
      <c r="B316" s="54" t="s">
        <v>449</v>
      </c>
      <c r="C316" s="276">
        <f>TrialBalance!C316</f>
        <v>0</v>
      </c>
      <c r="D316" s="282"/>
      <c r="E316" s="272"/>
      <c r="F316" s="79">
        <f t="shared" si="80"/>
        <v>0</v>
      </c>
      <c r="G316" s="47">
        <f>SUMIF(JournalsB!D$14:D$920,TrialBalanceB!M316,JournalsB!J$14:J$920)+SUMIF(JournalsB!E$14:E$920,TrialBalanceB!M316,JournalsB!J$14:J$920)</f>
        <v>0</v>
      </c>
      <c r="H316" s="288"/>
      <c r="I316" s="290">
        <f t="shared" si="71"/>
        <v>0</v>
      </c>
      <c r="J316" s="75"/>
      <c r="K316" s="48">
        <f t="shared" si="75"/>
        <v>0</v>
      </c>
      <c r="M316" s="140" t="str">
        <f t="shared" si="76"/>
        <v>7100/2030</v>
      </c>
      <c r="N316" s="70"/>
      <c r="P316" s="71"/>
      <c r="Q316" s="51"/>
      <c r="R316" s="31"/>
    </row>
    <row r="317" spans="1:18" x14ac:dyDescent="0.2">
      <c r="A317" s="238"/>
      <c r="B317" s="54" t="s">
        <v>450</v>
      </c>
      <c r="C317" s="276">
        <f>TrialBalance!C317</f>
        <v>0</v>
      </c>
      <c r="D317" s="282"/>
      <c r="E317" s="272"/>
      <c r="F317" s="79">
        <f t="shared" si="80"/>
        <v>0</v>
      </c>
      <c r="G317" s="47">
        <f>SUMIF(JournalsB!D$14:D$920,TrialBalanceB!M317,JournalsB!J$14:J$920)+SUMIF(JournalsB!E$14:E$920,TrialBalanceB!M317,JournalsB!J$14:J$920)</f>
        <v>0</v>
      </c>
      <c r="H317" s="288"/>
      <c r="I317" s="290">
        <f t="shared" si="71"/>
        <v>0</v>
      </c>
      <c r="J317" s="75"/>
      <c r="K317" s="48">
        <f t="shared" si="75"/>
        <v>0</v>
      </c>
      <c r="M317" s="140" t="str">
        <f t="shared" si="76"/>
        <v>7100/2040</v>
      </c>
      <c r="N317" s="70"/>
      <c r="P317" s="71"/>
      <c r="Q317" s="51"/>
      <c r="R317" s="31"/>
    </row>
    <row r="318" spans="1:18" x14ac:dyDescent="0.2">
      <c r="A318" s="238"/>
      <c r="B318" s="54" t="s">
        <v>142</v>
      </c>
      <c r="C318" s="276">
        <f>TrialBalance!C318</f>
        <v>0</v>
      </c>
      <c r="D318" s="282"/>
      <c r="E318" s="272"/>
      <c r="F318" s="79">
        <f t="shared" si="80"/>
        <v>0</v>
      </c>
      <c r="G318" s="47">
        <f>SUMIF(JournalsB!D$14:D$920,TrialBalanceB!M318,JournalsB!J$14:J$920)+SUMIF(JournalsB!E$14:E$920,TrialBalanceB!M318,JournalsB!J$14:J$920)</f>
        <v>0</v>
      </c>
      <c r="H318" s="288"/>
      <c r="I318" s="290">
        <f t="shared" si="71"/>
        <v>0</v>
      </c>
      <c r="J318" s="75"/>
      <c r="K318" s="48">
        <f t="shared" si="75"/>
        <v>0</v>
      </c>
      <c r="M318" s="140" t="str">
        <f t="shared" si="76"/>
        <v>7100/2050</v>
      </c>
      <c r="N318" s="70"/>
      <c r="P318" s="71"/>
      <c r="Q318" s="51"/>
      <c r="R318" s="31"/>
    </row>
    <row r="319" spans="1:18" x14ac:dyDescent="0.2">
      <c r="A319" s="238"/>
      <c r="B319" s="54" t="s">
        <v>143</v>
      </c>
      <c r="C319" s="242" t="s">
        <v>687</v>
      </c>
      <c r="D319" s="282"/>
      <c r="E319" s="272"/>
      <c r="F319" s="79"/>
      <c r="G319" s="47">
        <f>SUMIF(JournalsB!D$14:D$920,TrialBalanceB!M319,JournalsB!J$14:J$920)+SUMIF(JournalsB!E$14:E$920,TrialBalanceB!M319,JournalsB!J$14:J$920)</f>
        <v>0</v>
      </c>
      <c r="H319" s="288"/>
      <c r="I319" s="290">
        <f t="shared" si="71"/>
        <v>0</v>
      </c>
      <c r="J319" s="75"/>
      <c r="K319" s="48">
        <f t="shared" si="75"/>
        <v>0</v>
      </c>
      <c r="M319" s="140" t="str">
        <f t="shared" si="76"/>
        <v>7450/000CONNECTED ENTITIES LOANS</v>
      </c>
      <c r="N319" s="70"/>
      <c r="P319" s="71"/>
      <c r="Q319" s="51"/>
      <c r="R319" s="31"/>
    </row>
    <row r="320" spans="1:18" x14ac:dyDescent="0.2">
      <c r="A320" s="238"/>
      <c r="B320" s="54" t="s">
        <v>143</v>
      </c>
      <c r="C320" s="242" t="s">
        <v>637</v>
      </c>
      <c r="D320" s="282"/>
      <c r="E320" s="272"/>
      <c r="F320" s="79"/>
      <c r="G320" s="47">
        <f>SUMIF(JournalsB!D$14:D$920,TrialBalanceB!M320,JournalsB!J$14:J$920)+SUMIF(JournalsB!E$14:E$920,TrialBalanceB!M320,JournalsB!J$14:J$920)</f>
        <v>0</v>
      </c>
      <c r="H320" s="288"/>
      <c r="I320" s="290">
        <f t="shared" ref="I320" si="81">ROUND(D320-E320+G320+F320,0)</f>
        <v>0</v>
      </c>
      <c r="J320" s="75"/>
      <c r="K320" s="48">
        <f t="shared" ref="K320" si="82">ROUND(SUM(A320),0)</f>
        <v>0</v>
      </c>
      <c r="M320" s="140" t="str">
        <f t="shared" ref="M320" si="83">CONCATENATE(B320,C320)</f>
        <v>7450/000Interest bearing</v>
      </c>
      <c r="N320" s="70"/>
      <c r="P320" s="71"/>
      <c r="Q320" s="51"/>
      <c r="R320" s="31"/>
    </row>
    <row r="321" spans="1:18" x14ac:dyDescent="0.2">
      <c r="A321" s="238"/>
      <c r="B321" s="54" t="s">
        <v>144</v>
      </c>
      <c r="C321" s="276">
        <f>TrialBalance!C321</f>
        <v>0</v>
      </c>
      <c r="D321" s="284"/>
      <c r="E321" s="272"/>
      <c r="F321" s="79">
        <f t="shared" si="80"/>
        <v>0</v>
      </c>
      <c r="G321" s="47">
        <f>SUMIF(JournalsB!D$14:D$920,TrialBalanceB!M321,JournalsB!J$14:J$920)+SUMIF(JournalsB!E$14:E$920,TrialBalanceB!M321,JournalsB!J$14:J$920)</f>
        <v>0</v>
      </c>
      <c r="H321" s="288"/>
      <c r="I321" s="290">
        <f t="shared" si="71"/>
        <v>0</v>
      </c>
      <c r="J321" s="75"/>
      <c r="K321" s="48">
        <f t="shared" si="75"/>
        <v>0</v>
      </c>
      <c r="M321" s="140" t="str">
        <f t="shared" si="76"/>
        <v>7450/0010</v>
      </c>
      <c r="N321" s="70"/>
      <c r="P321" s="71"/>
      <c r="Q321" s="51"/>
      <c r="R321" s="31"/>
    </row>
    <row r="322" spans="1:18" x14ac:dyDescent="0.2">
      <c r="A322" s="238"/>
      <c r="B322" s="54" t="s">
        <v>145</v>
      </c>
      <c r="C322" s="276">
        <f>TrialBalance!C322</f>
        <v>0</v>
      </c>
      <c r="D322" s="284"/>
      <c r="E322" s="272"/>
      <c r="F322" s="79">
        <f t="shared" ref="F322:F323" si="84">K322</f>
        <v>0</v>
      </c>
      <c r="G322" s="47">
        <f>SUMIF(JournalsB!D$14:D$920,TrialBalanceB!M322,JournalsB!J$14:J$920)+SUMIF(JournalsB!E$14:E$920,TrialBalanceB!M322,JournalsB!J$14:J$920)</f>
        <v>0</v>
      </c>
      <c r="H322" s="288"/>
      <c r="I322" s="290">
        <f t="shared" ref="I322:I323" si="85">ROUND(D322-E322+G322+F322,0)</f>
        <v>0</v>
      </c>
      <c r="J322" s="75"/>
      <c r="K322" s="48">
        <f t="shared" ref="K322:K323" si="86">ROUND(SUM(A322),0)</f>
        <v>0</v>
      </c>
      <c r="M322" s="140" t="str">
        <f t="shared" ref="M322:M323" si="87">CONCATENATE(B322,C322)</f>
        <v>7450/0020</v>
      </c>
      <c r="N322" s="70"/>
      <c r="P322" s="71"/>
      <c r="Q322" s="51"/>
      <c r="R322" s="31"/>
    </row>
    <row r="323" spans="1:18" x14ac:dyDescent="0.2">
      <c r="A323" s="238"/>
      <c r="B323" s="90" t="s">
        <v>146</v>
      </c>
      <c r="C323" s="276">
        <f>TrialBalance!C323</f>
        <v>0</v>
      </c>
      <c r="D323" s="284"/>
      <c r="E323" s="272"/>
      <c r="F323" s="79">
        <f t="shared" si="84"/>
        <v>0</v>
      </c>
      <c r="G323" s="47">
        <f>SUMIF(JournalsB!D$14:D$920,TrialBalanceB!M323,JournalsB!J$14:J$920)+SUMIF(JournalsB!E$14:E$920,TrialBalanceB!M323,JournalsB!J$14:J$920)</f>
        <v>0</v>
      </c>
      <c r="H323" s="288"/>
      <c r="I323" s="290">
        <f t="shared" si="85"/>
        <v>0</v>
      </c>
      <c r="J323" s="75"/>
      <c r="K323" s="48">
        <f t="shared" si="86"/>
        <v>0</v>
      </c>
      <c r="M323" s="140" t="str">
        <f t="shared" si="87"/>
        <v>7450/0030</v>
      </c>
      <c r="N323" s="70"/>
      <c r="P323" s="71"/>
      <c r="Q323" s="51"/>
      <c r="R323" s="31"/>
    </row>
    <row r="324" spans="1:18" x14ac:dyDescent="0.2">
      <c r="A324" s="238"/>
      <c r="B324" s="90" t="s">
        <v>396</v>
      </c>
      <c r="C324" s="276">
        <f>TrialBalance!C324</f>
        <v>0</v>
      </c>
      <c r="D324" s="284"/>
      <c r="E324" s="272"/>
      <c r="F324" s="79">
        <f t="shared" ref="F324:F329" si="88">K324</f>
        <v>0</v>
      </c>
      <c r="G324" s="47">
        <f>SUMIF(JournalsB!D$14:D$920,TrialBalanceB!M324,JournalsB!J$14:J$920)+SUMIF(JournalsB!E$14:E$920,TrialBalanceB!M324,JournalsB!J$14:J$920)</f>
        <v>0</v>
      </c>
      <c r="H324" s="288"/>
      <c r="I324" s="290">
        <f t="shared" ref="I324:I329" si="89">ROUND(D324-E324+G324+F324,0)</f>
        <v>0</v>
      </c>
      <c r="J324" s="75"/>
      <c r="K324" s="48">
        <f t="shared" ref="K324:K329" si="90">ROUND(SUM(A324),0)</f>
        <v>0</v>
      </c>
      <c r="M324" s="140" t="str">
        <f t="shared" ref="M324:M329" si="91">CONCATENATE(B324,C324)</f>
        <v>7450/0040</v>
      </c>
      <c r="N324" s="70"/>
      <c r="P324" s="71"/>
      <c r="Q324" s="51"/>
      <c r="R324" s="31"/>
    </row>
    <row r="325" spans="1:18" x14ac:dyDescent="0.2">
      <c r="A325" s="238"/>
      <c r="B325" s="90" t="s">
        <v>265</v>
      </c>
      <c r="C325" s="276">
        <f>TrialBalance!C325</f>
        <v>0</v>
      </c>
      <c r="D325" s="284"/>
      <c r="E325" s="272"/>
      <c r="F325" s="79">
        <f t="shared" si="88"/>
        <v>0</v>
      </c>
      <c r="G325" s="47">
        <f>SUMIF(JournalsB!D$14:D$920,TrialBalanceB!M325,JournalsB!J$14:J$920)+SUMIF(JournalsB!E$14:E$920,TrialBalanceB!M325,JournalsB!J$14:J$920)</f>
        <v>0</v>
      </c>
      <c r="H325" s="288"/>
      <c r="I325" s="290">
        <f t="shared" si="89"/>
        <v>0</v>
      </c>
      <c r="J325" s="75"/>
      <c r="K325" s="48">
        <f t="shared" si="90"/>
        <v>0</v>
      </c>
      <c r="M325" s="140" t="str">
        <f t="shared" si="91"/>
        <v>7450/0050</v>
      </c>
      <c r="N325" s="70"/>
      <c r="P325" s="71"/>
      <c r="Q325" s="51"/>
      <c r="R325" s="31"/>
    </row>
    <row r="326" spans="1:18" x14ac:dyDescent="0.2">
      <c r="A326" s="238"/>
      <c r="B326" s="90" t="s">
        <v>707</v>
      </c>
      <c r="C326" s="276">
        <f>TrialBalance!C326</f>
        <v>0</v>
      </c>
      <c r="D326" s="284"/>
      <c r="E326" s="272"/>
      <c r="F326" s="79">
        <f t="shared" si="88"/>
        <v>0</v>
      </c>
      <c r="G326" s="47">
        <f>SUMIF(JournalsB!D$14:D$920,TrialBalanceB!M326,JournalsB!J$14:J$920)+SUMIF(JournalsB!E$14:E$920,TrialBalanceB!M326,JournalsB!J$14:J$920)</f>
        <v>0</v>
      </c>
      <c r="H326" s="288"/>
      <c r="I326" s="290">
        <f t="shared" si="89"/>
        <v>0</v>
      </c>
      <c r="J326" s="75"/>
      <c r="K326" s="48">
        <f t="shared" si="90"/>
        <v>0</v>
      </c>
      <c r="M326" s="140" t="str">
        <f t="shared" si="91"/>
        <v>7450/0060</v>
      </c>
      <c r="N326" s="70"/>
      <c r="P326" s="71"/>
      <c r="Q326" s="51"/>
      <c r="R326" s="31"/>
    </row>
    <row r="327" spans="1:18" x14ac:dyDescent="0.2">
      <c r="A327" s="238"/>
      <c r="B327" s="90" t="s">
        <v>795</v>
      </c>
      <c r="C327" s="276">
        <f>TrialBalance!C327</f>
        <v>0</v>
      </c>
      <c r="D327" s="284"/>
      <c r="E327" s="272"/>
      <c r="F327" s="79">
        <f t="shared" si="88"/>
        <v>0</v>
      </c>
      <c r="G327" s="47">
        <f>SUMIF(JournalsB!D$14:D$920,TrialBalanceB!M327,JournalsB!J$14:J$920)+SUMIF(JournalsB!E$14:E$920,TrialBalanceB!M327,JournalsB!J$14:J$920)</f>
        <v>0</v>
      </c>
      <c r="H327" s="288"/>
      <c r="I327" s="290">
        <f t="shared" si="89"/>
        <v>0</v>
      </c>
      <c r="J327" s="75"/>
      <c r="K327" s="48">
        <f t="shared" si="90"/>
        <v>0</v>
      </c>
      <c r="M327" s="140" t="str">
        <f t="shared" si="91"/>
        <v>7450/0070</v>
      </c>
      <c r="N327" s="70"/>
      <c r="P327" s="71"/>
      <c r="Q327" s="51"/>
      <c r="R327" s="31"/>
    </row>
    <row r="328" spans="1:18" x14ac:dyDescent="0.2">
      <c r="A328" s="238"/>
      <c r="B328" s="90" t="s">
        <v>796</v>
      </c>
      <c r="C328" s="276">
        <f>TrialBalance!C328</f>
        <v>0</v>
      </c>
      <c r="D328" s="284"/>
      <c r="E328" s="272"/>
      <c r="F328" s="79">
        <f t="shared" si="88"/>
        <v>0</v>
      </c>
      <c r="G328" s="47">
        <f>SUMIF(JournalsB!D$14:D$920,TrialBalanceB!M328,JournalsB!J$14:J$920)+SUMIF(JournalsB!E$14:E$920,TrialBalanceB!M328,JournalsB!J$14:J$920)</f>
        <v>0</v>
      </c>
      <c r="H328" s="288"/>
      <c r="I328" s="290">
        <f t="shared" si="89"/>
        <v>0</v>
      </c>
      <c r="J328" s="75"/>
      <c r="K328" s="48">
        <f t="shared" si="90"/>
        <v>0</v>
      </c>
      <c r="M328" s="140" t="str">
        <f t="shared" si="91"/>
        <v>7450/0080</v>
      </c>
      <c r="N328" s="70"/>
      <c r="P328" s="71"/>
      <c r="Q328" s="51"/>
      <c r="R328" s="31"/>
    </row>
    <row r="329" spans="1:18" x14ac:dyDescent="0.2">
      <c r="A329" s="238"/>
      <c r="B329" s="90" t="s">
        <v>797</v>
      </c>
      <c r="C329" s="276">
        <f>TrialBalance!C329</f>
        <v>0</v>
      </c>
      <c r="D329" s="284"/>
      <c r="E329" s="272"/>
      <c r="F329" s="79">
        <f t="shared" si="88"/>
        <v>0</v>
      </c>
      <c r="G329" s="47">
        <f>SUMIF(JournalsB!D$14:D$920,TrialBalanceB!M329,JournalsB!J$14:J$920)+SUMIF(JournalsB!E$14:E$920,TrialBalanceB!M329,JournalsB!J$14:J$920)</f>
        <v>0</v>
      </c>
      <c r="H329" s="288"/>
      <c r="I329" s="290">
        <f t="shared" si="89"/>
        <v>0</v>
      </c>
      <c r="J329" s="75"/>
      <c r="K329" s="48">
        <f t="shared" si="90"/>
        <v>0</v>
      </c>
      <c r="M329" s="140" t="str">
        <f t="shared" si="91"/>
        <v>7450/0090</v>
      </c>
      <c r="N329" s="70"/>
      <c r="P329" s="71"/>
      <c r="Q329" s="51"/>
      <c r="R329" s="31"/>
    </row>
    <row r="330" spans="1:18" x14ac:dyDescent="0.2">
      <c r="A330" s="238"/>
      <c r="B330" s="90" t="s">
        <v>798</v>
      </c>
      <c r="C330" s="276">
        <f>TrialBalance!C330</f>
        <v>0</v>
      </c>
      <c r="D330" s="282"/>
      <c r="E330" s="272"/>
      <c r="F330" s="79">
        <f t="shared" si="80"/>
        <v>0</v>
      </c>
      <c r="G330" s="47">
        <f>SUMIF(JournalsB!D$14:D$920,TrialBalanceB!M330,JournalsB!J$14:J$920)+SUMIF(JournalsB!E$14:E$920,TrialBalanceB!M330,JournalsB!J$14:J$920)</f>
        <v>0</v>
      </c>
      <c r="H330" s="288"/>
      <c r="I330" s="290">
        <f t="shared" si="71"/>
        <v>0</v>
      </c>
      <c r="J330" s="75"/>
      <c r="K330" s="48">
        <f t="shared" si="75"/>
        <v>0</v>
      </c>
      <c r="M330" s="140" t="str">
        <f t="shared" si="76"/>
        <v>7450/0100</v>
      </c>
      <c r="N330" s="70"/>
      <c r="P330" s="71"/>
      <c r="Q330" s="51"/>
      <c r="R330" s="31"/>
    </row>
    <row r="331" spans="1:18" x14ac:dyDescent="0.2">
      <c r="A331" s="238"/>
      <c r="B331" s="90" t="s">
        <v>799</v>
      </c>
      <c r="C331" s="242" t="s">
        <v>636</v>
      </c>
      <c r="D331" s="282"/>
      <c r="E331" s="272"/>
      <c r="F331" s="79"/>
      <c r="G331" s="47">
        <f>SUMIF(JournalsB!D$14:D$920,TrialBalanceB!M331,JournalsB!J$14:J$920)+SUMIF(JournalsB!E$14:E$920,TrialBalanceB!M331,JournalsB!J$14:J$920)</f>
        <v>0</v>
      </c>
      <c r="H331" s="288"/>
      <c r="I331" s="290">
        <f t="shared" ref="I331" si="92">ROUND(D331-E331+G331+F331,0)</f>
        <v>0</v>
      </c>
      <c r="J331" s="75"/>
      <c r="K331" s="48">
        <f t="shared" ref="K331" si="93">ROUND(SUM(A331),0)</f>
        <v>0</v>
      </c>
      <c r="M331" s="140" t="str">
        <f t="shared" ref="M331" si="94">CONCATENATE(B331,C331)</f>
        <v>7455/000Interest free</v>
      </c>
      <c r="N331" s="70"/>
      <c r="P331" s="71"/>
      <c r="Q331" s="51"/>
      <c r="R331" s="31"/>
    </row>
    <row r="332" spans="1:18" x14ac:dyDescent="0.2">
      <c r="A332" s="238"/>
      <c r="B332" s="90" t="s">
        <v>800</v>
      </c>
      <c r="C332" s="276">
        <f>TrialBalance!C332</f>
        <v>0</v>
      </c>
      <c r="D332" s="282"/>
      <c r="E332" s="272"/>
      <c r="F332" s="79">
        <f t="shared" si="80"/>
        <v>0</v>
      </c>
      <c r="G332" s="47">
        <f>SUMIF(JournalsB!D$14:D$920,TrialBalanceB!M332,JournalsB!J$14:J$920)+SUMIF(JournalsB!E$14:E$920,TrialBalanceB!M332,JournalsB!J$14:J$920)</f>
        <v>0</v>
      </c>
      <c r="H332" s="288"/>
      <c r="I332" s="290">
        <f t="shared" si="71"/>
        <v>0</v>
      </c>
      <c r="J332" s="75"/>
      <c r="K332" s="48">
        <f t="shared" si="75"/>
        <v>0</v>
      </c>
      <c r="M332" s="140" t="str">
        <f t="shared" si="76"/>
        <v>7455/0010</v>
      </c>
      <c r="N332" s="70"/>
      <c r="P332" s="71"/>
      <c r="Q332" s="51"/>
      <c r="R332" s="31"/>
    </row>
    <row r="333" spans="1:18" x14ac:dyDescent="0.2">
      <c r="A333" s="238"/>
      <c r="B333" s="90" t="s">
        <v>801</v>
      </c>
      <c r="C333" s="276">
        <f>TrialBalance!C333</f>
        <v>0</v>
      </c>
      <c r="D333" s="282"/>
      <c r="E333" s="272"/>
      <c r="F333" s="79">
        <f t="shared" ref="F333" si="95">K333</f>
        <v>0</v>
      </c>
      <c r="G333" s="47">
        <f>SUMIF(JournalsB!D$14:D$920,TrialBalanceB!M333,JournalsB!J$14:J$920)+SUMIF(JournalsB!E$14:E$920,TrialBalanceB!M333,JournalsB!J$14:J$920)</f>
        <v>0</v>
      </c>
      <c r="H333" s="288"/>
      <c r="I333" s="290">
        <f t="shared" ref="I333" si="96">ROUND(D333-E333+G333+F333,0)</f>
        <v>0</v>
      </c>
      <c r="J333" s="75"/>
      <c r="K333" s="48">
        <f t="shared" ref="K333" si="97">ROUND(SUM(A333),0)</f>
        <v>0</v>
      </c>
      <c r="M333" s="140" t="str">
        <f t="shared" ref="M333" si="98">CONCATENATE(B333,C333)</f>
        <v>7455/0020</v>
      </c>
      <c r="N333" s="70"/>
      <c r="P333" s="71"/>
      <c r="Q333" s="51"/>
      <c r="R333" s="31"/>
    </row>
    <row r="334" spans="1:18" x14ac:dyDescent="0.2">
      <c r="A334" s="238"/>
      <c r="B334" s="90" t="s">
        <v>802</v>
      </c>
      <c r="C334" s="276">
        <f>TrialBalance!C334</f>
        <v>0</v>
      </c>
      <c r="D334" s="282"/>
      <c r="E334" s="272"/>
      <c r="F334" s="79">
        <f t="shared" si="80"/>
        <v>0</v>
      </c>
      <c r="G334" s="47">
        <f>SUMIF(JournalsB!D$14:D$920,TrialBalanceB!M334,JournalsB!J$14:J$920)+SUMIF(JournalsB!E$14:E$920,TrialBalanceB!M334,JournalsB!J$14:J$920)</f>
        <v>0</v>
      </c>
      <c r="H334" s="288"/>
      <c r="I334" s="290">
        <f t="shared" si="71"/>
        <v>0</v>
      </c>
      <c r="J334" s="75"/>
      <c r="K334" s="48">
        <f t="shared" si="75"/>
        <v>0</v>
      </c>
      <c r="M334" s="140" t="str">
        <f t="shared" si="76"/>
        <v>7455/0030</v>
      </c>
      <c r="N334" s="70"/>
      <c r="P334" s="71"/>
      <c r="Q334" s="51"/>
      <c r="R334" s="31"/>
    </row>
    <row r="335" spans="1:18" x14ac:dyDescent="0.2">
      <c r="A335" s="238"/>
      <c r="B335" s="90" t="s">
        <v>803</v>
      </c>
      <c r="C335" s="276">
        <f>TrialBalance!C335</f>
        <v>0</v>
      </c>
      <c r="D335" s="282"/>
      <c r="E335" s="272"/>
      <c r="F335" s="79">
        <f t="shared" ref="F335:F340" si="99">K335</f>
        <v>0</v>
      </c>
      <c r="G335" s="47">
        <f>SUMIF(JournalsB!D$14:D$920,TrialBalanceB!M335,JournalsB!J$14:J$920)+SUMIF(JournalsB!E$14:E$920,TrialBalanceB!M335,JournalsB!J$14:J$920)</f>
        <v>0</v>
      </c>
      <c r="H335" s="288"/>
      <c r="I335" s="290">
        <f t="shared" ref="I335:I340" si="100">ROUND(D335-E335+G335+F335,0)</f>
        <v>0</v>
      </c>
      <c r="J335" s="75"/>
      <c r="K335" s="48">
        <f t="shared" ref="K335:K340" si="101">ROUND(SUM(A335),0)</f>
        <v>0</v>
      </c>
      <c r="M335" s="140" t="str">
        <f t="shared" ref="M335:M340" si="102">CONCATENATE(B335,C335)</f>
        <v>7455/0040</v>
      </c>
      <c r="N335" s="70"/>
      <c r="P335" s="71"/>
      <c r="Q335" s="51"/>
      <c r="R335" s="31"/>
    </row>
    <row r="336" spans="1:18" x14ac:dyDescent="0.2">
      <c r="A336" s="238"/>
      <c r="B336" s="90" t="s">
        <v>804</v>
      </c>
      <c r="C336" s="276">
        <f>TrialBalance!C336</f>
        <v>0</v>
      </c>
      <c r="D336" s="282"/>
      <c r="E336" s="272"/>
      <c r="F336" s="79">
        <f t="shared" si="99"/>
        <v>0</v>
      </c>
      <c r="G336" s="47">
        <f>SUMIF(JournalsB!D$14:D$920,TrialBalanceB!M336,JournalsB!J$14:J$920)+SUMIF(JournalsB!E$14:E$920,TrialBalanceB!M336,JournalsB!J$14:J$920)</f>
        <v>0</v>
      </c>
      <c r="H336" s="288"/>
      <c r="I336" s="290">
        <f t="shared" si="100"/>
        <v>0</v>
      </c>
      <c r="J336" s="75"/>
      <c r="K336" s="48">
        <f t="shared" si="101"/>
        <v>0</v>
      </c>
      <c r="M336" s="140" t="str">
        <f t="shared" si="102"/>
        <v>7455/0050</v>
      </c>
      <c r="N336" s="70"/>
      <c r="P336" s="71"/>
      <c r="Q336" s="51"/>
      <c r="R336" s="31"/>
    </row>
    <row r="337" spans="1:18" x14ac:dyDescent="0.2">
      <c r="A337" s="238"/>
      <c r="B337" s="90" t="s">
        <v>805</v>
      </c>
      <c r="C337" s="276">
        <f>TrialBalance!C337</f>
        <v>0</v>
      </c>
      <c r="D337" s="282"/>
      <c r="E337" s="272"/>
      <c r="F337" s="79">
        <f t="shared" si="99"/>
        <v>0</v>
      </c>
      <c r="G337" s="47">
        <f>SUMIF(JournalsB!D$14:D$920,TrialBalanceB!M337,JournalsB!J$14:J$920)+SUMIF(JournalsB!E$14:E$920,TrialBalanceB!M337,JournalsB!J$14:J$920)</f>
        <v>0</v>
      </c>
      <c r="H337" s="288"/>
      <c r="I337" s="290">
        <f t="shared" si="100"/>
        <v>0</v>
      </c>
      <c r="J337" s="75"/>
      <c r="K337" s="48">
        <f t="shared" si="101"/>
        <v>0</v>
      </c>
      <c r="M337" s="140" t="str">
        <f t="shared" si="102"/>
        <v>7455/0060</v>
      </c>
      <c r="N337" s="70"/>
      <c r="P337" s="71"/>
      <c r="Q337" s="51"/>
      <c r="R337" s="31"/>
    </row>
    <row r="338" spans="1:18" x14ac:dyDescent="0.2">
      <c r="A338" s="238"/>
      <c r="B338" s="90" t="s">
        <v>806</v>
      </c>
      <c r="C338" s="276">
        <f>TrialBalance!C338</f>
        <v>0</v>
      </c>
      <c r="D338" s="282"/>
      <c r="E338" s="272"/>
      <c r="F338" s="79">
        <f t="shared" si="99"/>
        <v>0</v>
      </c>
      <c r="G338" s="47">
        <f>SUMIF(JournalsB!D$14:D$920,TrialBalanceB!M338,JournalsB!J$14:J$920)+SUMIF(JournalsB!E$14:E$920,TrialBalanceB!M338,JournalsB!J$14:J$920)</f>
        <v>0</v>
      </c>
      <c r="H338" s="288"/>
      <c r="I338" s="290">
        <f t="shared" si="100"/>
        <v>0</v>
      </c>
      <c r="J338" s="75"/>
      <c r="K338" s="48">
        <f t="shared" si="101"/>
        <v>0</v>
      </c>
      <c r="M338" s="140" t="str">
        <f t="shared" si="102"/>
        <v>7455/0070</v>
      </c>
      <c r="N338" s="70"/>
      <c r="P338" s="71"/>
      <c r="Q338" s="51"/>
      <c r="R338" s="31"/>
    </row>
    <row r="339" spans="1:18" x14ac:dyDescent="0.2">
      <c r="A339" s="238"/>
      <c r="B339" s="90" t="s">
        <v>807</v>
      </c>
      <c r="C339" s="276">
        <f>TrialBalance!C339</f>
        <v>0</v>
      </c>
      <c r="D339" s="282"/>
      <c r="E339" s="272"/>
      <c r="F339" s="79">
        <f t="shared" si="99"/>
        <v>0</v>
      </c>
      <c r="G339" s="47">
        <f>SUMIF(JournalsB!D$14:D$920,TrialBalanceB!M339,JournalsB!J$14:J$920)+SUMIF(JournalsB!E$14:E$920,TrialBalanceB!M339,JournalsB!J$14:J$920)</f>
        <v>0</v>
      </c>
      <c r="H339" s="288"/>
      <c r="I339" s="290">
        <f t="shared" si="100"/>
        <v>0</v>
      </c>
      <c r="J339" s="75"/>
      <c r="K339" s="48">
        <f t="shared" si="101"/>
        <v>0</v>
      </c>
      <c r="M339" s="140" t="str">
        <f t="shared" si="102"/>
        <v>7455/0080</v>
      </c>
      <c r="N339" s="70"/>
      <c r="P339" s="71"/>
      <c r="Q339" s="51"/>
      <c r="R339" s="31"/>
    </row>
    <row r="340" spans="1:18" x14ac:dyDescent="0.2">
      <c r="A340" s="238"/>
      <c r="B340" s="90" t="s">
        <v>808</v>
      </c>
      <c r="C340" s="276">
        <f>TrialBalance!C340</f>
        <v>0</v>
      </c>
      <c r="D340" s="282"/>
      <c r="E340" s="272"/>
      <c r="F340" s="79">
        <f t="shared" si="99"/>
        <v>0</v>
      </c>
      <c r="G340" s="47">
        <f>SUMIF(JournalsB!D$14:D$920,TrialBalanceB!M340,JournalsB!J$14:J$920)+SUMIF(JournalsB!E$14:E$920,TrialBalanceB!M340,JournalsB!J$14:J$920)</f>
        <v>0</v>
      </c>
      <c r="H340" s="288"/>
      <c r="I340" s="290">
        <f t="shared" si="100"/>
        <v>0</v>
      </c>
      <c r="J340" s="75"/>
      <c r="K340" s="48">
        <f t="shared" si="101"/>
        <v>0</v>
      </c>
      <c r="M340" s="140" t="str">
        <f t="shared" si="102"/>
        <v>7455/0090</v>
      </c>
      <c r="N340" s="70"/>
      <c r="P340" s="71"/>
      <c r="Q340" s="51"/>
      <c r="R340" s="31"/>
    </row>
    <row r="341" spans="1:18" x14ac:dyDescent="0.2">
      <c r="A341" s="238"/>
      <c r="B341" s="90" t="s">
        <v>809</v>
      </c>
      <c r="C341" s="276">
        <f>TrialBalance!C341</f>
        <v>0</v>
      </c>
      <c r="D341" s="282"/>
      <c r="E341" s="272"/>
      <c r="F341" s="79">
        <f t="shared" si="80"/>
        <v>0</v>
      </c>
      <c r="G341" s="47">
        <f>SUMIF(JournalsB!D$14:D$920,TrialBalanceB!M341,JournalsB!J$14:J$920)+SUMIF(JournalsB!E$14:E$920,TrialBalanceB!M341,JournalsB!J$14:J$920)</f>
        <v>0</v>
      </c>
      <c r="H341" s="288"/>
      <c r="I341" s="290">
        <f t="shared" si="71"/>
        <v>0</v>
      </c>
      <c r="J341" s="75"/>
      <c r="K341" s="48">
        <f t="shared" si="75"/>
        <v>0</v>
      </c>
      <c r="M341" s="140" t="str">
        <f t="shared" si="76"/>
        <v>7455/0100</v>
      </c>
      <c r="N341" s="70"/>
      <c r="P341" s="71"/>
      <c r="Q341" s="51"/>
      <c r="R341" s="31"/>
    </row>
    <row r="342" spans="1:18" x14ac:dyDescent="0.2">
      <c r="A342" s="238"/>
      <c r="B342" s="54" t="s">
        <v>266</v>
      </c>
      <c r="C342" s="241" t="s">
        <v>676</v>
      </c>
      <c r="D342" s="272"/>
      <c r="E342" s="272"/>
      <c r="F342" s="79"/>
      <c r="G342" s="47">
        <f>SUMIF(JournalsB!D$14:D$920,TrialBalanceB!M342,JournalsB!J$14:J$920)+SUMIF(JournalsB!E$14:E$920,TrialBalanceB!M342,JournalsB!J$14:J$920)</f>
        <v>0</v>
      </c>
      <c r="H342" s="288"/>
      <c r="I342" s="290">
        <f t="shared" si="71"/>
        <v>0</v>
      </c>
      <c r="J342" s="75"/>
      <c r="K342" s="48">
        <f t="shared" si="75"/>
        <v>0</v>
      </c>
      <c r="M342" s="140" t="str">
        <f t="shared" si="76"/>
        <v>7460/000OTHER NON - CURRENT RECEIVABLES</v>
      </c>
      <c r="N342" s="70"/>
      <c r="P342" s="71"/>
      <c r="Q342" s="51"/>
      <c r="R342" s="31"/>
    </row>
    <row r="343" spans="1:18" x14ac:dyDescent="0.2">
      <c r="A343" s="238"/>
      <c r="B343" s="54" t="s">
        <v>266</v>
      </c>
      <c r="C343" s="241" t="s">
        <v>637</v>
      </c>
      <c r="D343" s="272"/>
      <c r="E343" s="272"/>
      <c r="F343" s="79"/>
      <c r="G343" s="47">
        <f>SUMIF(JournalsB!D$14:D$920,TrialBalanceB!M343,JournalsB!J$14:J$920)+SUMIF(JournalsB!E$14:E$920,TrialBalanceB!M343,JournalsB!J$14:J$920)</f>
        <v>0</v>
      </c>
      <c r="H343" s="288"/>
      <c r="I343" s="290">
        <f t="shared" ref="I343" si="103">ROUND(D343-E343+G343+F343,0)</f>
        <v>0</v>
      </c>
      <c r="J343" s="75"/>
      <c r="K343" s="48">
        <f t="shared" ref="K343" si="104">ROUND(SUM(A343),0)</f>
        <v>0</v>
      </c>
      <c r="M343" s="140" t="str">
        <f t="shared" ref="M343" si="105">CONCATENATE(B343,C343)</f>
        <v>7460/000Interest bearing</v>
      </c>
      <c r="N343" s="70"/>
      <c r="P343" s="71"/>
      <c r="Q343" s="51"/>
      <c r="R343" s="31"/>
    </row>
    <row r="344" spans="1:18" x14ac:dyDescent="0.2">
      <c r="A344" s="238"/>
      <c r="B344" s="54" t="s">
        <v>268</v>
      </c>
      <c r="C344" s="276">
        <f>TrialBalance!C344</f>
        <v>0</v>
      </c>
      <c r="D344" s="281"/>
      <c r="E344" s="272"/>
      <c r="F344" s="79">
        <f t="shared" si="80"/>
        <v>0</v>
      </c>
      <c r="G344" s="47">
        <f>SUMIF(JournalsB!D$14:D$920,TrialBalanceB!M344,JournalsB!J$14:J$920)+SUMIF(JournalsB!E$14:E$920,TrialBalanceB!M344,JournalsB!J$14:J$920)</f>
        <v>0</v>
      </c>
      <c r="H344" s="288"/>
      <c r="I344" s="290">
        <f t="shared" si="71"/>
        <v>0</v>
      </c>
      <c r="J344" s="75"/>
      <c r="K344" s="48">
        <f t="shared" si="75"/>
        <v>0</v>
      </c>
      <c r="M344" s="140" t="str">
        <f t="shared" si="76"/>
        <v>7460/0010</v>
      </c>
      <c r="N344" s="70"/>
      <c r="P344" s="71"/>
      <c r="Q344" s="51"/>
      <c r="R344" s="31"/>
    </row>
    <row r="345" spans="1:18" x14ac:dyDescent="0.2">
      <c r="A345" s="238"/>
      <c r="B345" s="54" t="s">
        <v>269</v>
      </c>
      <c r="C345" s="276">
        <f>TrialBalance!C345</f>
        <v>0</v>
      </c>
      <c r="D345" s="281"/>
      <c r="E345" s="272"/>
      <c r="F345" s="79">
        <f t="shared" ref="F345" si="106">K345</f>
        <v>0</v>
      </c>
      <c r="G345" s="47">
        <f>SUMIF(JournalsB!D$14:D$920,TrialBalanceB!M345,JournalsB!J$14:J$920)+SUMIF(JournalsB!E$14:E$920,TrialBalanceB!M345,JournalsB!J$14:J$920)</f>
        <v>0</v>
      </c>
      <c r="H345" s="288"/>
      <c r="I345" s="290">
        <f t="shared" ref="I345" si="107">ROUND(D345-E345+G345+F345,0)</f>
        <v>0</v>
      </c>
      <c r="J345" s="75"/>
      <c r="K345" s="48">
        <f t="shared" ref="K345" si="108">ROUND(SUM(A345),0)</f>
        <v>0</v>
      </c>
      <c r="M345" s="140" t="str">
        <f t="shared" ref="M345" si="109">CONCATENATE(B345,C345)</f>
        <v>7460/0020</v>
      </c>
      <c r="N345" s="70"/>
      <c r="P345" s="71"/>
      <c r="Q345" s="51"/>
      <c r="R345" s="31"/>
    </row>
    <row r="346" spans="1:18" x14ac:dyDescent="0.2">
      <c r="A346" s="238"/>
      <c r="B346" s="54" t="s">
        <v>270</v>
      </c>
      <c r="C346" s="276">
        <f>TrialBalance!C346</f>
        <v>0</v>
      </c>
      <c r="D346" s="282"/>
      <c r="E346" s="272"/>
      <c r="F346" s="79">
        <f t="shared" si="80"/>
        <v>0</v>
      </c>
      <c r="G346" s="47">
        <f>SUMIF(JournalsB!D$14:D$920,TrialBalanceB!M346,JournalsB!J$14:J$920)+SUMIF(JournalsB!E$14:E$920,TrialBalanceB!M346,JournalsB!J$14:J$920)</f>
        <v>0</v>
      </c>
      <c r="H346" s="288"/>
      <c r="I346" s="290">
        <f t="shared" si="71"/>
        <v>0</v>
      </c>
      <c r="J346" s="75"/>
      <c r="K346" s="48">
        <f t="shared" si="75"/>
        <v>0</v>
      </c>
      <c r="M346" s="140" t="str">
        <f t="shared" si="76"/>
        <v>7460/0030</v>
      </c>
      <c r="N346" s="70"/>
      <c r="P346" s="71"/>
      <c r="Q346" s="51"/>
      <c r="R346" s="31"/>
    </row>
    <row r="347" spans="1:18" x14ac:dyDescent="0.2">
      <c r="A347" s="238"/>
      <c r="B347" s="90" t="s">
        <v>599</v>
      </c>
      <c r="C347" s="276">
        <f>TrialBalance!C347</f>
        <v>0</v>
      </c>
      <c r="D347" s="282"/>
      <c r="E347" s="272"/>
      <c r="F347" s="79">
        <f t="shared" si="80"/>
        <v>0</v>
      </c>
      <c r="G347" s="47">
        <f>SUMIF(JournalsB!D$14:D$920,TrialBalanceB!M347,JournalsB!J$14:J$920)+SUMIF(JournalsB!E$14:E$920,TrialBalanceB!M347,JournalsB!J$14:J$920)</f>
        <v>0</v>
      </c>
      <c r="H347" s="288"/>
      <c r="I347" s="290">
        <f t="shared" si="71"/>
        <v>0</v>
      </c>
      <c r="J347" s="75"/>
      <c r="K347" s="48">
        <f t="shared" si="75"/>
        <v>0</v>
      </c>
      <c r="M347" s="140" t="str">
        <f t="shared" si="76"/>
        <v>7460/0040</v>
      </c>
      <c r="N347" s="70"/>
      <c r="P347" s="71"/>
      <c r="Q347" s="51"/>
      <c r="R347" s="31"/>
    </row>
    <row r="348" spans="1:18" x14ac:dyDescent="0.2">
      <c r="A348" s="238"/>
      <c r="B348" s="54" t="s">
        <v>266</v>
      </c>
      <c r="C348" s="242" t="s">
        <v>636</v>
      </c>
      <c r="D348" s="282"/>
      <c r="E348" s="272"/>
      <c r="F348" s="79"/>
      <c r="G348" s="47">
        <f>SUMIF(JournalsB!D$14:D$920,TrialBalanceB!M348,JournalsB!J$14:J$920)+SUMIF(JournalsB!E$14:E$920,TrialBalanceB!M348,JournalsB!J$14:J$920)</f>
        <v>0</v>
      </c>
      <c r="H348" s="288"/>
      <c r="I348" s="290">
        <f t="shared" ref="I348" si="110">ROUND(D348-E348+G348+F348,0)</f>
        <v>0</v>
      </c>
      <c r="J348" s="75"/>
      <c r="K348" s="48">
        <f t="shared" ref="K348" si="111">ROUND(SUM(A348),0)</f>
        <v>0</v>
      </c>
      <c r="M348" s="140" t="str">
        <f t="shared" ref="M348" si="112">CONCATENATE(B348,C348)</f>
        <v>7460/000Interest free</v>
      </c>
      <c r="N348" s="70"/>
      <c r="P348" s="71"/>
      <c r="Q348" s="51"/>
      <c r="R348" s="31"/>
    </row>
    <row r="349" spans="1:18" x14ac:dyDescent="0.2">
      <c r="A349" s="238"/>
      <c r="B349" s="90" t="s">
        <v>599</v>
      </c>
      <c r="C349" s="276">
        <f>TrialBalance!C349</f>
        <v>0</v>
      </c>
      <c r="D349" s="282"/>
      <c r="E349" s="272"/>
      <c r="F349" s="79">
        <f t="shared" si="80"/>
        <v>0</v>
      </c>
      <c r="G349" s="47">
        <f>SUMIF(JournalsB!D$14:D$920,TrialBalanceB!M349,JournalsB!J$14:J$920)+SUMIF(JournalsB!E$14:E$920,TrialBalanceB!M349,JournalsB!J$14:J$920)</f>
        <v>0</v>
      </c>
      <c r="H349" s="288"/>
      <c r="I349" s="290">
        <f t="shared" si="71"/>
        <v>0</v>
      </c>
      <c r="J349" s="75"/>
      <c r="K349" s="48">
        <f t="shared" si="75"/>
        <v>0</v>
      </c>
      <c r="M349" s="140" t="str">
        <f t="shared" si="76"/>
        <v>7460/0040</v>
      </c>
      <c r="N349" s="70"/>
      <c r="P349" s="71"/>
      <c r="Q349" s="51"/>
      <c r="R349" s="31"/>
    </row>
    <row r="350" spans="1:18" x14ac:dyDescent="0.2">
      <c r="A350" s="238"/>
      <c r="B350" s="90" t="s">
        <v>600</v>
      </c>
      <c r="C350" s="276">
        <f>TrialBalance!C350</f>
        <v>0</v>
      </c>
      <c r="D350" s="282"/>
      <c r="E350" s="272"/>
      <c r="F350" s="79">
        <f t="shared" si="80"/>
        <v>0</v>
      </c>
      <c r="G350" s="47">
        <f>SUMIF(JournalsB!D$14:D$920,TrialBalanceB!M350,JournalsB!J$14:J$920)+SUMIF(JournalsB!E$14:E$920,TrialBalanceB!M350,JournalsB!J$14:J$920)</f>
        <v>0</v>
      </c>
      <c r="H350" s="288"/>
      <c r="I350" s="290">
        <f t="shared" si="71"/>
        <v>0</v>
      </c>
      <c r="J350" s="75"/>
      <c r="K350" s="48">
        <f t="shared" si="75"/>
        <v>0</v>
      </c>
      <c r="M350" s="140" t="str">
        <f t="shared" si="76"/>
        <v>7460/0050</v>
      </c>
      <c r="N350" s="70"/>
      <c r="P350" s="71"/>
      <c r="Q350" s="51"/>
      <c r="R350" s="31"/>
    </row>
    <row r="351" spans="1:18" x14ac:dyDescent="0.2">
      <c r="A351" s="238"/>
      <c r="B351" s="90" t="s">
        <v>271</v>
      </c>
      <c r="C351" s="276">
        <f>TrialBalance!C351</f>
        <v>0</v>
      </c>
      <c r="D351" s="282"/>
      <c r="E351" s="272"/>
      <c r="F351" s="79">
        <f>K351</f>
        <v>0</v>
      </c>
      <c r="G351" s="47">
        <f>SUMIF(JournalsB!D$14:D$920,TrialBalanceB!M351,JournalsB!J$14:J$920)+SUMIF(JournalsB!E$14:E$920,TrialBalanceB!M351,JournalsB!J$14:J$920)</f>
        <v>0</v>
      </c>
      <c r="H351" s="288"/>
      <c r="I351" s="290">
        <f t="shared" si="71"/>
        <v>0</v>
      </c>
      <c r="J351" s="75"/>
      <c r="K351" s="48">
        <f t="shared" si="75"/>
        <v>0</v>
      </c>
      <c r="M351" s="140" t="str">
        <f t="shared" si="76"/>
        <v>7460/0060</v>
      </c>
      <c r="N351" s="70"/>
      <c r="P351" s="71"/>
      <c r="Q351" s="51"/>
      <c r="R351" s="31"/>
    </row>
    <row r="352" spans="1:18" x14ac:dyDescent="0.2">
      <c r="A352" s="238"/>
      <c r="B352" s="90" t="s">
        <v>272</v>
      </c>
      <c r="C352" s="276">
        <f>TrialBalance!C352</f>
        <v>0</v>
      </c>
      <c r="D352" s="282"/>
      <c r="E352" s="272"/>
      <c r="F352" s="79">
        <f>K352</f>
        <v>0</v>
      </c>
      <c r="G352" s="47">
        <f>SUMIF(JournalsB!D$14:D$920,TrialBalanceB!M352,JournalsB!J$14:J$920)+SUMIF(JournalsB!E$14:E$920,TrialBalanceB!M352,JournalsB!J$14:J$920)</f>
        <v>0</v>
      </c>
      <c r="H352" s="288"/>
      <c r="I352" s="290">
        <f t="shared" si="71"/>
        <v>0</v>
      </c>
      <c r="J352" s="75"/>
      <c r="K352" s="48">
        <f t="shared" si="75"/>
        <v>0</v>
      </c>
      <c r="M352" s="140" t="str">
        <f t="shared" si="76"/>
        <v>7460/0070</v>
      </c>
      <c r="N352" s="70"/>
      <c r="P352" s="71"/>
      <c r="Q352" s="51"/>
      <c r="R352" s="31"/>
    </row>
    <row r="353" spans="1:18" x14ac:dyDescent="0.2">
      <c r="A353" s="238"/>
      <c r="B353" s="90" t="s">
        <v>480</v>
      </c>
      <c r="C353" s="276">
        <f>TrialBalance!C353</f>
        <v>0</v>
      </c>
      <c r="D353" s="282"/>
      <c r="E353" s="272"/>
      <c r="F353" s="79">
        <f>K353</f>
        <v>0</v>
      </c>
      <c r="G353" s="47">
        <f>SUMIF(JournalsB!D$14:D$920,TrialBalanceB!M353,JournalsB!J$14:J$920)+SUMIF(JournalsB!E$14:E$920,TrialBalanceB!M353,JournalsB!J$14:J$920)</f>
        <v>0</v>
      </c>
      <c r="H353" s="288"/>
      <c r="I353" s="290">
        <f t="shared" si="71"/>
        <v>0</v>
      </c>
      <c r="J353" s="75"/>
      <c r="K353" s="48">
        <f t="shared" si="75"/>
        <v>0</v>
      </c>
      <c r="M353" s="140" t="str">
        <f t="shared" si="76"/>
        <v>7460/0080</v>
      </c>
      <c r="N353" s="70"/>
      <c r="P353" s="71"/>
      <c r="Q353" s="51"/>
      <c r="R353" s="31"/>
    </row>
    <row r="354" spans="1:18" x14ac:dyDescent="0.2">
      <c r="A354" s="238"/>
      <c r="B354" s="54" t="s">
        <v>391</v>
      </c>
      <c r="C354" s="239" t="s">
        <v>44</v>
      </c>
      <c r="D354" s="283"/>
      <c r="E354" s="272"/>
      <c r="F354" s="79"/>
      <c r="G354" s="47">
        <f>SUMIF(JournalsB!D$14:D$920,TrialBalanceB!M354,JournalsB!J$14:J$920)+SUMIF(JournalsB!E$14:E$920,TrialBalanceB!M354,JournalsB!J$14:J$920)</f>
        <v>0</v>
      </c>
      <c r="H354" s="288"/>
      <c r="I354" s="290">
        <f t="shared" si="71"/>
        <v>0</v>
      </c>
      <c r="J354" s="75"/>
      <c r="K354" s="48">
        <f t="shared" si="75"/>
        <v>0</v>
      </c>
      <c r="M354" s="140" t="str">
        <f t="shared" si="76"/>
        <v>7500/000INVENTORY</v>
      </c>
      <c r="N354" s="70"/>
      <c r="P354" s="71"/>
      <c r="Q354" s="51"/>
      <c r="R354" s="31"/>
    </row>
    <row r="355" spans="1:18" x14ac:dyDescent="0.2">
      <c r="A355" s="238"/>
      <c r="B355" s="54" t="s">
        <v>392</v>
      </c>
      <c r="C355" s="240" t="s">
        <v>393</v>
      </c>
      <c r="D355" s="282"/>
      <c r="E355" s="272"/>
      <c r="F355" s="79">
        <f t="shared" si="80"/>
        <v>0</v>
      </c>
      <c r="G355" s="47">
        <f>SUMIF(JournalsB!D$14:D$920,TrialBalanceB!M355,JournalsB!J$14:J$920)+SUMIF(JournalsB!E$14:E$920,TrialBalanceB!M355,JournalsB!J$14:J$920)</f>
        <v>0</v>
      </c>
      <c r="H355" s="288"/>
      <c r="I355" s="290">
        <f t="shared" si="71"/>
        <v>0</v>
      </c>
      <c r="J355" s="75"/>
      <c r="K355" s="48">
        <f t="shared" si="75"/>
        <v>0</v>
      </c>
      <c r="M355" s="140" t="str">
        <f t="shared" si="76"/>
        <v>7500/001Raw materials</v>
      </c>
      <c r="N355" s="70"/>
      <c r="P355" s="71"/>
      <c r="Q355" s="51"/>
      <c r="R355" s="31"/>
    </row>
    <row r="356" spans="1:18" x14ac:dyDescent="0.2">
      <c r="A356" s="238"/>
      <c r="B356" s="54" t="s">
        <v>19</v>
      </c>
      <c r="C356" s="240" t="s">
        <v>20</v>
      </c>
      <c r="D356" s="282"/>
      <c r="E356" s="272"/>
      <c r="F356" s="79">
        <f t="shared" si="80"/>
        <v>0</v>
      </c>
      <c r="G356" s="47">
        <f>SUMIF(JournalsB!D$14:D$920,TrialBalanceB!M356,JournalsB!J$14:J$920)+SUMIF(JournalsB!E$14:E$920,TrialBalanceB!M356,JournalsB!J$14:J$920)</f>
        <v>0</v>
      </c>
      <c r="H356" s="288"/>
      <c r="I356" s="290">
        <f t="shared" ref="I356:I401" si="113">ROUND(D356-E356+G356+F356,0)</f>
        <v>0</v>
      </c>
      <c r="J356" s="75"/>
      <c r="K356" s="48">
        <f t="shared" si="75"/>
        <v>0</v>
      </c>
      <c r="M356" s="140" t="str">
        <f t="shared" si="76"/>
        <v>7500/002Work in progress</v>
      </c>
      <c r="N356" s="70"/>
      <c r="P356" s="71"/>
      <c r="Q356" s="51"/>
      <c r="R356" s="31"/>
    </row>
    <row r="357" spans="1:18" x14ac:dyDescent="0.2">
      <c r="A357" s="238"/>
      <c r="B357" s="54" t="s">
        <v>21</v>
      </c>
      <c r="C357" s="240" t="s">
        <v>22</v>
      </c>
      <c r="D357" s="282"/>
      <c r="E357" s="272"/>
      <c r="F357" s="79">
        <f t="shared" si="80"/>
        <v>0</v>
      </c>
      <c r="G357" s="47">
        <f>SUMIF(JournalsB!D$14:D$920,TrialBalanceB!M357,JournalsB!J$14:J$920)+SUMIF(JournalsB!E$14:E$920,TrialBalanceB!M357,JournalsB!J$14:J$920)</f>
        <v>0</v>
      </c>
      <c r="H357" s="288"/>
      <c r="I357" s="290">
        <f t="shared" si="113"/>
        <v>0</v>
      </c>
      <c r="J357" s="75"/>
      <c r="K357" s="48">
        <f t="shared" si="75"/>
        <v>0</v>
      </c>
      <c r="M357" s="140" t="str">
        <f t="shared" si="76"/>
        <v>7500/003Finished goods</v>
      </c>
      <c r="N357" s="70"/>
      <c r="P357" s="71"/>
      <c r="Q357" s="51"/>
      <c r="R357" s="31"/>
    </row>
    <row r="358" spans="1:18" x14ac:dyDescent="0.2">
      <c r="A358" s="238"/>
      <c r="B358" s="54" t="s">
        <v>25</v>
      </c>
      <c r="C358" s="240" t="s">
        <v>26</v>
      </c>
      <c r="D358" s="282"/>
      <c r="E358" s="272"/>
      <c r="F358" s="79">
        <f t="shared" si="80"/>
        <v>0</v>
      </c>
      <c r="G358" s="47">
        <f>SUMIF(JournalsB!D$14:D$920,TrialBalanceB!M358,JournalsB!J$14:J$920)+SUMIF(JournalsB!E$14:E$920,TrialBalanceB!M358,JournalsB!J$14:J$920)</f>
        <v>0</v>
      </c>
      <c r="H358" s="288"/>
      <c r="I358" s="290">
        <f t="shared" si="113"/>
        <v>0</v>
      </c>
      <c r="J358" s="75"/>
      <c r="K358" s="48">
        <f t="shared" si="75"/>
        <v>0</v>
      </c>
      <c r="M358" s="140" t="str">
        <f t="shared" si="76"/>
        <v>7500/004Trading stock</v>
      </c>
      <c r="N358" s="70"/>
      <c r="P358" s="71"/>
      <c r="Q358" s="51"/>
      <c r="R358" s="31"/>
    </row>
    <row r="359" spans="1:18" x14ac:dyDescent="0.2">
      <c r="A359" s="238"/>
      <c r="B359" s="54" t="s">
        <v>28</v>
      </c>
      <c r="C359" s="239" t="s">
        <v>29</v>
      </c>
      <c r="D359" s="283"/>
      <c r="E359" s="272"/>
      <c r="F359" s="79"/>
      <c r="G359" s="47">
        <f>SUMIF(JournalsB!D$14:D$920,TrialBalanceB!M359,JournalsB!J$14:J$920)+SUMIF(JournalsB!E$14:E$920,TrialBalanceB!M359,JournalsB!J$14:J$920)</f>
        <v>0</v>
      </c>
      <c r="H359" s="288"/>
      <c r="I359" s="290">
        <f t="shared" si="113"/>
        <v>0</v>
      </c>
      <c r="J359" s="75"/>
      <c r="K359" s="48">
        <f t="shared" si="75"/>
        <v>0</v>
      </c>
      <c r="M359" s="140" t="str">
        <f t="shared" si="76"/>
        <v>8000/000DEBTORS</v>
      </c>
      <c r="N359" s="70"/>
      <c r="P359" s="71"/>
      <c r="Q359" s="51"/>
      <c r="R359" s="31"/>
    </row>
    <row r="360" spans="1:18" x14ac:dyDescent="0.2">
      <c r="A360" s="238"/>
      <c r="B360" s="54" t="s">
        <v>30</v>
      </c>
      <c r="C360" s="240" t="s">
        <v>31</v>
      </c>
      <c r="D360" s="282"/>
      <c r="E360" s="272"/>
      <c r="F360" s="79">
        <f t="shared" si="80"/>
        <v>0</v>
      </c>
      <c r="G360" s="47">
        <f>SUMIF(JournalsB!D$14:D$920,TrialBalanceB!M360,JournalsB!J$14:J$920)+SUMIF(JournalsB!E$14:E$920,TrialBalanceB!M360,JournalsB!J$14:J$920)</f>
        <v>0</v>
      </c>
      <c r="H360" s="288"/>
      <c r="I360" s="290">
        <f t="shared" si="113"/>
        <v>0</v>
      </c>
      <c r="J360" s="75"/>
      <c r="K360" s="48">
        <f t="shared" si="75"/>
        <v>0</v>
      </c>
      <c r="M360" s="140" t="str">
        <f t="shared" si="76"/>
        <v>8010/000Trade debtors</v>
      </c>
      <c r="N360" s="70"/>
      <c r="P360" s="71"/>
      <c r="Q360" s="51"/>
      <c r="R360" s="31"/>
    </row>
    <row r="361" spans="1:18" x14ac:dyDescent="0.2">
      <c r="A361" s="238"/>
      <c r="B361" s="90" t="s">
        <v>32</v>
      </c>
      <c r="C361" s="242" t="s">
        <v>548</v>
      </c>
      <c r="D361" s="282"/>
      <c r="E361" s="272"/>
      <c r="F361" s="79">
        <f t="shared" si="80"/>
        <v>0</v>
      </c>
      <c r="G361" s="47">
        <f>SUMIF(JournalsB!D$14:D$920,TrialBalanceB!M361,JournalsB!J$14:J$920)+SUMIF(JournalsB!E$14:E$920,TrialBalanceB!M361,JournalsB!J$14:J$920)</f>
        <v>0</v>
      </c>
      <c r="H361" s="288"/>
      <c r="I361" s="290">
        <f t="shared" si="113"/>
        <v>0</v>
      </c>
      <c r="J361" s="75"/>
      <c r="K361" s="48">
        <f t="shared" si="75"/>
        <v>0</v>
      </c>
      <c r="M361" s="140" t="str">
        <f t="shared" si="76"/>
        <v>8020/000Less: Provision for doubtful debts</v>
      </c>
      <c r="N361" s="70"/>
      <c r="P361" s="71"/>
      <c r="Q361" s="51"/>
      <c r="R361" s="31"/>
    </row>
    <row r="362" spans="1:18" x14ac:dyDescent="0.2">
      <c r="A362" s="238"/>
      <c r="B362" s="90" t="s">
        <v>550</v>
      </c>
      <c r="C362" s="240" t="s">
        <v>307</v>
      </c>
      <c r="D362" s="282"/>
      <c r="E362" s="272"/>
      <c r="F362" s="79">
        <f t="shared" si="80"/>
        <v>0</v>
      </c>
      <c r="G362" s="47">
        <f>SUMIF(JournalsB!D$14:D$920,TrialBalanceB!M362,JournalsB!J$14:J$920)+SUMIF(JournalsB!E$14:E$920,TrialBalanceB!M362,JournalsB!J$14:J$920)</f>
        <v>0</v>
      </c>
      <c r="H362" s="288"/>
      <c r="I362" s="290">
        <f t="shared" si="113"/>
        <v>0</v>
      </c>
      <c r="J362" s="75"/>
      <c r="K362" s="48">
        <f t="shared" si="75"/>
        <v>0</v>
      </c>
      <c r="M362" s="140" t="str">
        <f t="shared" si="76"/>
        <v>8030/000Service deposits</v>
      </c>
      <c r="N362" s="70"/>
      <c r="P362" s="71"/>
      <c r="Q362" s="51"/>
      <c r="R362" s="31"/>
    </row>
    <row r="363" spans="1:18" x14ac:dyDescent="0.2">
      <c r="A363" s="238"/>
      <c r="B363" s="54" t="s">
        <v>451</v>
      </c>
      <c r="C363" s="242" t="s">
        <v>755</v>
      </c>
      <c r="D363" s="282"/>
      <c r="E363" s="272"/>
      <c r="F363" s="79">
        <f t="shared" si="80"/>
        <v>0</v>
      </c>
      <c r="G363" s="47">
        <f>SUMIF(JournalsB!D$14:D$920,TrialBalanceB!M363,JournalsB!J$14:J$920)+SUMIF(JournalsB!E$14:E$920,TrialBalanceB!M363,JournalsB!J$14:J$920)</f>
        <v>0</v>
      </c>
      <c r="H363" s="288"/>
      <c r="I363" s="290">
        <f t="shared" si="113"/>
        <v>0</v>
      </c>
      <c r="J363" s="75"/>
      <c r="K363" s="48">
        <f t="shared" si="75"/>
        <v>0</v>
      </c>
      <c r="M363" s="140" t="str">
        <f t="shared" si="76"/>
        <v>8200/000Sundry customers</v>
      </c>
      <c r="N363" s="70"/>
      <c r="P363" s="71"/>
      <c r="Q363" s="51"/>
      <c r="R363" s="31"/>
    </row>
    <row r="364" spans="1:18" x14ac:dyDescent="0.2">
      <c r="A364" s="238"/>
      <c r="B364" s="54" t="s">
        <v>452</v>
      </c>
      <c r="C364" s="240" t="s">
        <v>350</v>
      </c>
      <c r="D364" s="282"/>
      <c r="E364" s="272"/>
      <c r="F364" s="79">
        <f t="shared" si="80"/>
        <v>0</v>
      </c>
      <c r="G364" s="47">
        <f>SUMIF(JournalsB!D$14:D$920,TrialBalanceB!M364,JournalsB!J$14:J$920)+SUMIF(JournalsB!E$14:E$920,TrialBalanceB!M364,JournalsB!J$14:J$920)</f>
        <v>0</v>
      </c>
      <c r="H364" s="288"/>
      <c r="I364" s="290">
        <f t="shared" si="113"/>
        <v>0</v>
      </c>
      <c r="J364" s="75"/>
      <c r="K364" s="48">
        <f t="shared" si="75"/>
        <v>0</v>
      </c>
      <c r="M364" s="140" t="str">
        <f t="shared" si="76"/>
        <v>8200/010Prepayments</v>
      </c>
      <c r="N364" s="70"/>
      <c r="P364" s="71"/>
      <c r="Q364" s="51"/>
      <c r="R364" s="31"/>
    </row>
    <row r="365" spans="1:18" x14ac:dyDescent="0.2">
      <c r="A365" s="238"/>
      <c r="B365" s="54" t="s">
        <v>221</v>
      </c>
      <c r="C365" s="241" t="s">
        <v>523</v>
      </c>
      <c r="D365" s="272"/>
      <c r="E365" s="272"/>
      <c r="F365" s="79">
        <f t="shared" si="80"/>
        <v>0</v>
      </c>
      <c r="G365" s="47">
        <f>SUMIF(JournalsB!D$14:D$920,TrialBalanceB!M365,JournalsB!J$14:J$920)+SUMIF(JournalsB!E$14:E$920,TrialBalanceB!M365,JournalsB!J$14:J$920)</f>
        <v>0</v>
      </c>
      <c r="H365" s="288"/>
      <c r="I365" s="290">
        <f t="shared" si="113"/>
        <v>0</v>
      </c>
      <c r="J365" s="75"/>
      <c r="K365" s="48">
        <f t="shared" si="75"/>
        <v>0</v>
      </c>
      <c r="M365" s="140" t="str">
        <f t="shared" si="76"/>
        <v>8200/020Staff loans</v>
      </c>
      <c r="N365" s="70"/>
      <c r="P365" s="71"/>
      <c r="Q365" s="51"/>
      <c r="R365" s="31"/>
    </row>
    <row r="366" spans="1:18" x14ac:dyDescent="0.2">
      <c r="A366" s="238"/>
      <c r="B366" s="54" t="s">
        <v>222</v>
      </c>
      <c r="C366" s="244" t="s">
        <v>112</v>
      </c>
      <c r="D366" s="270"/>
      <c r="E366" s="272"/>
      <c r="F366" s="79"/>
      <c r="G366" s="47">
        <f>SUMIF(JournalsB!D$14:D$920,TrialBalanceB!M366,JournalsB!J$14:J$920)+SUMIF(JournalsB!E$14:E$920,TrialBalanceB!M366,JournalsB!J$14:J$920)</f>
        <v>0</v>
      </c>
      <c r="H366" s="288"/>
      <c r="I366" s="290">
        <f t="shared" si="113"/>
        <v>0</v>
      </c>
      <c r="J366" s="75"/>
      <c r="K366" s="48">
        <f t="shared" si="75"/>
        <v>0</v>
      </c>
      <c r="M366" s="140" t="str">
        <f t="shared" si="76"/>
        <v>8400/000BANK ACCOUNTS</v>
      </c>
      <c r="N366" s="70"/>
      <c r="P366" s="71"/>
      <c r="Q366" s="51"/>
      <c r="R366" s="31"/>
    </row>
    <row r="367" spans="1:18" x14ac:dyDescent="0.2">
      <c r="A367" s="238"/>
      <c r="B367" s="54" t="s">
        <v>223</v>
      </c>
      <c r="C367" s="276">
        <f>TrialBalance!C367</f>
        <v>0</v>
      </c>
      <c r="D367" s="281"/>
      <c r="E367" s="272"/>
      <c r="F367" s="79">
        <f t="shared" si="80"/>
        <v>0</v>
      </c>
      <c r="G367" s="47">
        <f>SUMIF(JournalsB!D$14:D$920,TrialBalanceB!M367,JournalsB!J$14:J$920)+SUMIF(JournalsB!E$14:E$920,TrialBalanceB!M367,JournalsB!J$14:J$920)</f>
        <v>0</v>
      </c>
      <c r="H367" s="288"/>
      <c r="I367" s="290">
        <f t="shared" si="113"/>
        <v>0</v>
      </c>
      <c r="J367" s="75"/>
      <c r="K367" s="48">
        <f t="shared" si="75"/>
        <v>0</v>
      </c>
      <c r="M367" s="140" t="str">
        <f t="shared" si="76"/>
        <v>8410/0000</v>
      </c>
      <c r="N367" s="70"/>
      <c r="P367" s="71"/>
      <c r="Q367" s="51"/>
      <c r="R367" s="31"/>
    </row>
    <row r="368" spans="1:18" x14ac:dyDescent="0.2">
      <c r="A368" s="238"/>
      <c r="B368" s="54" t="s">
        <v>224</v>
      </c>
      <c r="C368" s="276">
        <f>TrialBalance!C368</f>
        <v>0</v>
      </c>
      <c r="D368" s="281"/>
      <c r="E368" s="272"/>
      <c r="F368" s="79">
        <f t="shared" si="80"/>
        <v>0</v>
      </c>
      <c r="G368" s="47">
        <f>SUMIF(JournalsB!D$14:D$920,TrialBalanceB!M368,JournalsB!J$14:J$920)+SUMIF(JournalsB!E$14:E$920,TrialBalanceB!M368,JournalsB!J$14:J$920)</f>
        <v>0</v>
      </c>
      <c r="H368" s="288"/>
      <c r="I368" s="290">
        <f t="shared" si="113"/>
        <v>0</v>
      </c>
      <c r="J368" s="75"/>
      <c r="K368" s="48">
        <f t="shared" si="75"/>
        <v>0</v>
      </c>
      <c r="M368" s="140" t="str">
        <f t="shared" si="76"/>
        <v>8420/0000</v>
      </c>
      <c r="N368" s="70"/>
      <c r="P368" s="71"/>
      <c r="Q368" s="51"/>
      <c r="R368" s="31"/>
    </row>
    <row r="369" spans="1:18" x14ac:dyDescent="0.2">
      <c r="A369" s="238"/>
      <c r="B369" s="54" t="s">
        <v>225</v>
      </c>
      <c r="C369" s="276">
        <f>TrialBalance!C369</f>
        <v>0</v>
      </c>
      <c r="D369" s="272"/>
      <c r="E369" s="272"/>
      <c r="F369" s="79">
        <f t="shared" si="80"/>
        <v>0</v>
      </c>
      <c r="G369" s="47">
        <f>SUMIF(JournalsB!D$14:D$920,TrialBalanceB!M369,JournalsB!J$14:J$920)+SUMIF(JournalsB!E$14:E$920,TrialBalanceB!M369,JournalsB!J$14:J$920)</f>
        <v>0</v>
      </c>
      <c r="H369" s="288"/>
      <c r="I369" s="290">
        <f t="shared" si="113"/>
        <v>0</v>
      </c>
      <c r="J369" s="75"/>
      <c r="K369" s="48">
        <f t="shared" si="75"/>
        <v>0</v>
      </c>
      <c r="M369" s="140" t="str">
        <f t="shared" si="76"/>
        <v>8430/0000</v>
      </c>
      <c r="N369" s="70"/>
      <c r="P369" s="71"/>
      <c r="Q369" s="51"/>
      <c r="R369" s="31"/>
    </row>
    <row r="370" spans="1:18" x14ac:dyDescent="0.2">
      <c r="A370" s="238"/>
      <c r="B370" s="54" t="s">
        <v>226</v>
      </c>
      <c r="C370" s="276">
        <f>TrialBalance!C370</f>
        <v>0</v>
      </c>
      <c r="D370" s="282"/>
      <c r="E370" s="272"/>
      <c r="F370" s="79">
        <f t="shared" si="80"/>
        <v>0</v>
      </c>
      <c r="G370" s="47">
        <f>SUMIF(JournalsB!D$14:D$920,TrialBalanceB!M370,JournalsB!J$14:J$920)+SUMIF(JournalsB!E$14:E$920,TrialBalanceB!M370,JournalsB!J$14:J$920)</f>
        <v>0</v>
      </c>
      <c r="H370" s="288"/>
      <c r="I370" s="290">
        <f t="shared" si="113"/>
        <v>0</v>
      </c>
      <c r="J370" s="75"/>
      <c r="K370" s="48">
        <f t="shared" si="75"/>
        <v>0</v>
      </c>
      <c r="M370" s="140" t="str">
        <f t="shared" si="76"/>
        <v>8440/0000</v>
      </c>
      <c r="N370" s="70"/>
      <c r="P370" s="71"/>
      <c r="Q370" s="51"/>
      <c r="R370" s="31"/>
    </row>
    <row r="371" spans="1:18" x14ac:dyDescent="0.2">
      <c r="A371" s="238"/>
      <c r="B371" s="54" t="s">
        <v>227</v>
      </c>
      <c r="C371" s="276">
        <f>TrialBalance!C371</f>
        <v>0</v>
      </c>
      <c r="D371" s="282"/>
      <c r="E371" s="272"/>
      <c r="F371" s="79">
        <f t="shared" si="80"/>
        <v>0</v>
      </c>
      <c r="G371" s="47">
        <f>SUMIF(JournalsB!D$14:D$920,TrialBalanceB!M371,JournalsB!J$14:J$920)+SUMIF(JournalsB!E$14:E$920,TrialBalanceB!M371,JournalsB!J$14:J$920)</f>
        <v>0</v>
      </c>
      <c r="H371" s="288"/>
      <c r="I371" s="290">
        <f t="shared" si="113"/>
        <v>0</v>
      </c>
      <c r="J371" s="75"/>
      <c r="K371" s="48">
        <f t="shared" si="75"/>
        <v>0</v>
      </c>
      <c r="M371" s="140" t="str">
        <f t="shared" si="76"/>
        <v>8450/0000</v>
      </c>
      <c r="N371" s="70"/>
      <c r="P371" s="71"/>
      <c r="Q371" s="51"/>
      <c r="R371" s="31"/>
    </row>
    <row r="372" spans="1:18" x14ac:dyDescent="0.2">
      <c r="A372" s="238"/>
      <c r="B372" s="54" t="s">
        <v>113</v>
      </c>
      <c r="C372" s="276">
        <f>TrialBalance!C372</f>
        <v>0</v>
      </c>
      <c r="D372" s="282"/>
      <c r="E372" s="272"/>
      <c r="F372" s="79">
        <f t="shared" si="80"/>
        <v>0</v>
      </c>
      <c r="G372" s="47">
        <f>SUMIF(JournalsB!D$14:D$920,TrialBalanceB!M372,JournalsB!J$14:J$920)+SUMIF(JournalsB!E$14:E$920,TrialBalanceB!M372,JournalsB!J$14:J$920)</f>
        <v>0</v>
      </c>
      <c r="H372" s="288"/>
      <c r="I372" s="290">
        <f t="shared" si="113"/>
        <v>0</v>
      </c>
      <c r="J372" s="75"/>
      <c r="K372" s="48">
        <f t="shared" si="75"/>
        <v>0</v>
      </c>
      <c r="M372" s="140" t="str">
        <f t="shared" si="76"/>
        <v>8460/0000</v>
      </c>
      <c r="N372" s="70"/>
      <c r="P372" s="71"/>
      <c r="Q372" s="51"/>
      <c r="R372" s="31"/>
    </row>
    <row r="373" spans="1:18" x14ac:dyDescent="0.2">
      <c r="A373" s="238"/>
      <c r="B373" s="54" t="s">
        <v>398</v>
      </c>
      <c r="C373" s="246" t="s">
        <v>399</v>
      </c>
      <c r="D373" s="272"/>
      <c r="E373" s="272"/>
      <c r="F373" s="79">
        <f t="shared" si="80"/>
        <v>0</v>
      </c>
      <c r="G373" s="47">
        <f>SUMIF(JournalsB!D$14:D$920,TrialBalanceB!M373,JournalsB!J$14:J$920)+SUMIF(JournalsB!E$14:E$920,TrialBalanceB!M373,JournalsB!J$14:J$920)</f>
        <v>0</v>
      </c>
      <c r="H373" s="288"/>
      <c r="I373" s="290">
        <f t="shared" si="113"/>
        <v>0</v>
      </c>
      <c r="J373" s="75"/>
      <c r="K373" s="48">
        <f t="shared" si="75"/>
        <v>0</v>
      </c>
      <c r="M373" s="140" t="str">
        <f t="shared" si="76"/>
        <v>8500/000Cash on hand</v>
      </c>
      <c r="N373" s="70"/>
      <c r="P373" s="71"/>
      <c r="Q373" s="51"/>
      <c r="R373" s="31"/>
    </row>
    <row r="374" spans="1:18" x14ac:dyDescent="0.2">
      <c r="A374" s="238"/>
      <c r="B374" s="54" t="s">
        <v>400</v>
      </c>
      <c r="C374" s="244" t="s">
        <v>262</v>
      </c>
      <c r="D374" s="270"/>
      <c r="E374" s="272"/>
      <c r="F374" s="79"/>
      <c r="G374" s="47">
        <f>SUMIF(JournalsB!D$14:D$920,TrialBalanceB!M374,JournalsB!J$14:J$920)+SUMIF(JournalsB!E$14:E$920,TrialBalanceB!M374,JournalsB!J$14:J$920)</f>
        <v>0</v>
      </c>
      <c r="H374" s="288"/>
      <c r="I374" s="290">
        <f t="shared" si="113"/>
        <v>0</v>
      </c>
      <c r="J374" s="75"/>
      <c r="K374" s="48">
        <f t="shared" si="75"/>
        <v>0</v>
      </c>
      <c r="M374" s="140" t="str">
        <f t="shared" si="76"/>
        <v>8900/000SHORT TERM LOANS</v>
      </c>
      <c r="N374" s="70"/>
      <c r="P374" s="71"/>
      <c r="Q374" s="51"/>
      <c r="R374" s="31"/>
    </row>
    <row r="375" spans="1:18" x14ac:dyDescent="0.2">
      <c r="A375" s="238"/>
      <c r="B375" s="54" t="s">
        <v>401</v>
      </c>
      <c r="C375" s="276">
        <f>TrialBalance!C375</f>
        <v>0</v>
      </c>
      <c r="D375" s="272"/>
      <c r="E375" s="272"/>
      <c r="F375" s="79">
        <f t="shared" si="80"/>
        <v>0</v>
      </c>
      <c r="G375" s="47">
        <f>SUMIF(JournalsB!D$14:D$920,TrialBalanceB!M375,JournalsB!J$14:J$920)+SUMIF(JournalsB!E$14:E$920,TrialBalanceB!M375,JournalsB!J$14:J$920)</f>
        <v>0</v>
      </c>
      <c r="H375" s="288"/>
      <c r="I375" s="290">
        <f t="shared" si="113"/>
        <v>0</v>
      </c>
      <c r="J375" s="75"/>
      <c r="K375" s="48">
        <f t="shared" si="75"/>
        <v>0</v>
      </c>
      <c r="M375" s="140" t="str">
        <f t="shared" si="76"/>
        <v>8900/0010</v>
      </c>
      <c r="N375" s="70"/>
      <c r="P375" s="71"/>
      <c r="Q375" s="51"/>
      <c r="R375" s="31"/>
    </row>
    <row r="376" spans="1:18" x14ac:dyDescent="0.2">
      <c r="A376" s="238"/>
      <c r="B376" s="54" t="s">
        <v>402</v>
      </c>
      <c r="C376" s="276">
        <f>TrialBalance!C376</f>
        <v>0</v>
      </c>
      <c r="D376" s="282"/>
      <c r="E376" s="272"/>
      <c r="F376" s="79">
        <f t="shared" si="80"/>
        <v>0</v>
      </c>
      <c r="G376" s="47">
        <f>SUMIF(JournalsB!D$14:D$920,TrialBalanceB!M376,JournalsB!J$14:J$920)+SUMIF(JournalsB!E$14:E$920,TrialBalanceB!M376,JournalsB!J$14:J$920)</f>
        <v>0</v>
      </c>
      <c r="H376" s="288"/>
      <c r="I376" s="290">
        <f t="shared" si="113"/>
        <v>0</v>
      </c>
      <c r="J376" s="75"/>
      <c r="K376" s="48">
        <f t="shared" si="75"/>
        <v>0</v>
      </c>
      <c r="M376" s="140" t="str">
        <f t="shared" si="76"/>
        <v>8900/0020</v>
      </c>
      <c r="N376" s="70"/>
      <c r="P376" s="71"/>
      <c r="Q376" s="51"/>
      <c r="R376" s="31"/>
    </row>
    <row r="377" spans="1:18" x14ac:dyDescent="0.2">
      <c r="A377" s="238"/>
      <c r="B377" s="54" t="s">
        <v>403</v>
      </c>
      <c r="C377" s="276">
        <f>TrialBalance!C377</f>
        <v>0</v>
      </c>
      <c r="D377" s="282"/>
      <c r="E377" s="272"/>
      <c r="F377" s="79">
        <f t="shared" si="80"/>
        <v>0</v>
      </c>
      <c r="G377" s="47">
        <f>SUMIF(JournalsB!D$14:D$920,TrialBalanceB!M377,JournalsB!J$14:J$920)+SUMIF(JournalsB!E$14:E$920,TrialBalanceB!M377,JournalsB!J$14:J$920)</f>
        <v>0</v>
      </c>
      <c r="H377" s="288"/>
      <c r="I377" s="290">
        <f t="shared" si="113"/>
        <v>0</v>
      </c>
      <c r="J377" s="75"/>
      <c r="K377" s="48">
        <f t="shared" si="75"/>
        <v>0</v>
      </c>
      <c r="M377" s="140" t="str">
        <f t="shared" si="76"/>
        <v>8900/0030</v>
      </c>
      <c r="N377" s="70"/>
      <c r="P377" s="71"/>
      <c r="Q377" s="51"/>
      <c r="R377" s="31"/>
    </row>
    <row r="378" spans="1:18" x14ac:dyDescent="0.2">
      <c r="A378" s="238"/>
      <c r="B378" s="54" t="s">
        <v>404</v>
      </c>
      <c r="C378" s="239" t="s">
        <v>237</v>
      </c>
      <c r="D378" s="283"/>
      <c r="E378" s="272"/>
      <c r="F378" s="79"/>
      <c r="G378" s="47">
        <f>SUMIF(JournalsB!D$14:D$920,TrialBalanceB!M378,JournalsB!J$14:J$920)+SUMIF(JournalsB!E$14:E$920,TrialBalanceB!M378,JournalsB!J$14:J$920)</f>
        <v>0</v>
      </c>
      <c r="H378" s="288"/>
      <c r="I378" s="290">
        <f t="shared" si="113"/>
        <v>0</v>
      </c>
      <c r="J378" s="75"/>
      <c r="K378" s="48">
        <f t="shared" si="75"/>
        <v>0</v>
      </c>
      <c r="M378" s="140" t="str">
        <f t="shared" si="76"/>
        <v>8900/004Short term portion of long term loans</v>
      </c>
      <c r="N378" s="70"/>
      <c r="P378" s="71"/>
      <c r="Q378" s="51"/>
      <c r="R378" s="31"/>
    </row>
    <row r="379" spans="1:18" x14ac:dyDescent="0.2">
      <c r="A379" s="238"/>
      <c r="B379" s="54" t="s">
        <v>405</v>
      </c>
      <c r="C379" s="239" t="s">
        <v>406</v>
      </c>
      <c r="D379" s="283"/>
      <c r="E379" s="272"/>
      <c r="F379" s="79"/>
      <c r="G379" s="47">
        <f>SUMIF(JournalsB!D$14:D$920,TrialBalanceB!M379,JournalsB!J$14:J$920)+SUMIF(JournalsB!E$14:E$920,TrialBalanceB!M379,JournalsB!J$14:J$920)</f>
        <v>0</v>
      </c>
      <c r="H379" s="288"/>
      <c r="I379" s="290">
        <f t="shared" si="113"/>
        <v>0</v>
      </c>
      <c r="J379" s="75"/>
      <c r="K379" s="48">
        <f t="shared" si="75"/>
        <v>0</v>
      </c>
      <c r="M379" s="140" t="str">
        <f t="shared" si="76"/>
        <v>9000/000CREDITORS</v>
      </c>
      <c r="N379" s="70"/>
      <c r="P379" s="71"/>
      <c r="Q379" s="51"/>
      <c r="R379" s="31"/>
    </row>
    <row r="380" spans="1:18" x14ac:dyDescent="0.2">
      <c r="A380" s="238"/>
      <c r="B380" s="54" t="s">
        <v>407</v>
      </c>
      <c r="C380" s="240" t="s">
        <v>408</v>
      </c>
      <c r="D380" s="282"/>
      <c r="E380" s="272"/>
      <c r="F380" s="79">
        <f>K380</f>
        <v>0</v>
      </c>
      <c r="G380" s="47">
        <f>SUMIF(JournalsB!D$14:D$920,TrialBalanceB!M380,JournalsB!J$14:J$920)+SUMIF(JournalsB!E$14:E$920,TrialBalanceB!M380,JournalsB!J$14:J$920)</f>
        <v>0</v>
      </c>
      <c r="H380" s="288"/>
      <c r="I380" s="290">
        <f t="shared" si="113"/>
        <v>0</v>
      </c>
      <c r="J380" s="75"/>
      <c r="K380" s="48">
        <f t="shared" si="75"/>
        <v>0</v>
      </c>
      <c r="M380" s="140" t="str">
        <f t="shared" si="76"/>
        <v>9010/000Trade creditors</v>
      </c>
      <c r="N380" s="70"/>
      <c r="P380" s="71"/>
      <c r="Q380" s="51"/>
      <c r="R380" s="31"/>
    </row>
    <row r="381" spans="1:18" x14ac:dyDescent="0.2">
      <c r="A381" s="238"/>
      <c r="B381" s="54" t="s">
        <v>409</v>
      </c>
      <c r="C381" s="242" t="s">
        <v>538</v>
      </c>
      <c r="D381" s="282"/>
      <c r="E381" s="272"/>
      <c r="F381" s="79">
        <f>K381</f>
        <v>0</v>
      </c>
      <c r="G381" s="47">
        <f>SUMIF(JournalsB!D$14:D$920,TrialBalanceB!M381,JournalsB!J$14:J$920)+SUMIF(JournalsB!E$14:E$920,TrialBalanceB!M381,JournalsB!J$14:J$920)</f>
        <v>0</v>
      </c>
      <c r="H381" s="288"/>
      <c r="I381" s="290">
        <f t="shared" si="113"/>
        <v>0</v>
      </c>
      <c r="J381" s="75"/>
      <c r="K381" s="48">
        <f t="shared" si="75"/>
        <v>0</v>
      </c>
      <c r="M381" s="140" t="str">
        <f t="shared" si="76"/>
        <v>9200/000Sundry suppliers</v>
      </c>
      <c r="N381" s="70"/>
      <c r="P381" s="71"/>
      <c r="Q381" s="51"/>
      <c r="R381" s="31"/>
    </row>
    <row r="382" spans="1:18" x14ac:dyDescent="0.2">
      <c r="A382" s="238"/>
      <c r="B382" s="54" t="s">
        <v>410</v>
      </c>
      <c r="C382" s="242" t="s">
        <v>705</v>
      </c>
      <c r="D382" s="284"/>
      <c r="E382" s="272"/>
      <c r="F382" s="79">
        <f>K382</f>
        <v>0</v>
      </c>
      <c r="G382" s="47">
        <f>SUMIF(JournalsB!D$14:D$920,TrialBalanceB!M382,JournalsB!J$14:J$920)+SUMIF(JournalsB!E$14:E$920,TrialBalanceB!M382,JournalsB!J$14:J$920)</f>
        <v>0</v>
      </c>
      <c r="H382" s="288"/>
      <c r="I382" s="290">
        <f t="shared" si="113"/>
        <v>0</v>
      </c>
      <c r="J382" s="75"/>
      <c r="K382" s="48">
        <f t="shared" si="75"/>
        <v>0</v>
      </c>
      <c r="M382" s="140" t="str">
        <f t="shared" si="76"/>
        <v>9200/010Audit and accounting fee accrual</v>
      </c>
      <c r="N382" s="70"/>
      <c r="P382" s="71"/>
      <c r="Q382" s="51"/>
      <c r="R382" s="31"/>
    </row>
    <row r="383" spans="1:18" x14ac:dyDescent="0.2">
      <c r="A383" s="238"/>
      <c r="B383" s="54" t="s">
        <v>411</v>
      </c>
      <c r="C383" s="242" t="s">
        <v>539</v>
      </c>
      <c r="D383" s="282"/>
      <c r="E383" s="272"/>
      <c r="F383" s="79">
        <f>K383</f>
        <v>0</v>
      </c>
      <c r="G383" s="47">
        <f>SUMIF(JournalsB!D$14:D$920,TrialBalanceB!M383,JournalsB!J$14:J$920)+SUMIF(JournalsB!E$14:E$920,TrialBalanceB!M383,JournalsB!J$14:J$920)</f>
        <v>0</v>
      </c>
      <c r="H383" s="288"/>
      <c r="I383" s="290">
        <f t="shared" si="113"/>
        <v>0</v>
      </c>
      <c r="J383" s="75"/>
      <c r="K383" s="48">
        <f t="shared" si="75"/>
        <v>0</v>
      </c>
      <c r="M383" s="140" t="str">
        <f t="shared" si="76"/>
        <v>9200/020Other accruals</v>
      </c>
      <c r="N383" s="70"/>
      <c r="P383" s="71"/>
      <c r="Q383" s="51"/>
      <c r="R383" s="31"/>
    </row>
    <row r="384" spans="1:18" x14ac:dyDescent="0.2">
      <c r="A384" s="238"/>
      <c r="B384" s="54" t="s">
        <v>412</v>
      </c>
      <c r="C384" s="242" t="s">
        <v>701</v>
      </c>
      <c r="D384" s="282"/>
      <c r="E384" s="272"/>
      <c r="F384" s="79">
        <f>K384</f>
        <v>0</v>
      </c>
      <c r="G384" s="47">
        <f>SUMIF(JournalsB!D$14:D$920,TrialBalanceB!M384,JournalsB!J$14:J$920)+SUMIF(JournalsB!E$14:E$920,TrialBalanceB!M384,JournalsB!J$14:J$920)</f>
        <v>0</v>
      </c>
      <c r="H384" s="288"/>
      <c r="I384" s="290">
        <f t="shared" si="113"/>
        <v>0</v>
      </c>
      <c r="J384" s="75"/>
      <c r="K384" s="48">
        <f t="shared" si="75"/>
        <v>0</v>
      </c>
      <c r="M384" s="140" t="str">
        <f t="shared" si="76"/>
        <v>9250/000Salary and wages control</v>
      </c>
      <c r="N384" s="70"/>
      <c r="P384" s="71"/>
      <c r="Q384" s="51"/>
      <c r="R384" s="31"/>
    </row>
    <row r="385" spans="1:18" x14ac:dyDescent="0.2">
      <c r="A385" s="238"/>
      <c r="B385" s="54" t="s">
        <v>313</v>
      </c>
      <c r="C385" s="239" t="s">
        <v>104</v>
      </c>
      <c r="D385" s="283"/>
      <c r="E385" s="272"/>
      <c r="F385" s="79"/>
      <c r="G385" s="47">
        <f>SUMIF(JournalsB!D$14:D$920,TrialBalanceB!M385,JournalsB!J$14:J$920)+SUMIF(JournalsB!E$14:E$920,TrialBalanceB!M385,JournalsB!J$14:J$920)</f>
        <v>0</v>
      </c>
      <c r="H385" s="288"/>
      <c r="I385" s="290">
        <f t="shared" si="113"/>
        <v>0</v>
      </c>
      <c r="J385" s="75"/>
      <c r="K385" s="48">
        <f t="shared" si="75"/>
        <v>0</v>
      </c>
      <c r="M385" s="140" t="str">
        <f t="shared" si="76"/>
        <v>9300/000TAXATION</v>
      </c>
      <c r="N385" s="70"/>
      <c r="P385" s="71"/>
      <c r="Q385" s="51"/>
      <c r="R385" s="31"/>
    </row>
    <row r="386" spans="1:18" x14ac:dyDescent="0.2">
      <c r="A386" s="238"/>
      <c r="B386" s="54" t="s">
        <v>423</v>
      </c>
      <c r="C386" s="240" t="s">
        <v>78</v>
      </c>
      <c r="D386" s="282"/>
      <c r="E386" s="272"/>
      <c r="F386" s="79">
        <f>SUM(K386:K393)</f>
        <v>0</v>
      </c>
      <c r="G386" s="47">
        <f>SUMIF(JournalsB!D$14:D$920,TrialBalanceB!M386,JournalsB!J$14:J$920)+SUMIF(JournalsB!E$14:E$920,TrialBalanceB!M386,JournalsB!J$14:J$920)</f>
        <v>0</v>
      </c>
      <c r="H386" s="288"/>
      <c r="I386" s="290">
        <f t="shared" si="113"/>
        <v>0</v>
      </c>
      <c r="J386" s="75"/>
      <c r="K386" s="48">
        <f t="shared" si="75"/>
        <v>0</v>
      </c>
      <c r="M386" s="140" t="str">
        <f t="shared" si="76"/>
        <v>9300/010Balance b/fwd</v>
      </c>
      <c r="N386" s="70"/>
      <c r="P386" s="71"/>
      <c r="Q386" s="51"/>
      <c r="R386" s="31"/>
    </row>
    <row r="387" spans="1:18" x14ac:dyDescent="0.2">
      <c r="A387" s="238"/>
      <c r="B387" s="54" t="s">
        <v>424</v>
      </c>
      <c r="C387" s="246" t="s">
        <v>110</v>
      </c>
      <c r="D387" s="272"/>
      <c r="E387" s="272"/>
      <c r="F387" s="79"/>
      <c r="G387" s="47">
        <f>SUMIF(JournalsB!D$14:D$920,TrialBalanceB!M387,JournalsB!J$14:J$920)+SUMIF(JournalsB!E$14:E$920,TrialBalanceB!M387,JournalsB!J$14:J$920)</f>
        <v>0</v>
      </c>
      <c r="H387" s="288"/>
      <c r="I387" s="290">
        <f t="shared" si="113"/>
        <v>0</v>
      </c>
      <c r="J387" s="75"/>
      <c r="K387" s="48">
        <f t="shared" si="75"/>
        <v>0</v>
      </c>
      <c r="M387" s="140" t="str">
        <f t="shared" si="76"/>
        <v>9300/020Tax provision this year</v>
      </c>
      <c r="N387" s="70"/>
      <c r="P387" s="71"/>
      <c r="Q387" s="51"/>
      <c r="R387" s="31"/>
    </row>
    <row r="388" spans="1:18" x14ac:dyDescent="0.2">
      <c r="A388" s="238"/>
      <c r="B388" s="54" t="s">
        <v>425</v>
      </c>
      <c r="C388" s="242" t="s">
        <v>784</v>
      </c>
      <c r="D388" s="282"/>
      <c r="E388" s="272"/>
      <c r="F388" s="79"/>
      <c r="G388" s="47">
        <f>SUMIF(JournalsB!D$14:D$920,TrialBalanceB!M388,JournalsB!J$14:J$920)+SUMIF(JournalsB!E$14:E$920,TrialBalanceB!M388,JournalsB!J$14:J$920)</f>
        <v>0</v>
      </c>
      <c r="H388" s="288"/>
      <c r="I388" s="290">
        <f t="shared" si="113"/>
        <v>0</v>
      </c>
      <c r="J388" s="75"/>
      <c r="K388" s="48">
        <f t="shared" si="75"/>
        <v>0</v>
      </c>
      <c r="M388" s="140" t="str">
        <f t="shared" si="76"/>
        <v>9300/030Over-/(Under) provision previous year</v>
      </c>
      <c r="N388" s="70"/>
      <c r="P388" s="71"/>
      <c r="Q388" s="51"/>
      <c r="R388" s="31"/>
    </row>
    <row r="389" spans="1:18" x14ac:dyDescent="0.2">
      <c r="A389" s="238"/>
      <c r="B389" s="54" t="s">
        <v>426</v>
      </c>
      <c r="C389" s="242" t="s">
        <v>785</v>
      </c>
      <c r="D389" s="282"/>
      <c r="E389" s="272"/>
      <c r="F389" s="79"/>
      <c r="G389" s="47">
        <f>SUMIF(JournalsB!D$14:D$920,TrialBalanceB!M389,JournalsB!J$14:J$920)+SUMIF(JournalsB!E$14:E$920,TrialBalanceB!M389,JournalsB!J$14:J$920)</f>
        <v>0</v>
      </c>
      <c r="H389" s="288"/>
      <c r="I389" s="290">
        <f t="shared" si="113"/>
        <v>0</v>
      </c>
      <c r="J389" s="75"/>
      <c r="K389" s="48">
        <f t="shared" si="75"/>
        <v>0</v>
      </c>
      <c r="M389" s="140" t="str">
        <f t="shared" si="76"/>
        <v>9300/040Tax paid/(refund) for previous year provisions</v>
      </c>
      <c r="N389" s="70"/>
      <c r="P389" s="71"/>
      <c r="Q389" s="51"/>
      <c r="R389" s="31"/>
    </row>
    <row r="390" spans="1:18" x14ac:dyDescent="0.2">
      <c r="A390" s="238"/>
      <c r="B390" s="54" t="s">
        <v>427</v>
      </c>
      <c r="C390" s="242" t="s">
        <v>756</v>
      </c>
      <c r="D390" s="282"/>
      <c r="E390" s="272"/>
      <c r="F390" s="79"/>
      <c r="G390" s="47">
        <f>SUMIF(JournalsB!D$14:D$920,TrialBalanceB!M390,JournalsB!J$14:J$920)+SUMIF(JournalsB!E$14:E$920,TrialBalanceB!M390,JournalsB!J$14:J$920)</f>
        <v>0</v>
      </c>
      <c r="H390" s="288"/>
      <c r="I390" s="290">
        <f t="shared" si="113"/>
        <v>0</v>
      </c>
      <c r="J390" s="75"/>
      <c r="K390" s="48">
        <f t="shared" ref="K390:K401" si="114">ROUND(SUM(A390),0)</f>
        <v>0</v>
      </c>
      <c r="M390" s="140" t="str">
        <f t="shared" ref="M390:M401" si="115">CONCATENATE(B390,C390)</f>
        <v>9300/0501st Provisional paid</v>
      </c>
      <c r="N390" s="70"/>
      <c r="P390" s="71"/>
      <c r="Q390" s="51"/>
      <c r="R390" s="31"/>
    </row>
    <row r="391" spans="1:18" x14ac:dyDescent="0.2">
      <c r="A391" s="238"/>
      <c r="B391" s="54" t="s">
        <v>428</v>
      </c>
      <c r="C391" s="242" t="s">
        <v>757</v>
      </c>
      <c r="D391" s="282"/>
      <c r="E391" s="272"/>
      <c r="F391" s="79"/>
      <c r="G391" s="47">
        <f>SUMIF(JournalsB!D$14:D$920,TrialBalanceB!M391,JournalsB!J$14:J$920)+SUMIF(JournalsB!E$14:E$920,TrialBalanceB!M391,JournalsB!J$14:J$920)</f>
        <v>0</v>
      </c>
      <c r="H391" s="288"/>
      <c r="I391" s="290">
        <f t="shared" si="113"/>
        <v>0</v>
      </c>
      <c r="J391" s="75"/>
      <c r="K391" s="48">
        <f t="shared" si="114"/>
        <v>0</v>
      </c>
      <c r="M391" s="140" t="str">
        <f t="shared" si="115"/>
        <v>9300/0602nd Provisional paid</v>
      </c>
      <c r="N391" s="70"/>
      <c r="P391" s="71"/>
      <c r="Q391" s="51"/>
      <c r="R391" s="31"/>
    </row>
    <row r="392" spans="1:18" x14ac:dyDescent="0.2">
      <c r="A392" s="238"/>
      <c r="B392" s="54" t="s">
        <v>429</v>
      </c>
      <c r="C392" s="240" t="s">
        <v>111</v>
      </c>
      <c r="D392" s="282"/>
      <c r="E392" s="272"/>
      <c r="F392" s="79"/>
      <c r="G392" s="47">
        <f>SUMIF(JournalsB!D$14:D$920,TrialBalanceB!M392,JournalsB!J$14:J$920)+SUMIF(JournalsB!E$14:E$920,TrialBalanceB!M392,JournalsB!J$14:J$920)</f>
        <v>0</v>
      </c>
      <c r="H392" s="288"/>
      <c r="I392" s="290">
        <f t="shared" si="113"/>
        <v>0</v>
      </c>
      <c r="J392" s="75"/>
      <c r="K392" s="48">
        <f t="shared" si="114"/>
        <v>0</v>
      </c>
      <c r="M392" s="140" t="str">
        <f t="shared" si="115"/>
        <v>9300/0703rd Provisional paid</v>
      </c>
      <c r="N392" s="70"/>
      <c r="P392" s="71"/>
      <c r="Q392" s="51"/>
      <c r="R392" s="31"/>
    </row>
    <row r="393" spans="1:18" x14ac:dyDescent="0.2">
      <c r="A393" s="238"/>
      <c r="B393" s="54" t="s">
        <v>430</v>
      </c>
      <c r="C393" s="242" t="s">
        <v>787</v>
      </c>
      <c r="D393" s="282"/>
      <c r="E393" s="272"/>
      <c r="F393" s="79"/>
      <c r="G393" s="47">
        <f>SUMIF(JournalsB!D$14:D$920,TrialBalanceB!M393,JournalsB!J$14:J$920)+SUMIF(JournalsB!E$14:E$920,TrialBalanceB!M393,JournalsB!J$14:J$920)</f>
        <v>0</v>
      </c>
      <c r="H393" s="288"/>
      <c r="I393" s="290">
        <f t="shared" si="113"/>
        <v>0</v>
      </c>
      <c r="J393" s="75"/>
      <c r="K393" s="48">
        <f t="shared" si="114"/>
        <v>0</v>
      </c>
      <c r="M393" s="140" t="str">
        <f t="shared" si="115"/>
        <v>9300/090Dividends tax provision</v>
      </c>
      <c r="N393" s="70"/>
      <c r="P393" s="71"/>
      <c r="Q393" s="51"/>
      <c r="R393" s="31"/>
    </row>
    <row r="394" spans="1:18" x14ac:dyDescent="0.2">
      <c r="A394" s="238"/>
      <c r="B394" s="54" t="s">
        <v>314</v>
      </c>
      <c r="C394" s="242" t="s">
        <v>525</v>
      </c>
      <c r="D394" s="282"/>
      <c r="E394" s="272"/>
      <c r="F394" s="79">
        <f>K394</f>
        <v>0</v>
      </c>
      <c r="G394" s="47">
        <f>SUMIF(JournalsB!D$14:D$920,TrialBalanceB!M394,JournalsB!J$14:J$920)+SUMIF(JournalsB!E$14:E$920,TrialBalanceB!M394,JournalsB!J$14:J$920)</f>
        <v>0</v>
      </c>
      <c r="H394" s="288"/>
      <c r="I394" s="290">
        <f t="shared" si="113"/>
        <v>0</v>
      </c>
      <c r="J394" s="75"/>
      <c r="K394" s="48">
        <f t="shared" si="114"/>
        <v>0</v>
      </c>
      <c r="M394" s="140" t="str">
        <f t="shared" si="115"/>
        <v>9350/000Dividends payable</v>
      </c>
      <c r="N394" s="70"/>
      <c r="P394" s="71"/>
      <c r="Q394" s="51"/>
      <c r="R394" s="31"/>
    </row>
    <row r="395" spans="1:18" x14ac:dyDescent="0.2">
      <c r="A395" s="238"/>
      <c r="B395" s="54" t="s">
        <v>315</v>
      </c>
      <c r="C395" s="242" t="s">
        <v>526</v>
      </c>
      <c r="D395" s="282"/>
      <c r="E395" s="272"/>
      <c r="F395" s="79">
        <f>K395</f>
        <v>0</v>
      </c>
      <c r="G395" s="47">
        <f>SUMIF(JournalsB!D$14:D$920,TrialBalanceB!M395,JournalsB!J$14:J$920)+SUMIF(JournalsB!E$14:E$920,TrialBalanceB!M395,JournalsB!J$14:J$920)</f>
        <v>0</v>
      </c>
      <c r="H395" s="288"/>
      <c r="I395" s="290">
        <f t="shared" si="113"/>
        <v>0</v>
      </c>
      <c r="J395" s="75"/>
      <c r="K395" s="48">
        <f t="shared" si="114"/>
        <v>0</v>
      </c>
      <c r="M395" s="140" t="str">
        <f t="shared" si="115"/>
        <v>9400/000Provision for future expenses</v>
      </c>
      <c r="N395" s="70"/>
      <c r="P395" s="71"/>
      <c r="Q395" s="51"/>
      <c r="R395" s="31"/>
    </row>
    <row r="396" spans="1:18" x14ac:dyDescent="0.2">
      <c r="A396" s="238"/>
      <c r="B396" s="54" t="s">
        <v>316</v>
      </c>
      <c r="C396" s="242" t="s">
        <v>527</v>
      </c>
      <c r="D396" s="282"/>
      <c r="E396" s="272"/>
      <c r="F396" s="79">
        <f>K396</f>
        <v>0</v>
      </c>
      <c r="G396" s="47">
        <f>SUMIF(JournalsB!D$14:D$920,TrialBalanceB!M396,JournalsB!J$14:J$920)+SUMIF(JournalsB!E$14:E$920,TrialBalanceB!M396,JournalsB!J$14:J$920)</f>
        <v>0</v>
      </c>
      <c r="H396" s="288"/>
      <c r="I396" s="290">
        <f t="shared" si="113"/>
        <v>0</v>
      </c>
      <c r="J396" s="75"/>
      <c r="K396" s="48">
        <f t="shared" si="114"/>
        <v>0</v>
      </c>
      <c r="M396" s="140" t="str">
        <f t="shared" si="115"/>
        <v>9400/010Provision for insurance</v>
      </c>
      <c r="N396" s="70"/>
      <c r="P396" s="71"/>
      <c r="Q396" s="51"/>
      <c r="R396" s="31"/>
    </row>
    <row r="397" spans="1:18" x14ac:dyDescent="0.2">
      <c r="A397" s="238"/>
      <c r="B397" s="54" t="s">
        <v>317</v>
      </c>
      <c r="C397" s="242" t="s">
        <v>528</v>
      </c>
      <c r="D397" s="282"/>
      <c r="E397" s="272"/>
      <c r="F397" s="79">
        <f>K397</f>
        <v>0</v>
      </c>
      <c r="G397" s="47">
        <f>SUMIF(JournalsB!D$14:D$920,TrialBalanceB!M397,JournalsB!J$14:J$920)+SUMIF(JournalsB!E$14:E$920,TrialBalanceB!M397,JournalsB!J$14:J$920)</f>
        <v>0</v>
      </c>
      <c r="H397" s="288"/>
      <c r="I397" s="290">
        <f t="shared" si="113"/>
        <v>0</v>
      </c>
      <c r="J397" s="75"/>
      <c r="K397" s="48">
        <f t="shared" si="114"/>
        <v>0</v>
      </c>
      <c r="M397" s="140" t="str">
        <f t="shared" si="115"/>
        <v>9400/020Provision for salary bonus</v>
      </c>
      <c r="N397" s="70"/>
      <c r="P397" s="71"/>
      <c r="Q397" s="51"/>
      <c r="R397" s="31"/>
    </row>
    <row r="398" spans="1:18" x14ac:dyDescent="0.2">
      <c r="A398" s="238"/>
      <c r="B398" s="54" t="s">
        <v>318</v>
      </c>
      <c r="C398" s="239" t="s">
        <v>319</v>
      </c>
      <c r="D398" s="283"/>
      <c r="E398" s="272"/>
      <c r="F398" s="79"/>
      <c r="G398" s="47">
        <f>SUMIF(JournalsB!D$14:D$920,TrialBalanceB!M398,JournalsB!J$14:J$920)+SUMIF(JournalsB!E$14:E$920,TrialBalanceB!M398,JournalsB!J$14:J$920)</f>
        <v>0</v>
      </c>
      <c r="H398" s="288"/>
      <c r="I398" s="290">
        <f t="shared" si="113"/>
        <v>0</v>
      </c>
      <c r="J398" s="75"/>
      <c r="K398" s="48">
        <f t="shared" si="114"/>
        <v>0</v>
      </c>
      <c r="M398" s="140" t="str">
        <f t="shared" si="115"/>
        <v>9500/000VALUE ADDED TAX</v>
      </c>
      <c r="N398" s="70"/>
      <c r="P398" s="71"/>
      <c r="Q398" s="51"/>
      <c r="R398" s="31"/>
    </row>
    <row r="399" spans="1:18" x14ac:dyDescent="0.2">
      <c r="A399" s="238"/>
      <c r="B399" s="54" t="s">
        <v>320</v>
      </c>
      <c r="C399" s="240" t="s">
        <v>321</v>
      </c>
      <c r="D399" s="282"/>
      <c r="E399" s="272"/>
      <c r="F399" s="79">
        <f>K399</f>
        <v>0</v>
      </c>
      <c r="G399" s="47">
        <f>SUMIF(JournalsB!D$14:D$920,TrialBalanceB!M399,JournalsB!J$14:J$920)+SUMIF(JournalsB!E$14:E$920,TrialBalanceB!M399,JournalsB!J$14:J$920)</f>
        <v>0</v>
      </c>
      <c r="H399" s="288"/>
      <c r="I399" s="290">
        <f t="shared" si="113"/>
        <v>0</v>
      </c>
      <c r="J399" s="75"/>
      <c r="K399" s="48">
        <f t="shared" si="114"/>
        <v>0</v>
      </c>
      <c r="M399" s="140" t="str">
        <f t="shared" si="115"/>
        <v>9501/000VAT account</v>
      </c>
      <c r="N399" s="70"/>
      <c r="P399" s="71"/>
      <c r="Q399" s="51"/>
      <c r="R399" s="31"/>
    </row>
    <row r="400" spans="1:18" x14ac:dyDescent="0.2">
      <c r="A400" s="238"/>
      <c r="B400" s="54" t="s">
        <v>322</v>
      </c>
      <c r="C400" s="240" t="s">
        <v>27</v>
      </c>
      <c r="D400" s="282"/>
      <c r="E400" s="272"/>
      <c r="F400" s="79"/>
      <c r="G400" s="47">
        <f>SUMIF(JournalsB!D$14:D$920,TrialBalanceB!M400,JournalsB!J$14:J$920)+SUMIF(JournalsB!E$14:E$920,TrialBalanceB!M400,JournalsB!J$14:J$920)</f>
        <v>0</v>
      </c>
      <c r="H400" s="288"/>
      <c r="I400" s="290">
        <f t="shared" si="113"/>
        <v>0</v>
      </c>
      <c r="J400" s="75"/>
      <c r="K400" s="48">
        <f t="shared" si="114"/>
        <v>0</v>
      </c>
      <c r="M400" s="140" t="str">
        <f t="shared" si="115"/>
        <v>9510/000----------------------------------------</v>
      </c>
      <c r="N400" s="70"/>
      <c r="P400" s="71"/>
      <c r="Q400" s="51"/>
      <c r="R400" s="31"/>
    </row>
    <row r="401" spans="1:18" x14ac:dyDescent="0.2">
      <c r="A401" s="238"/>
      <c r="B401" s="54" t="s">
        <v>323</v>
      </c>
      <c r="C401" s="239" t="s">
        <v>758</v>
      </c>
      <c r="D401" s="283"/>
      <c r="E401" s="272"/>
      <c r="F401" s="79">
        <f>K401</f>
        <v>0</v>
      </c>
      <c r="G401" s="47">
        <f>SUMIF(JournalsB!D$14:D$920,TrialBalanceB!M401,JournalsB!J$14:J$920)+SUMIF(JournalsB!E$14:E$920,TrialBalanceB!M401,JournalsB!J$14:J$920)</f>
        <v>0</v>
      </c>
      <c r="H401" s="288"/>
      <c r="I401" s="290">
        <f t="shared" si="113"/>
        <v>0</v>
      </c>
      <c r="J401" s="75"/>
      <c r="K401" s="48">
        <f t="shared" si="114"/>
        <v>0</v>
      </c>
      <c r="M401" s="140" t="str">
        <f t="shared" si="115"/>
        <v>9990/000Suspense account</v>
      </c>
      <c r="N401" s="70"/>
      <c r="P401" s="71"/>
      <c r="Q401" s="51"/>
      <c r="R401" s="31"/>
    </row>
    <row r="402" spans="1:18" x14ac:dyDescent="0.2">
      <c r="A402" s="238"/>
      <c r="B402" s="54"/>
      <c r="C402" s="54"/>
      <c r="D402" s="282"/>
      <c r="E402" s="272"/>
      <c r="F402" s="79"/>
      <c r="G402" s="47"/>
      <c r="H402" s="288"/>
      <c r="I402" s="290"/>
      <c r="J402" s="75"/>
      <c r="K402" s="48"/>
      <c r="M402" s="140"/>
      <c r="N402" s="70"/>
      <c r="P402" s="71"/>
      <c r="Q402" s="51"/>
      <c r="R402" s="31"/>
    </row>
    <row r="403" spans="1:18" x14ac:dyDescent="0.2">
      <c r="A403" s="238"/>
      <c r="B403" s="54" t="s">
        <v>212</v>
      </c>
      <c r="C403" s="55" t="s">
        <v>212</v>
      </c>
      <c r="D403" s="263"/>
      <c r="E403" s="263"/>
      <c r="F403" s="82"/>
      <c r="G403" s="47"/>
      <c r="H403" s="288"/>
      <c r="I403" s="290"/>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122">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51"/>
      <c r="J405" s="59"/>
      <c r="K405" s="38"/>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R1DHygF8v75HkQoF1gpwcAQXCVjQVT1UIB6yEcKWCcA82//i6fkJQmyaESFLR25BOtQK9Wk5P/3ywT8QjlAmw==" saltValue="4OGS8pWbwdRoS/YLD/lRwA=="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6A13A1DB-1335-429A-AC05-EDFFC4D43D34}"/>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2025</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4.140625" style="13" customWidth="1"/>
    <col min="8" max="8" width="15.85546875" style="13" bestFit="1"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f>Criteria!E16</f>
        <v>0</v>
      </c>
      <c r="D1" s="274"/>
      <c r="E1" s="274"/>
      <c r="F1" s="259"/>
      <c r="G1" s="260" t="s">
        <v>151</v>
      </c>
      <c r="H1" s="260"/>
      <c r="I1" s="261">
        <f>Criteria!E22</f>
        <v>2025</v>
      </c>
      <c r="J1" s="261"/>
      <c r="K1" s="261">
        <f>Criteria!E27</f>
        <v>2024</v>
      </c>
      <c r="L1" s="258"/>
      <c r="M1" s="258"/>
      <c r="N1" s="244" t="s">
        <v>325</v>
      </c>
      <c r="O1" s="62"/>
      <c r="P1" s="62"/>
    </row>
    <row r="2" spans="1:18" x14ac:dyDescent="0.2">
      <c r="A2" s="262" t="s">
        <v>878</v>
      </c>
      <c r="B2" s="258"/>
      <c r="C2" s="258"/>
      <c r="D2" s="496">
        <f>D404-E404</f>
        <v>0</v>
      </c>
      <c r="E2" s="496"/>
      <c r="F2" s="264" t="s">
        <v>418</v>
      </c>
      <c r="G2" s="259">
        <f>G404</f>
        <v>0</v>
      </c>
      <c r="H2" s="259">
        <f>D2-E2</f>
        <v>0</v>
      </c>
      <c r="I2" s="267">
        <f>I404</f>
        <v>0</v>
      </c>
      <c r="J2" s="267"/>
      <c r="K2" s="268">
        <f>K404</f>
        <v>0</v>
      </c>
      <c r="L2" s="258"/>
      <c r="M2" s="258"/>
      <c r="N2" s="268">
        <f>SUM(I5:I156)</f>
        <v>0</v>
      </c>
      <c r="O2" s="63"/>
      <c r="P2" s="63"/>
    </row>
    <row r="3" spans="1:18" x14ac:dyDescent="0.2">
      <c r="A3" s="262" t="s">
        <v>579</v>
      </c>
      <c r="B3" s="275" t="s">
        <v>211</v>
      </c>
      <c r="C3" s="269" t="s">
        <v>212</v>
      </c>
      <c r="D3" s="262" t="s">
        <v>213</v>
      </c>
      <c r="E3" s="262" t="s">
        <v>214</v>
      </c>
      <c r="F3" s="270" t="s">
        <v>124</v>
      </c>
      <c r="G3" s="257"/>
      <c r="H3" s="257"/>
      <c r="I3" s="272"/>
      <c r="J3" s="272"/>
      <c r="K3" s="258"/>
      <c r="L3" s="258"/>
      <c r="M3" s="258"/>
      <c r="N3" s="241"/>
    </row>
    <row r="4" spans="1:18" x14ac:dyDescent="0.2">
      <c r="A4" s="121"/>
      <c r="B4" s="90" t="s">
        <v>215</v>
      </c>
      <c r="C4" s="239" t="s">
        <v>100</v>
      </c>
      <c r="D4" s="83"/>
      <c r="E4" s="51"/>
      <c r="F4" s="51"/>
      <c r="G4" s="38"/>
      <c r="H4" s="38"/>
      <c r="I4" s="59"/>
      <c r="J4" s="59"/>
      <c r="K4" s="46" t="s">
        <v>212</v>
      </c>
      <c r="N4" s="43"/>
    </row>
    <row r="5" spans="1:18" x14ac:dyDescent="0.2">
      <c r="A5" s="238"/>
      <c r="B5" s="10" t="s">
        <v>216</v>
      </c>
      <c r="C5" s="242" t="s">
        <v>837</v>
      </c>
      <c r="D5" s="284"/>
      <c r="E5" s="281"/>
      <c r="F5" s="79"/>
      <c r="G5" s="47">
        <f>SUMIF(JournalsC!D$14:D$920,TrialBalanceC!M5,JournalsC!J$14:J$920)+SUMIF(JournalsC!E$14:E$920,TrialBalanceC!M5,JournalsC!J$14:J$920)</f>
        <v>0</v>
      </c>
      <c r="H5" s="288"/>
      <c r="I5" s="291">
        <f t="shared" ref="I5:I73" si="0">ROUND(D5-E5+G5+F5,0)</f>
        <v>0</v>
      </c>
      <c r="J5" s="75"/>
      <c r="K5" s="48">
        <f t="shared" ref="K5:K73" si="1">ROUND(SUM(A5),0)</f>
        <v>0</v>
      </c>
      <c r="M5" s="140" t="str">
        <f t="shared" ref="M5:M73" si="2">CONCATENATE(B5,C5)</f>
        <v>1000/001Sale of goods</v>
      </c>
      <c r="N5" s="70"/>
      <c r="P5" s="71"/>
      <c r="Q5" s="51"/>
      <c r="R5" s="31"/>
    </row>
    <row r="6" spans="1:18" x14ac:dyDescent="0.2">
      <c r="A6" s="238"/>
      <c r="B6" s="90" t="s">
        <v>217</v>
      </c>
      <c r="C6" s="242" t="s">
        <v>838</v>
      </c>
      <c r="D6" s="284"/>
      <c r="E6" s="281"/>
      <c r="F6" s="79"/>
      <c r="G6" s="47">
        <f>SUMIF(JournalsC!D$14:D$920,TrialBalanceC!M6,JournalsC!J$14:J$920)+SUMIF(JournalsC!E$14:E$920,TrialBalanceC!M6,JournalsC!J$14:J$920)</f>
        <v>0</v>
      </c>
      <c r="H6" s="288"/>
      <c r="I6" s="291">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218</v>
      </c>
      <c r="C7" s="242" t="s">
        <v>839</v>
      </c>
      <c r="D7" s="284"/>
      <c r="E7" s="281"/>
      <c r="F7" s="79"/>
      <c r="G7" s="47">
        <f>SUMIF(JournalsC!D$14:D$920,TrialBalanceC!M7,JournalsC!J$14:J$920)+SUMIF(JournalsC!E$14:E$920,TrialBalanceC!M7,JournalsC!J$14:J$920)</f>
        <v>0</v>
      </c>
      <c r="H7" s="288"/>
      <c r="I7" s="291">
        <f t="shared" si="3"/>
        <v>0</v>
      </c>
      <c r="J7" s="75"/>
      <c r="K7" s="48">
        <f t="shared" si="4"/>
        <v>0</v>
      </c>
      <c r="M7" s="140" t="str">
        <f t="shared" si="5"/>
        <v>1000/003Commissions received</v>
      </c>
      <c r="N7" s="70"/>
      <c r="P7" s="71"/>
      <c r="Q7" s="51"/>
      <c r="R7" s="31"/>
    </row>
    <row r="8" spans="1:18" x14ac:dyDescent="0.2">
      <c r="A8" s="238"/>
      <c r="B8" s="90" t="s">
        <v>840</v>
      </c>
      <c r="C8" s="276"/>
      <c r="D8" s="284"/>
      <c r="E8" s="281"/>
      <c r="F8" s="79"/>
      <c r="G8" s="47">
        <f>SUMIF(JournalsC!D$14:D$920,TrialBalanceC!M8,JournalsC!J$14:J$920)+SUMIF(JournalsC!E$14:E$920,TrialBalanceC!M8,JournalsC!J$14:J$920)</f>
        <v>0</v>
      </c>
      <c r="H8" s="288"/>
      <c r="I8" s="291">
        <f t="shared" si="3"/>
        <v>0</v>
      </c>
      <c r="J8" s="75"/>
      <c r="K8" s="48">
        <f t="shared" si="4"/>
        <v>0</v>
      </c>
      <c r="M8" s="140" t="str">
        <f t="shared" si="5"/>
        <v>1000/004</v>
      </c>
      <c r="N8" s="70"/>
      <c r="P8" s="71"/>
      <c r="Q8" s="51"/>
      <c r="R8" s="31"/>
    </row>
    <row r="9" spans="1:18" x14ac:dyDescent="0.2">
      <c r="A9" s="238"/>
      <c r="B9" s="90" t="s">
        <v>841</v>
      </c>
      <c r="C9" s="276"/>
      <c r="D9" s="284"/>
      <c r="E9" s="281"/>
      <c r="F9" s="79"/>
      <c r="G9" s="47">
        <f>SUMIF(JournalsC!D$14:D$920,TrialBalanceC!M9,JournalsC!J$14:J$920)+SUMIF(JournalsC!E$14:E$920,TrialBalanceC!M9,JournalsC!J$14:J$920)</f>
        <v>0</v>
      </c>
      <c r="H9" s="288"/>
      <c r="I9" s="291">
        <f t="shared" si="3"/>
        <v>0</v>
      </c>
      <c r="J9" s="75"/>
      <c r="K9" s="48">
        <f t="shared" si="4"/>
        <v>0</v>
      </c>
      <c r="M9" s="140" t="str">
        <f t="shared" si="5"/>
        <v>1000/005</v>
      </c>
      <c r="N9" s="70"/>
      <c r="P9" s="71"/>
      <c r="Q9" s="51"/>
      <c r="R9" s="31"/>
    </row>
    <row r="10" spans="1:18" x14ac:dyDescent="0.2">
      <c r="A10" s="238"/>
      <c r="B10" s="90" t="s">
        <v>842</v>
      </c>
      <c r="C10" s="277"/>
      <c r="D10" s="282"/>
      <c r="E10" s="281"/>
      <c r="F10" s="79"/>
      <c r="G10" s="47">
        <f>SUMIF(JournalsC!D$14:D$920,TrialBalanceC!M10,JournalsC!J$14:J$920)+SUMIF(JournalsC!E$14:E$920,TrialBalanceC!M10,JournalsC!J$14:J$920)</f>
        <v>0</v>
      </c>
      <c r="H10" s="288"/>
      <c r="I10" s="291">
        <f t="shared" si="0"/>
        <v>0</v>
      </c>
      <c r="J10" s="75"/>
      <c r="K10" s="48">
        <f t="shared" si="1"/>
        <v>0</v>
      </c>
      <c r="M10" s="140" t="str">
        <f t="shared" si="2"/>
        <v>1000/006</v>
      </c>
      <c r="N10" s="70"/>
      <c r="P10" s="71"/>
      <c r="Q10" s="51"/>
      <c r="R10" s="31"/>
    </row>
    <row r="11" spans="1:18" x14ac:dyDescent="0.2">
      <c r="A11" s="238"/>
      <c r="B11" s="90" t="s">
        <v>843</v>
      </c>
      <c r="C11" s="241" t="s">
        <v>334</v>
      </c>
      <c r="D11" s="281"/>
      <c r="E11" s="281"/>
      <c r="F11" s="79"/>
      <c r="G11" s="47">
        <f>SUMIF(JournalsC!D$14:D$920,TrialBalanceC!M11,JournalsC!J$14:J$920)+SUMIF(JournalsC!E$14:E$920,TrialBalanceC!M11,JournalsC!J$14:J$920)</f>
        <v>0</v>
      </c>
      <c r="H11" s="288"/>
      <c r="I11" s="291">
        <f t="shared" si="0"/>
        <v>0</v>
      </c>
      <c r="J11" s="75"/>
      <c r="K11" s="48">
        <f t="shared" si="1"/>
        <v>0</v>
      </c>
      <c r="M11" s="140" t="str">
        <f t="shared" si="2"/>
        <v>1000/007Rent received</v>
      </c>
      <c r="N11" s="70"/>
      <c r="P11" s="71"/>
      <c r="Q11" s="51"/>
      <c r="R11" s="31"/>
    </row>
    <row r="12" spans="1:18" x14ac:dyDescent="0.2">
      <c r="A12" s="238"/>
      <c r="B12" s="54" t="s">
        <v>219</v>
      </c>
      <c r="C12" s="239" t="s">
        <v>101</v>
      </c>
      <c r="D12" s="283"/>
      <c r="E12" s="281"/>
      <c r="F12" s="79"/>
      <c r="G12" s="47">
        <f>SUMIF(JournalsC!D$14:D$920,TrialBalanceC!M12,JournalsC!J$14:J$920)+SUMIF(JournalsC!E$14:E$920,TrialBalanceC!M12,JournalsC!J$14:J$920)</f>
        <v>0</v>
      </c>
      <c r="H12" s="288"/>
      <c r="I12" s="291">
        <f t="shared" si="0"/>
        <v>0</v>
      </c>
      <c r="J12" s="75"/>
      <c r="K12" s="48">
        <f t="shared" si="1"/>
        <v>0</v>
      </c>
      <c r="M12" s="140" t="str">
        <f t="shared" si="2"/>
        <v>2000/000COST OF SALES</v>
      </c>
      <c r="N12" s="70"/>
      <c r="P12" s="71"/>
      <c r="Q12" s="51"/>
      <c r="R12" s="31"/>
    </row>
    <row r="13" spans="1:18" x14ac:dyDescent="0.2">
      <c r="A13" s="238"/>
      <c r="B13" s="54" t="s">
        <v>220</v>
      </c>
      <c r="C13" s="242" t="s">
        <v>622</v>
      </c>
      <c r="D13" s="284"/>
      <c r="E13" s="281"/>
      <c r="F13" s="79"/>
      <c r="G13" s="47">
        <f>SUMIF(JournalsC!D$14:D$920,TrialBalanceC!M13,JournalsC!J$14:J$920)+SUMIF(JournalsC!E$14:E$920,TrialBalanceC!M13,JournalsC!J$14:J$920)</f>
        <v>0</v>
      </c>
      <c r="H13" s="288"/>
      <c r="I13" s="291">
        <f t="shared" si="0"/>
        <v>0</v>
      </c>
      <c r="J13" s="75"/>
      <c r="K13" s="48">
        <f t="shared" si="1"/>
        <v>0</v>
      </c>
      <c r="M13" s="140" t="str">
        <f t="shared" si="2"/>
        <v>2000/001Opening stock - Raw materials</v>
      </c>
      <c r="N13" s="70"/>
      <c r="P13" s="71"/>
      <c r="Q13" s="51"/>
      <c r="R13" s="31"/>
    </row>
    <row r="14" spans="1:18" x14ac:dyDescent="0.2">
      <c r="A14" s="238"/>
      <c r="B14" s="54" t="s">
        <v>362</v>
      </c>
      <c r="C14" s="240" t="s">
        <v>363</v>
      </c>
      <c r="D14" s="282"/>
      <c r="E14" s="281"/>
      <c r="F14" s="79"/>
      <c r="G14" s="47">
        <f>SUMIF(JournalsC!D$14:D$920,TrialBalanceC!M14,JournalsC!J$14:J$920)+SUMIF(JournalsC!E$14:E$920,TrialBalanceC!M14,JournalsC!J$14:J$920)</f>
        <v>0</v>
      </c>
      <c r="H14" s="288"/>
      <c r="I14" s="291">
        <f t="shared" si="0"/>
        <v>0</v>
      </c>
      <c r="J14" s="75"/>
      <c r="K14" s="48">
        <f t="shared" si="1"/>
        <v>0</v>
      </c>
      <c r="M14" s="140" t="str">
        <f t="shared" si="2"/>
        <v>2000/002Opening stock - WIP</v>
      </c>
      <c r="N14" s="70"/>
      <c r="P14" s="71"/>
      <c r="Q14" s="51"/>
      <c r="R14" s="31"/>
    </row>
    <row r="15" spans="1:18" x14ac:dyDescent="0.2">
      <c r="A15" s="238"/>
      <c r="B15" s="54" t="s">
        <v>364</v>
      </c>
      <c r="C15" s="240" t="s">
        <v>365</v>
      </c>
      <c r="D15" s="282"/>
      <c r="E15" s="281"/>
      <c r="F15" s="79"/>
      <c r="G15" s="47">
        <f>SUMIF(JournalsC!D$14:D$920,TrialBalanceC!M15,JournalsC!J$14:J$920)+SUMIF(JournalsC!E$14:E$920,TrialBalanceC!M15,JournalsC!J$14:J$920)</f>
        <v>0</v>
      </c>
      <c r="H15" s="288"/>
      <c r="I15" s="291">
        <f t="shared" si="0"/>
        <v>0</v>
      </c>
      <c r="J15" s="75"/>
      <c r="K15" s="48">
        <f t="shared" si="1"/>
        <v>0</v>
      </c>
      <c r="M15" s="140" t="str">
        <f t="shared" si="2"/>
        <v>2000/003Opening stock - Finished goods</v>
      </c>
      <c r="N15" s="70"/>
      <c r="P15" s="71"/>
      <c r="Q15" s="51"/>
      <c r="R15" s="31"/>
    </row>
    <row r="16" spans="1:18" x14ac:dyDescent="0.2">
      <c r="A16" s="238"/>
      <c r="B16" s="54" t="s">
        <v>366</v>
      </c>
      <c r="C16" s="240" t="s">
        <v>367</v>
      </c>
      <c r="D16" s="282"/>
      <c r="E16" s="281"/>
      <c r="F16" s="79"/>
      <c r="G16" s="47">
        <f>SUMIF(JournalsC!D$14:D$920,TrialBalanceC!M16,JournalsC!J$14:J$920)+SUMIF(JournalsC!E$14:E$920,TrialBalanceC!M16,JournalsC!J$14:J$920)</f>
        <v>0</v>
      </c>
      <c r="H16" s="288"/>
      <c r="I16" s="291">
        <f t="shared" si="0"/>
        <v>0</v>
      </c>
      <c r="J16" s="75"/>
      <c r="K16" s="48">
        <f t="shared" si="1"/>
        <v>0</v>
      </c>
      <c r="M16" s="140" t="str">
        <f t="shared" si="2"/>
        <v>2000/004Opening stock - Trading stock</v>
      </c>
      <c r="N16" s="70"/>
      <c r="P16" s="71"/>
      <c r="Q16" s="51"/>
      <c r="R16" s="31"/>
    </row>
    <row r="17" spans="1:18" x14ac:dyDescent="0.2">
      <c r="A17" s="238"/>
      <c r="B17" s="10" t="s">
        <v>368</v>
      </c>
      <c r="C17" s="240" t="s">
        <v>249</v>
      </c>
      <c r="D17" s="282"/>
      <c r="E17" s="281"/>
      <c r="F17" s="79"/>
      <c r="G17" s="47">
        <f>SUMIF(JournalsC!D$14:D$920,TrialBalanceC!M17,JournalsC!J$14:J$920)+SUMIF(JournalsC!E$14:E$920,TrialBalanceC!M17,JournalsC!J$14:J$920)</f>
        <v>0</v>
      </c>
      <c r="H17" s="288"/>
      <c r="I17" s="291">
        <f t="shared" si="0"/>
        <v>0</v>
      </c>
      <c r="J17" s="75"/>
      <c r="K17" s="48">
        <f t="shared" si="1"/>
        <v>0</v>
      </c>
      <c r="M17" s="140" t="str">
        <f t="shared" si="2"/>
        <v>2000/010Purchases</v>
      </c>
      <c r="N17" s="70"/>
      <c r="P17" s="71"/>
      <c r="Q17" s="51"/>
      <c r="R17" s="31"/>
    </row>
    <row r="18" spans="1:18" x14ac:dyDescent="0.2">
      <c r="A18" s="238"/>
      <c r="B18" s="10" t="s">
        <v>369</v>
      </c>
      <c r="C18" s="276"/>
      <c r="D18" s="281"/>
      <c r="E18" s="281"/>
      <c r="F18" s="79"/>
      <c r="G18" s="47">
        <f>SUMIF(JournalsC!D$14:D$920,TrialBalanceC!M18,JournalsC!J$14:J$920)+SUMIF(JournalsC!E$14:E$920,TrialBalanceC!M18,JournalsC!J$14:J$920)</f>
        <v>0</v>
      </c>
      <c r="H18" s="288"/>
      <c r="I18" s="291">
        <f t="shared" si="0"/>
        <v>0</v>
      </c>
      <c r="J18" s="75"/>
      <c r="K18" s="48">
        <f t="shared" si="1"/>
        <v>0</v>
      </c>
      <c r="M18" s="140" t="str">
        <f t="shared" si="2"/>
        <v>2000/011</v>
      </c>
      <c r="N18" s="70"/>
      <c r="O18" s="31"/>
      <c r="P18" s="71"/>
      <c r="Q18" s="51"/>
      <c r="R18" s="31"/>
    </row>
    <row r="19" spans="1:18" x14ac:dyDescent="0.2">
      <c r="A19" s="238"/>
      <c r="B19" s="54" t="s">
        <v>370</v>
      </c>
      <c r="C19" s="276"/>
      <c r="D19" s="272"/>
      <c r="E19" s="281"/>
      <c r="F19" s="79"/>
      <c r="G19" s="47">
        <f>SUMIF(JournalsC!D$14:D$920,TrialBalanceC!M19,JournalsC!J$14:J$920)+SUMIF(JournalsC!E$14:E$920,TrialBalanceC!M19,JournalsC!J$14:J$920)</f>
        <v>0</v>
      </c>
      <c r="H19" s="288"/>
      <c r="I19" s="291">
        <f t="shared" si="0"/>
        <v>0</v>
      </c>
      <c r="J19" s="75"/>
      <c r="K19" s="48">
        <f t="shared" si="1"/>
        <v>0</v>
      </c>
      <c r="M19" s="140" t="str">
        <f t="shared" si="2"/>
        <v>2000/012</v>
      </c>
      <c r="N19" s="70"/>
      <c r="P19" s="71"/>
      <c r="Q19" s="51"/>
      <c r="R19" s="31"/>
    </row>
    <row r="20" spans="1:18" x14ac:dyDescent="0.2">
      <c r="A20" s="238"/>
      <c r="B20" s="54" t="s">
        <v>371</v>
      </c>
      <c r="C20" s="277"/>
      <c r="D20" s="272"/>
      <c r="E20" s="281"/>
      <c r="F20" s="79"/>
      <c r="G20" s="47">
        <f>SUMIF(JournalsC!D$14:D$920,TrialBalanceC!M20,JournalsC!J$14:J$920)+SUMIF(JournalsC!E$14:E$920,TrialBalanceC!M20,JournalsC!J$14:J$920)</f>
        <v>0</v>
      </c>
      <c r="H20" s="288"/>
      <c r="I20" s="291">
        <f t="shared" si="0"/>
        <v>0</v>
      </c>
      <c r="J20" s="75"/>
      <c r="K20" s="48">
        <f t="shared" si="1"/>
        <v>0</v>
      </c>
      <c r="M20" s="140" t="str">
        <f t="shared" si="2"/>
        <v>2000/013</v>
      </c>
      <c r="N20" s="70"/>
      <c r="P20" s="71"/>
      <c r="Q20" s="51"/>
      <c r="R20" s="31"/>
    </row>
    <row r="21" spans="1:18" x14ac:dyDescent="0.2">
      <c r="A21" s="238"/>
      <c r="B21" s="54" t="s">
        <v>372</v>
      </c>
      <c r="C21" s="277"/>
      <c r="D21" s="272"/>
      <c r="E21" s="281"/>
      <c r="F21" s="79"/>
      <c r="G21" s="47">
        <f>SUMIF(JournalsC!D$14:D$920,TrialBalanceC!M21,JournalsC!J$14:J$920)+SUMIF(JournalsC!E$14:E$920,TrialBalanceC!M21,JournalsC!J$14:J$920)</f>
        <v>0</v>
      </c>
      <c r="H21" s="288"/>
      <c r="I21" s="291">
        <f t="shared" si="0"/>
        <v>0</v>
      </c>
      <c r="J21" s="75"/>
      <c r="K21" s="48">
        <f t="shared" si="1"/>
        <v>0</v>
      </c>
      <c r="M21" s="140" t="str">
        <f t="shared" si="2"/>
        <v>2000/014</v>
      </c>
      <c r="N21" s="70"/>
      <c r="P21" s="71"/>
      <c r="Q21" s="51"/>
      <c r="R21" s="31"/>
    </row>
    <row r="22" spans="1:18" x14ac:dyDescent="0.2">
      <c r="A22" s="238"/>
      <c r="B22" s="54" t="s">
        <v>373</v>
      </c>
      <c r="C22" s="277"/>
      <c r="D22" s="272"/>
      <c r="E22" s="281"/>
      <c r="F22" s="79"/>
      <c r="G22" s="47">
        <f>SUMIF(JournalsC!D$14:D$920,TrialBalanceC!M22,JournalsC!J$14:J$920)+SUMIF(JournalsC!E$14:E$920,TrialBalanceC!M22,JournalsC!J$14:J$920)</f>
        <v>0</v>
      </c>
      <c r="H22" s="288"/>
      <c r="I22" s="291">
        <f t="shared" si="0"/>
        <v>0</v>
      </c>
      <c r="J22" s="75"/>
      <c r="K22" s="48">
        <f t="shared" si="1"/>
        <v>0</v>
      </c>
      <c r="M22" s="140" t="str">
        <f t="shared" si="2"/>
        <v>2000/015</v>
      </c>
      <c r="N22" s="70"/>
      <c r="P22" s="71"/>
      <c r="Q22" s="51"/>
      <c r="R22" s="31"/>
    </row>
    <row r="23" spans="1:18" x14ac:dyDescent="0.2">
      <c r="A23" s="238"/>
      <c r="B23" s="54" t="s">
        <v>374</v>
      </c>
      <c r="C23" s="240" t="s">
        <v>375</v>
      </c>
      <c r="D23" s="282"/>
      <c r="E23" s="281"/>
      <c r="F23" s="79"/>
      <c r="G23" s="47">
        <f>SUMIF(JournalsC!D$14:D$920,TrialBalanceC!M23,JournalsC!J$14:J$920)+SUMIF(JournalsC!E$14:E$920,TrialBalanceC!M23,JournalsC!J$14:J$920)</f>
        <v>0</v>
      </c>
      <c r="H23" s="288"/>
      <c r="I23" s="291">
        <f t="shared" si="0"/>
        <v>0</v>
      </c>
      <c r="J23" s="75"/>
      <c r="K23" s="48">
        <f t="shared" si="1"/>
        <v>0</v>
      </c>
      <c r="M23" s="140" t="str">
        <f t="shared" si="2"/>
        <v>2000/050Closing stock - Raw materials</v>
      </c>
      <c r="N23" s="70"/>
      <c r="P23" s="71"/>
      <c r="Q23" s="51"/>
      <c r="R23" s="31"/>
    </row>
    <row r="24" spans="1:18" x14ac:dyDescent="0.2">
      <c r="A24" s="238"/>
      <c r="B24" s="54" t="s">
        <v>376</v>
      </c>
      <c r="C24" s="240" t="s">
        <v>377</v>
      </c>
      <c r="D24" s="282"/>
      <c r="E24" s="281"/>
      <c r="F24" s="79"/>
      <c r="G24" s="47">
        <f>SUMIF(JournalsC!D$14:D$920,TrialBalanceC!M24,JournalsC!J$14:J$920)+SUMIF(JournalsC!E$14:E$920,TrialBalanceC!M24,JournalsC!J$14:J$920)</f>
        <v>0</v>
      </c>
      <c r="H24" s="288"/>
      <c r="I24" s="291">
        <f t="shared" si="0"/>
        <v>0</v>
      </c>
      <c r="J24" s="75"/>
      <c r="K24" s="48">
        <f t="shared" si="1"/>
        <v>0</v>
      </c>
      <c r="M24" s="140" t="str">
        <f t="shared" si="2"/>
        <v>2000/051Closing stock - WIP</v>
      </c>
      <c r="N24" s="70"/>
      <c r="P24" s="71"/>
      <c r="Q24" s="51"/>
      <c r="R24" s="31"/>
    </row>
    <row r="25" spans="1:18" x14ac:dyDescent="0.2">
      <c r="A25" s="238"/>
      <c r="B25" s="54" t="s">
        <v>378</v>
      </c>
      <c r="C25" s="240" t="s">
        <v>379</v>
      </c>
      <c r="D25" s="282"/>
      <c r="E25" s="281"/>
      <c r="F25" s="79"/>
      <c r="G25" s="47">
        <f>SUMIF(JournalsC!D$14:D$920,TrialBalanceC!M25,JournalsC!J$14:J$920)+SUMIF(JournalsC!E$14:E$920,TrialBalanceC!M25,JournalsC!J$14:J$920)</f>
        <v>0</v>
      </c>
      <c r="H25" s="288"/>
      <c r="I25" s="291">
        <f t="shared" si="0"/>
        <v>0</v>
      </c>
      <c r="J25" s="75"/>
      <c r="K25" s="48">
        <f t="shared" si="1"/>
        <v>0</v>
      </c>
      <c r="M25" s="140" t="str">
        <f t="shared" si="2"/>
        <v>2000/052Closing stock - Finished goods</v>
      </c>
      <c r="N25" s="70"/>
      <c r="P25" s="71"/>
      <c r="Q25" s="51"/>
      <c r="R25" s="31"/>
    </row>
    <row r="26" spans="1:18" x14ac:dyDescent="0.2">
      <c r="A26" s="238"/>
      <c r="B26" s="54" t="s">
        <v>380</v>
      </c>
      <c r="C26" s="240" t="s">
        <v>381</v>
      </c>
      <c r="D26" s="282"/>
      <c r="E26" s="281"/>
      <c r="F26" s="79"/>
      <c r="G26" s="47">
        <f>SUMIF(JournalsC!D$14:D$920,TrialBalanceC!M26,JournalsC!J$14:J$920)+SUMIF(JournalsC!E$14:E$920,TrialBalanceC!M26,JournalsC!J$14:J$920)</f>
        <v>0</v>
      </c>
      <c r="H26" s="288"/>
      <c r="I26" s="291">
        <f t="shared" si="0"/>
        <v>0</v>
      </c>
      <c r="J26" s="75"/>
      <c r="K26" s="48">
        <f t="shared" si="1"/>
        <v>0</v>
      </c>
      <c r="M26" s="140" t="str">
        <f t="shared" si="2"/>
        <v>2000/053Closing stock - Trading stock</v>
      </c>
      <c r="N26" s="70"/>
      <c r="P26" s="71"/>
      <c r="Q26" s="51"/>
      <c r="R26" s="31"/>
    </row>
    <row r="27" spans="1:18" x14ac:dyDescent="0.2">
      <c r="A27" s="238"/>
      <c r="B27" s="56" t="s">
        <v>299</v>
      </c>
      <c r="C27" s="244" t="s">
        <v>298</v>
      </c>
      <c r="D27" s="270"/>
      <c r="E27" s="281"/>
      <c r="F27" s="79"/>
      <c r="G27" s="47">
        <f>SUMIF(JournalsC!D$14:D$920,TrialBalanceC!M27,JournalsC!J$14:J$920)+SUMIF(JournalsC!E$14:E$920,TrialBalanceC!M27,JournalsC!J$14:J$920)</f>
        <v>0</v>
      </c>
      <c r="H27" s="288"/>
      <c r="I27" s="291">
        <f t="shared" si="0"/>
        <v>0</v>
      </c>
      <c r="J27" s="75"/>
      <c r="K27" s="48">
        <f t="shared" si="1"/>
        <v>0</v>
      </c>
      <c r="M27" s="140" t="str">
        <f t="shared" si="2"/>
        <v>2050/000OTHER OPERATING INCOME</v>
      </c>
      <c r="N27" s="70"/>
      <c r="P27" s="71"/>
      <c r="Q27" s="51"/>
      <c r="R27" s="31"/>
    </row>
    <row r="28" spans="1:18" x14ac:dyDescent="0.2">
      <c r="A28" s="238"/>
      <c r="B28" s="56" t="s">
        <v>300</v>
      </c>
      <c r="C28" s="241" t="str">
        <f>CONCATENATE("Insurance claims - ",Criteria!H16)</f>
        <v xml:space="preserve">Insurance claims - </v>
      </c>
      <c r="D28" s="281"/>
      <c r="E28" s="281"/>
      <c r="F28" s="79"/>
      <c r="G28" s="47">
        <f>SUMIF(JournalsC!D$14:D$920,TrialBalanceC!M28,JournalsC!J$14:J$920)+SUMIF(JournalsC!E$14:E$920,TrialBalanceC!M28,JournalsC!J$14:J$920)</f>
        <v>0</v>
      </c>
      <c r="H28" s="288"/>
      <c r="I28" s="291">
        <f t="shared" si="0"/>
        <v>0</v>
      </c>
      <c r="J28" s="75"/>
      <c r="K28" s="48">
        <f t="shared" si="1"/>
        <v>0</v>
      </c>
      <c r="M28" s="140" t="str">
        <f t="shared" si="2"/>
        <v xml:space="preserve">2050/001Insurance claims - </v>
      </c>
      <c r="N28" s="70"/>
      <c r="P28" s="71"/>
      <c r="Q28" s="51"/>
      <c r="R28" s="31"/>
    </row>
    <row r="29" spans="1:18" x14ac:dyDescent="0.2">
      <c r="A29" s="238"/>
      <c r="B29" s="56" t="s">
        <v>301</v>
      </c>
      <c r="C29" s="241" t="s">
        <v>781</v>
      </c>
      <c r="D29" s="272"/>
      <c r="E29" s="281"/>
      <c r="F29" s="79"/>
      <c r="G29" s="47">
        <f>SUMIF(JournalsC!D$14:D$920,TrialBalanceC!M29,JournalsC!J$14:J$920)+SUMIF(JournalsC!E$14:E$920,TrialBalanceC!M29,JournalsC!J$14:J$920)</f>
        <v>0</v>
      </c>
      <c r="H29" s="288"/>
      <c r="I29" s="291">
        <f t="shared" si="0"/>
        <v>0</v>
      </c>
      <c r="J29" s="75"/>
      <c r="K29" s="48">
        <f t="shared" si="1"/>
        <v>0</v>
      </c>
      <c r="M29" s="140" t="str">
        <f t="shared" si="2"/>
        <v>2050/002Government grants received</v>
      </c>
      <c r="N29" s="70"/>
      <c r="P29" s="71"/>
      <c r="Q29" s="51"/>
      <c r="R29" s="31"/>
    </row>
    <row r="30" spans="1:18" x14ac:dyDescent="0.2">
      <c r="A30" s="238"/>
      <c r="B30" s="56" t="s">
        <v>302</v>
      </c>
      <c r="C30" s="277"/>
      <c r="D30" s="272"/>
      <c r="E30" s="281"/>
      <c r="F30" s="79"/>
      <c r="G30" s="47">
        <f>SUMIF(JournalsC!D$14:D$920,TrialBalanceC!M30,JournalsC!J$14:J$920)+SUMIF(JournalsC!E$14:E$920,TrialBalanceC!M30,JournalsC!J$14:J$920)</f>
        <v>0</v>
      </c>
      <c r="H30" s="288"/>
      <c r="I30" s="291">
        <f t="shared" si="0"/>
        <v>0</v>
      </c>
      <c r="J30" s="75"/>
      <c r="K30" s="48">
        <f t="shared" si="1"/>
        <v>0</v>
      </c>
      <c r="M30" s="140" t="str">
        <f t="shared" si="2"/>
        <v>2050/003</v>
      </c>
      <c r="N30" s="70"/>
      <c r="P30" s="71"/>
      <c r="Q30" s="51"/>
      <c r="R30" s="31"/>
    </row>
    <row r="31" spans="1:18" x14ac:dyDescent="0.2">
      <c r="A31" s="238"/>
      <c r="B31" s="56" t="s">
        <v>303</v>
      </c>
      <c r="C31" s="277"/>
      <c r="D31" s="272"/>
      <c r="E31" s="281"/>
      <c r="F31" s="79"/>
      <c r="G31" s="47">
        <f>SUMIF(JournalsC!D$14:D$920,TrialBalanceC!M31,JournalsC!J$14:J$920)+SUMIF(JournalsC!E$14:E$920,TrialBalanceC!M31,JournalsC!J$14:J$920)</f>
        <v>0</v>
      </c>
      <c r="H31" s="288"/>
      <c r="I31" s="291">
        <f t="shared" si="0"/>
        <v>0</v>
      </c>
      <c r="J31" s="75"/>
      <c r="K31" s="48">
        <f t="shared" si="1"/>
        <v>0</v>
      </c>
      <c r="M31" s="140" t="str">
        <f t="shared" si="2"/>
        <v>2050/004</v>
      </c>
      <c r="N31" s="70"/>
      <c r="P31" s="71"/>
      <c r="Q31" s="51"/>
      <c r="R31" s="31"/>
    </row>
    <row r="32" spans="1:18" x14ac:dyDescent="0.2">
      <c r="A32" s="238"/>
      <c r="B32" s="56" t="s">
        <v>304</v>
      </c>
      <c r="C32" s="277"/>
      <c r="D32" s="272"/>
      <c r="E32" s="281"/>
      <c r="F32" s="79"/>
      <c r="G32" s="47">
        <f>SUMIF(JournalsC!D$14:D$920,TrialBalanceC!M32,JournalsC!J$14:J$920)+SUMIF(JournalsC!E$14:E$920,TrialBalanceC!M32,JournalsC!J$14:J$920)</f>
        <v>0</v>
      </c>
      <c r="H32" s="288"/>
      <c r="I32" s="291">
        <f t="shared" si="0"/>
        <v>0</v>
      </c>
      <c r="J32" s="75"/>
      <c r="K32" s="48">
        <f t="shared" si="1"/>
        <v>0</v>
      </c>
      <c r="M32" s="140" t="str">
        <f t="shared" si="2"/>
        <v>2050/005</v>
      </c>
      <c r="N32" s="70"/>
      <c r="P32" s="71"/>
      <c r="Q32" s="51"/>
      <c r="R32" s="31"/>
    </row>
    <row r="33" spans="1:18" x14ac:dyDescent="0.2">
      <c r="A33" s="238"/>
      <c r="B33" s="43" t="s">
        <v>932</v>
      </c>
      <c r="C33" s="241" t="s">
        <v>933</v>
      </c>
      <c r="D33" s="272"/>
      <c r="E33" s="281"/>
      <c r="F33" s="79"/>
      <c r="G33" s="47">
        <f>SUMIF(JournalsC!D$14:D$920,TrialBalanceC!M33,JournalsC!J$14:J$920)+SUMIF(JournalsC!E$14:E$920,TrialBalanceC!M33,JournalsC!J$14:J$920)</f>
        <v>0</v>
      </c>
      <c r="H33" s="288"/>
      <c r="I33" s="291">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624</v>
      </c>
      <c r="C34" s="244" t="s">
        <v>623</v>
      </c>
      <c r="D34" s="270"/>
      <c r="E34" s="281"/>
      <c r="F34" s="79"/>
      <c r="G34" s="47">
        <f>SUMIF(JournalsC!D$14:D$920,TrialBalanceC!M34,JournalsC!J$14:J$920)+SUMIF(JournalsC!E$14:E$920,TrialBalanceC!M34,JournalsC!J$14:J$920)</f>
        <v>0</v>
      </c>
      <c r="H34" s="288"/>
      <c r="I34" s="291">
        <f t="shared" si="0"/>
        <v>0</v>
      </c>
      <c r="J34" s="75"/>
      <c r="K34" s="48">
        <f t="shared" si="1"/>
        <v>0</v>
      </c>
      <c r="M34" s="140" t="str">
        <f t="shared" si="2"/>
        <v>2060/000NET (PROFIT)/LOSS OTHER</v>
      </c>
      <c r="N34" s="70"/>
      <c r="P34" s="71"/>
      <c r="Q34" s="51"/>
      <c r="R34" s="31"/>
    </row>
    <row r="35" spans="1:18" x14ac:dyDescent="0.2">
      <c r="A35" s="238"/>
      <c r="B35" s="43" t="s">
        <v>533</v>
      </c>
      <c r="C35" s="241"/>
      <c r="D35" s="281"/>
      <c r="E35" s="281"/>
      <c r="F35" s="79"/>
      <c r="G35" s="47">
        <f>SUMIF(JournalsC!D$14:D$920,TrialBalanceC!M35,JournalsC!J$14:J$920)+SUMIF(JournalsC!E$14:E$920,TrialBalanceC!M35,JournalsC!J$14:J$920)</f>
        <v>0</v>
      </c>
      <c r="H35" s="288"/>
      <c r="I35" s="291">
        <f t="shared" si="0"/>
        <v>0</v>
      </c>
      <c r="J35" s="75"/>
      <c r="K35" s="48">
        <f t="shared" si="1"/>
        <v>0</v>
      </c>
      <c r="M35" s="140" t="str">
        <f t="shared" si="2"/>
        <v>2060/001</v>
      </c>
      <c r="N35" s="70"/>
      <c r="P35" s="71"/>
      <c r="Q35" s="51"/>
      <c r="R35" s="31"/>
    </row>
    <row r="36" spans="1:18" x14ac:dyDescent="0.2">
      <c r="A36" s="238"/>
      <c r="B36" s="43" t="s">
        <v>534</v>
      </c>
      <c r="C36" s="246"/>
      <c r="D36" s="272"/>
      <c r="E36" s="281"/>
      <c r="F36" s="79"/>
      <c r="G36" s="47">
        <f>SUMIF(JournalsC!D$14:D$920,TrialBalanceC!M36,JournalsC!J$14:J$920)+SUMIF(JournalsC!E$14:E$920,TrialBalanceC!M36,JournalsC!J$14:J$920)</f>
        <v>0</v>
      </c>
      <c r="H36" s="288"/>
      <c r="I36" s="291">
        <f t="shared" si="0"/>
        <v>0</v>
      </c>
      <c r="J36" s="75"/>
      <c r="K36" s="48">
        <f t="shared" si="1"/>
        <v>0</v>
      </c>
      <c r="M36" s="140" t="str">
        <f t="shared" si="2"/>
        <v>2060/002</v>
      </c>
      <c r="N36" s="70"/>
      <c r="P36" s="71"/>
      <c r="Q36" s="51"/>
      <c r="R36" s="31"/>
    </row>
    <row r="37" spans="1:18" x14ac:dyDescent="0.2">
      <c r="A37" s="238"/>
      <c r="B37" s="43" t="s">
        <v>535</v>
      </c>
      <c r="C37" s="246"/>
      <c r="D37" s="272"/>
      <c r="E37" s="281"/>
      <c r="F37" s="79"/>
      <c r="G37" s="47">
        <f>SUMIF(JournalsC!D$14:D$920,TrialBalanceC!M37,JournalsC!J$14:J$920)+SUMIF(JournalsC!E$14:E$920,TrialBalanceC!M37,JournalsC!J$14:J$920)</f>
        <v>0</v>
      </c>
      <c r="H37" s="288"/>
      <c r="I37" s="291">
        <f t="shared" si="0"/>
        <v>0</v>
      </c>
      <c r="J37" s="75"/>
      <c r="K37" s="48">
        <f t="shared" si="1"/>
        <v>0</v>
      </c>
      <c r="M37" s="140" t="str">
        <f t="shared" si="2"/>
        <v>2060/003</v>
      </c>
      <c r="N37" s="70"/>
      <c r="P37" s="71"/>
      <c r="Q37" s="51"/>
      <c r="R37" s="31"/>
    </row>
    <row r="38" spans="1:18" x14ac:dyDescent="0.2">
      <c r="A38" s="238"/>
      <c r="B38" s="43" t="s">
        <v>536</v>
      </c>
      <c r="C38" s="246"/>
      <c r="D38" s="272"/>
      <c r="E38" s="281"/>
      <c r="F38" s="79"/>
      <c r="G38" s="47">
        <f>SUMIF(JournalsC!D$14:D$920,TrialBalanceC!M38,JournalsC!J$14:J$920)+SUMIF(JournalsC!E$14:E$920,TrialBalanceC!M38,JournalsC!J$14:J$920)</f>
        <v>0</v>
      </c>
      <c r="H38" s="288"/>
      <c r="I38" s="291">
        <f t="shared" si="0"/>
        <v>0</v>
      </c>
      <c r="J38" s="75"/>
      <c r="K38" s="48">
        <f t="shared" si="1"/>
        <v>0</v>
      </c>
      <c r="M38" s="140" t="str">
        <f t="shared" si="2"/>
        <v>2060/004</v>
      </c>
      <c r="N38" s="70"/>
      <c r="P38" s="71"/>
      <c r="Q38" s="51"/>
      <c r="R38" s="31"/>
    </row>
    <row r="39" spans="1:18" x14ac:dyDescent="0.2">
      <c r="A39" s="238"/>
      <c r="B39" s="54" t="s">
        <v>382</v>
      </c>
      <c r="C39" s="239" t="s">
        <v>872</v>
      </c>
      <c r="D39" s="283"/>
      <c r="E39" s="281"/>
      <c r="F39" s="79"/>
      <c r="G39" s="47">
        <f>SUMIF(JournalsC!D$14:D$920,TrialBalanceC!M39,JournalsC!J$14:J$920)+SUMIF(JournalsC!E$14:E$920,TrialBalanceC!M39,JournalsC!J$14:J$920)</f>
        <v>0</v>
      </c>
      <c r="H39" s="288"/>
      <c r="I39" s="291">
        <f t="shared" si="0"/>
        <v>0</v>
      </c>
      <c r="J39" s="75"/>
      <c r="K39" s="48">
        <f t="shared" si="1"/>
        <v>0</v>
      </c>
      <c r="M39" s="140" t="str">
        <f t="shared" si="2"/>
        <v>2100/000OPERATING EXPENSES</v>
      </c>
      <c r="N39" s="70"/>
      <c r="P39" s="71"/>
      <c r="Q39" s="51"/>
      <c r="R39" s="31"/>
    </row>
    <row r="40" spans="1:18" x14ac:dyDescent="0.2">
      <c r="A40" s="238"/>
      <c r="B40" s="54" t="s">
        <v>383</v>
      </c>
      <c r="C40" s="240" t="s">
        <v>250</v>
      </c>
      <c r="D40" s="282"/>
      <c r="E40" s="281"/>
      <c r="F40" s="79"/>
      <c r="G40" s="47">
        <f>SUMIF(JournalsC!D$14:D$920,TrialBalanceC!M40,JournalsC!J$14:J$920)+SUMIF(JournalsC!E$14:E$920,TrialBalanceC!M40,JournalsC!J$14:J$920)</f>
        <v>0</v>
      </c>
      <c r="H40" s="288"/>
      <c r="I40" s="291">
        <f t="shared" si="0"/>
        <v>0</v>
      </c>
      <c r="J40" s="75"/>
      <c r="K40" s="48">
        <f t="shared" si="1"/>
        <v>0</v>
      </c>
      <c r="M40" s="140" t="str">
        <f t="shared" si="2"/>
        <v>2100/001Advertising</v>
      </c>
      <c r="N40" s="70"/>
      <c r="P40" s="71"/>
      <c r="Q40" s="51"/>
      <c r="R40" s="31"/>
    </row>
    <row r="41" spans="1:18" x14ac:dyDescent="0.2">
      <c r="A41" s="238"/>
      <c r="B41" s="54" t="s">
        <v>384</v>
      </c>
      <c r="C41" s="242" t="s">
        <v>657</v>
      </c>
      <c r="D41" s="284"/>
      <c r="E41" s="281"/>
      <c r="F41" s="79"/>
      <c r="G41" s="47">
        <f>SUMIF(JournalsC!D$14:D$920,TrialBalanceC!M41,JournalsC!J$14:J$920)+SUMIF(JournalsC!E$14:E$920,TrialBalanceC!M41,JournalsC!J$14:J$920)</f>
        <v>0</v>
      </c>
      <c r="H41" s="288"/>
      <c r="I41" s="291">
        <f t="shared" si="0"/>
        <v>0</v>
      </c>
      <c r="J41" s="75"/>
      <c r="K41" s="48">
        <f t="shared" si="1"/>
        <v>0</v>
      </c>
      <c r="M41" s="140" t="str">
        <f t="shared" si="2"/>
        <v>2100/010Assets less than R7,000</v>
      </c>
      <c r="N41" s="70"/>
      <c r="P41" s="71"/>
      <c r="Q41" s="51"/>
      <c r="R41" s="31"/>
    </row>
    <row r="42" spans="1:18" x14ac:dyDescent="0.2">
      <c r="A42" s="238"/>
      <c r="B42" s="54" t="s">
        <v>385</v>
      </c>
      <c r="C42" s="240" t="s">
        <v>251</v>
      </c>
      <c r="D42" s="282"/>
      <c r="E42" s="281"/>
      <c r="F42" s="79"/>
      <c r="G42" s="47">
        <f>SUMIF(JournalsC!D$14:D$920,TrialBalanceC!M42,JournalsC!J$14:J$920)+SUMIF(JournalsC!E$14:E$920,TrialBalanceC!M42,JournalsC!J$14:J$920)</f>
        <v>0</v>
      </c>
      <c r="H42" s="288"/>
      <c r="I42" s="291">
        <f t="shared" si="0"/>
        <v>0</v>
      </c>
      <c r="J42" s="75"/>
      <c r="K42" s="48">
        <f t="shared" si="1"/>
        <v>0</v>
      </c>
      <c r="M42" s="140" t="str">
        <f t="shared" si="2"/>
        <v>2100/020Consumables</v>
      </c>
      <c r="N42" s="70"/>
      <c r="P42" s="71"/>
      <c r="Q42" s="51"/>
      <c r="R42" s="31"/>
    </row>
    <row r="43" spans="1:18" x14ac:dyDescent="0.2">
      <c r="A43" s="238"/>
      <c r="B43" s="54" t="s">
        <v>386</v>
      </c>
      <c r="C43" s="239" t="s">
        <v>601</v>
      </c>
      <c r="D43" s="283"/>
      <c r="E43" s="281"/>
      <c r="F43" s="79"/>
      <c r="G43" s="47">
        <f>SUMIF(JournalsC!D$14:D$920,TrialBalanceC!M43,JournalsC!J$14:J$920)+SUMIF(JournalsC!E$14:E$920,TrialBalanceC!M43,JournalsC!J$14:J$920)</f>
        <v>0</v>
      </c>
      <c r="H43" s="288"/>
      <c r="I43" s="291">
        <f t="shared" si="0"/>
        <v>0</v>
      </c>
      <c r="J43" s="75"/>
      <c r="K43" s="48">
        <f t="shared" si="1"/>
        <v>0</v>
      </c>
      <c r="M43" s="140" t="str">
        <f t="shared" si="2"/>
        <v>2100/030Depreciation--------------------------------------------------</v>
      </c>
      <c r="N43" s="70"/>
      <c r="P43" s="71"/>
      <c r="Q43" s="51"/>
      <c r="R43" s="31"/>
    </row>
    <row r="44" spans="1:18" x14ac:dyDescent="0.2">
      <c r="A44" s="238"/>
      <c r="B44" s="54" t="s">
        <v>388</v>
      </c>
      <c r="C44" s="242" t="s">
        <v>974</v>
      </c>
      <c r="D44" s="282"/>
      <c r="E44" s="281"/>
      <c r="F44" s="79"/>
      <c r="G44" s="47">
        <f>SUMIF(JournalsC!D$14:D$920,TrialBalanceC!M44,JournalsC!J$14:J$920)+SUMIF(JournalsC!E$14:E$920,TrialBalanceC!M44,JournalsC!J$14:J$920)</f>
        <v>0</v>
      </c>
      <c r="H44" s="288"/>
      <c r="I44" s="291">
        <f t="shared" si="0"/>
        <v>0</v>
      </c>
      <c r="J44" s="75"/>
      <c r="K44" s="48">
        <f t="shared" si="1"/>
        <v>0</v>
      </c>
      <c r="M44" s="140" t="str">
        <f t="shared" si="2"/>
        <v>2100/031Depr - Property</v>
      </c>
      <c r="N44" s="70"/>
      <c r="P44" s="71"/>
      <c r="Q44" s="51"/>
      <c r="R44" s="31"/>
    </row>
    <row r="45" spans="1:18" x14ac:dyDescent="0.2">
      <c r="A45" s="238"/>
      <c r="B45" s="54" t="s">
        <v>389</v>
      </c>
      <c r="C45" s="242" t="s">
        <v>710</v>
      </c>
      <c r="D45" s="282"/>
      <c r="E45" s="281"/>
      <c r="F45" s="79"/>
      <c r="G45" s="47">
        <f>SUMIF(JournalsC!D$14:D$920,TrialBalanceC!M45,JournalsC!J$14:J$920)+SUMIF(JournalsC!E$14:E$920,TrialBalanceC!M45,JournalsC!J$14:J$920)</f>
        <v>0</v>
      </c>
      <c r="H45" s="288"/>
      <c r="I45" s="291">
        <f t="shared" si="0"/>
        <v>0</v>
      </c>
      <c r="J45" s="75"/>
      <c r="K45" s="48">
        <f t="shared" si="1"/>
        <v>0</v>
      </c>
      <c r="M45" s="140" t="str">
        <f t="shared" si="2"/>
        <v>2100/032Depr - Plant and machinery</v>
      </c>
      <c r="N45" s="70"/>
      <c r="P45" s="71"/>
      <c r="Q45" s="51"/>
      <c r="R45" s="31"/>
    </row>
    <row r="46" spans="1:18" x14ac:dyDescent="0.2">
      <c r="A46" s="238"/>
      <c r="B46" s="54" t="s">
        <v>46</v>
      </c>
      <c r="C46" s="240" t="s">
        <v>47</v>
      </c>
      <c r="D46" s="282"/>
      <c r="E46" s="281"/>
      <c r="F46" s="79"/>
      <c r="G46" s="47">
        <f>SUMIF(JournalsC!D$14:D$920,TrialBalanceC!M46,JournalsC!J$14:J$920)+SUMIF(JournalsC!E$14:E$920,TrialBalanceC!M46,JournalsC!J$14:J$920)</f>
        <v>0</v>
      </c>
      <c r="H46" s="288"/>
      <c r="I46" s="291">
        <f t="shared" si="0"/>
        <v>0</v>
      </c>
      <c r="J46" s="75"/>
      <c r="K46" s="48">
        <f t="shared" si="1"/>
        <v>0</v>
      </c>
      <c r="M46" s="140" t="str">
        <f t="shared" si="2"/>
        <v>2100/033Depr - Motor vehicles</v>
      </c>
      <c r="N46" s="70"/>
      <c r="P46" s="71"/>
      <c r="Q46" s="51"/>
      <c r="R46" s="31"/>
    </row>
    <row r="47" spans="1:18" x14ac:dyDescent="0.2">
      <c r="A47" s="238"/>
      <c r="B47" s="54" t="s">
        <v>49</v>
      </c>
      <c r="C47" s="240" t="s">
        <v>50</v>
      </c>
      <c r="D47" s="282"/>
      <c r="E47" s="281"/>
      <c r="F47" s="79"/>
      <c r="G47" s="47">
        <f>SUMIF(JournalsC!D$14:D$920,TrialBalanceC!M47,JournalsC!J$14:J$920)+SUMIF(JournalsC!E$14:E$920,TrialBalanceC!M47,JournalsC!J$14:J$920)</f>
        <v>0</v>
      </c>
      <c r="H47" s="288"/>
      <c r="I47" s="291">
        <f t="shared" si="0"/>
        <v>0</v>
      </c>
      <c r="J47" s="75"/>
      <c r="K47" s="48">
        <f t="shared" si="1"/>
        <v>0</v>
      </c>
      <c r="M47" s="140" t="str">
        <f t="shared" si="2"/>
        <v>2100/040Discounts allowed</v>
      </c>
      <c r="N47" s="70"/>
      <c r="P47" s="71"/>
      <c r="Q47" s="51"/>
      <c r="R47" s="31"/>
    </row>
    <row r="48" spans="1:18" x14ac:dyDescent="0.2">
      <c r="A48" s="238"/>
      <c r="B48" s="54" t="s">
        <v>51</v>
      </c>
      <c r="C48" s="242" t="s">
        <v>678</v>
      </c>
      <c r="D48" s="282"/>
      <c r="E48" s="281"/>
      <c r="F48" s="79"/>
      <c r="G48" s="47">
        <f>SUMIF(JournalsC!D$14:D$920,TrialBalanceC!M48,JournalsC!J$14:J$920)+SUMIF(JournalsC!E$14:E$920,TrialBalanceC!M48,JournalsC!J$14:J$920)</f>
        <v>0</v>
      </c>
      <c r="H48" s="288"/>
      <c r="I48" s="291">
        <f t="shared" si="0"/>
        <v>0</v>
      </c>
      <c r="J48" s="75"/>
      <c r="K48" s="48">
        <f t="shared" si="1"/>
        <v>0</v>
      </c>
      <c r="M48" s="140" t="str">
        <f t="shared" si="2"/>
        <v>2100/050Electricity and water</v>
      </c>
      <c r="N48" s="70"/>
      <c r="P48" s="71"/>
      <c r="Q48" s="51"/>
      <c r="R48" s="31"/>
    </row>
    <row r="49" spans="1:18" x14ac:dyDescent="0.2">
      <c r="A49" s="238"/>
      <c r="B49" s="54" t="s">
        <v>52</v>
      </c>
      <c r="C49" s="240" t="s">
        <v>54</v>
      </c>
      <c r="D49" s="282"/>
      <c r="E49" s="281"/>
      <c r="F49" s="79"/>
      <c r="G49" s="47">
        <f>SUMIF(JournalsC!D$14:D$920,TrialBalanceC!M49,JournalsC!J$14:J$920)+SUMIF(JournalsC!E$14:E$920,TrialBalanceC!M49,JournalsC!J$14:J$920)</f>
        <v>0</v>
      </c>
      <c r="H49" s="288"/>
      <c r="I49" s="291">
        <f t="shared" si="0"/>
        <v>0</v>
      </c>
      <c r="J49" s="75"/>
      <c r="K49" s="48">
        <f t="shared" si="1"/>
        <v>0</v>
      </c>
      <c r="M49" s="140" t="str">
        <f t="shared" si="2"/>
        <v>2100/055Equipment lease</v>
      </c>
      <c r="N49" s="70"/>
      <c r="P49" s="71"/>
      <c r="Q49" s="51"/>
      <c r="R49" s="31"/>
    </row>
    <row r="50" spans="1:18" x14ac:dyDescent="0.2">
      <c r="A50" s="238"/>
      <c r="B50" s="54" t="s">
        <v>55</v>
      </c>
      <c r="C50" s="240" t="s">
        <v>253</v>
      </c>
      <c r="D50" s="282"/>
      <c r="E50" s="281"/>
      <c r="F50" s="79"/>
      <c r="G50" s="47">
        <f>SUMIF(JournalsC!D$14:D$920,TrialBalanceC!M50,JournalsC!J$14:J$920)+SUMIF(JournalsC!E$14:E$920,TrialBalanceC!M50,JournalsC!J$14:J$920)</f>
        <v>0</v>
      </c>
      <c r="H50" s="288"/>
      <c r="I50" s="291">
        <f t="shared" si="0"/>
        <v>0</v>
      </c>
      <c r="J50" s="75"/>
      <c r="K50" s="48">
        <f t="shared" si="1"/>
        <v>0</v>
      </c>
      <c r="M50" s="140" t="str">
        <f t="shared" si="2"/>
        <v>2100/060Insurance</v>
      </c>
      <c r="N50" s="70"/>
      <c r="P50" s="51"/>
      <c r="Q50" s="51"/>
      <c r="R50" s="31"/>
    </row>
    <row r="51" spans="1:18" x14ac:dyDescent="0.2">
      <c r="A51" s="238"/>
      <c r="B51" s="54" t="s">
        <v>419</v>
      </c>
      <c r="C51" s="240" t="s">
        <v>156</v>
      </c>
      <c r="D51" s="282"/>
      <c r="E51" s="281"/>
      <c r="F51" s="79"/>
      <c r="G51" s="47">
        <f>SUMIF(JournalsC!D$14:D$920,TrialBalanceC!M51,JournalsC!J$14:J$920)+SUMIF(JournalsC!E$14:E$920,TrialBalanceC!M51,JournalsC!J$14:J$920)</f>
        <v>0</v>
      </c>
      <c r="H51" s="288"/>
      <c r="I51" s="291">
        <f t="shared" si="0"/>
        <v>0</v>
      </c>
      <c r="J51" s="75"/>
      <c r="K51" s="48">
        <f t="shared" si="1"/>
        <v>0</v>
      </c>
      <c r="M51" s="140" t="str">
        <f t="shared" si="2"/>
        <v>2100/071Levies - SDL</v>
      </c>
      <c r="N51" s="70"/>
      <c r="P51" s="71"/>
      <c r="Q51" s="51"/>
      <c r="R51" s="31"/>
    </row>
    <row r="52" spans="1:18" x14ac:dyDescent="0.2">
      <c r="A52" s="238"/>
      <c r="B52" s="54" t="s">
        <v>157</v>
      </c>
      <c r="C52" s="240" t="s">
        <v>158</v>
      </c>
      <c r="D52" s="282"/>
      <c r="E52" s="281"/>
      <c r="F52" s="79"/>
      <c r="G52" s="47">
        <f>SUMIF(JournalsC!D$14:D$920,TrialBalanceC!M52,JournalsC!J$14:J$920)+SUMIF(JournalsC!E$14:E$920,TrialBalanceC!M52,JournalsC!J$14:J$920)</f>
        <v>0</v>
      </c>
      <c r="H52" s="288"/>
      <c r="I52" s="291">
        <f t="shared" si="0"/>
        <v>0</v>
      </c>
      <c r="J52" s="75"/>
      <c r="K52" s="48">
        <f t="shared" si="1"/>
        <v>0</v>
      </c>
      <c r="M52" s="140" t="str">
        <f t="shared" si="2"/>
        <v>2100/072Levies - other</v>
      </c>
      <c r="N52" s="70"/>
      <c r="P52" s="71"/>
      <c r="Q52" s="51"/>
      <c r="R52" s="31"/>
    </row>
    <row r="53" spans="1:18" x14ac:dyDescent="0.2">
      <c r="A53" s="238"/>
      <c r="B53" s="54" t="s">
        <v>159</v>
      </c>
      <c r="C53" s="246" t="s">
        <v>332</v>
      </c>
      <c r="D53" s="272"/>
      <c r="E53" s="281"/>
      <c r="F53" s="79"/>
      <c r="G53" s="47">
        <f>SUMIF(JournalsC!D$14:D$920,TrialBalanceC!M53,JournalsC!J$14:J$920)+SUMIF(JournalsC!E$14:E$920,TrialBalanceC!M53,JournalsC!J$14:J$920)</f>
        <v>0</v>
      </c>
      <c r="H53" s="288"/>
      <c r="I53" s="291">
        <f t="shared" si="0"/>
        <v>0</v>
      </c>
      <c r="J53" s="75"/>
      <c r="K53" s="48">
        <f t="shared" si="1"/>
        <v>0</v>
      </c>
      <c r="M53" s="140" t="str">
        <f t="shared" si="2"/>
        <v>2100/080Trade licenses</v>
      </c>
      <c r="N53" s="70"/>
      <c r="P53" s="71"/>
      <c r="Q53" s="51"/>
      <c r="R53" s="31"/>
    </row>
    <row r="54" spans="1:18" x14ac:dyDescent="0.2">
      <c r="A54" s="238"/>
      <c r="B54" s="54" t="s">
        <v>160</v>
      </c>
      <c r="C54" s="239" t="s">
        <v>634</v>
      </c>
      <c r="D54" s="283"/>
      <c r="E54" s="281"/>
      <c r="F54" s="79"/>
      <c r="G54" s="47">
        <f>SUMIF(JournalsC!D$14:D$920,TrialBalanceC!M54,JournalsC!J$14:J$920)+SUMIF(JournalsC!E$14:E$920,TrialBalanceC!M54,JournalsC!J$14:J$920)</f>
        <v>0</v>
      </c>
      <c r="H54" s="288"/>
      <c r="I54" s="291">
        <f t="shared" si="0"/>
        <v>0</v>
      </c>
      <c r="J54" s="75"/>
      <c r="K54" s="48">
        <f t="shared" si="1"/>
        <v>0</v>
      </c>
      <c r="M54" s="140" t="str">
        <f t="shared" si="2"/>
        <v>2100/090Motor vehicle expenses----------------------------------</v>
      </c>
      <c r="N54" s="70"/>
      <c r="P54" s="71"/>
      <c r="Q54" s="51"/>
      <c r="R54" s="31"/>
    </row>
    <row r="55" spans="1:18" x14ac:dyDescent="0.2">
      <c r="A55" s="238"/>
      <c r="B55" s="54" t="s">
        <v>162</v>
      </c>
      <c r="C55" s="240" t="s">
        <v>163</v>
      </c>
      <c r="D55" s="282"/>
      <c r="E55" s="281"/>
      <c r="F55" s="79"/>
      <c r="G55" s="47">
        <f>SUMIF(JournalsC!D$14:D$920,TrialBalanceC!M55,JournalsC!J$14:J$920)+SUMIF(JournalsC!E$14:E$920,TrialBalanceC!M55,JournalsC!J$14:J$920)</f>
        <v>0</v>
      </c>
      <c r="H55" s="288"/>
      <c r="I55" s="291">
        <f t="shared" si="0"/>
        <v>0</v>
      </c>
      <c r="J55" s="75"/>
      <c r="K55" s="48">
        <f t="shared" si="1"/>
        <v>0</v>
      </c>
      <c r="M55" s="140" t="str">
        <f t="shared" si="2"/>
        <v>2100/091Motor vehicle expenses - Petrol and oil</v>
      </c>
      <c r="N55" s="70"/>
      <c r="P55" s="71"/>
      <c r="Q55" s="51"/>
      <c r="R55" s="31"/>
    </row>
    <row r="56" spans="1:18" x14ac:dyDescent="0.2">
      <c r="A56" s="238"/>
      <c r="B56" s="54" t="s">
        <v>164</v>
      </c>
      <c r="C56" s="240" t="s">
        <v>165</v>
      </c>
      <c r="D56" s="282"/>
      <c r="E56" s="281"/>
      <c r="F56" s="79"/>
      <c r="G56" s="47">
        <f>SUMIF(JournalsC!D$14:D$920,TrialBalanceC!M56,JournalsC!J$14:J$920)+SUMIF(JournalsC!E$14:E$920,TrialBalanceC!M56,JournalsC!J$14:J$920)</f>
        <v>0</v>
      </c>
      <c r="H56" s="288"/>
      <c r="I56" s="291">
        <f t="shared" si="0"/>
        <v>0</v>
      </c>
      <c r="J56" s="75"/>
      <c r="K56" s="48">
        <f t="shared" si="1"/>
        <v>0</v>
      </c>
      <c r="M56" s="140" t="str">
        <f t="shared" si="2"/>
        <v>2100/092Motor vehicle expenses - R&amp;M</v>
      </c>
      <c r="N56" s="70"/>
      <c r="P56" s="71"/>
      <c r="Q56" s="51"/>
      <c r="R56" s="31"/>
    </row>
    <row r="57" spans="1:18" x14ac:dyDescent="0.2">
      <c r="A57" s="238"/>
      <c r="B57" s="54" t="s">
        <v>166</v>
      </c>
      <c r="C57" s="240" t="s">
        <v>167</v>
      </c>
      <c r="D57" s="282"/>
      <c r="E57" s="281"/>
      <c r="F57" s="79"/>
      <c r="G57" s="47">
        <f>SUMIF(JournalsC!D$14:D$920,TrialBalanceC!M57,JournalsC!J$14:J$920)+SUMIF(JournalsC!E$14:E$920,TrialBalanceC!M57,JournalsC!J$14:J$920)</f>
        <v>0</v>
      </c>
      <c r="H57" s="288"/>
      <c r="I57" s="291">
        <f t="shared" si="0"/>
        <v>0</v>
      </c>
      <c r="J57" s="75"/>
      <c r="K57" s="48">
        <f t="shared" si="1"/>
        <v>0</v>
      </c>
      <c r="M57" s="140" t="str">
        <f t="shared" si="2"/>
        <v>2100/093Motor vehicle expenses - Insurance</v>
      </c>
      <c r="N57" s="70"/>
      <c r="P57" s="71"/>
      <c r="Q57" s="51"/>
      <c r="R57" s="31"/>
    </row>
    <row r="58" spans="1:18" x14ac:dyDescent="0.2">
      <c r="A58" s="238"/>
      <c r="B58" s="54" t="s">
        <v>168</v>
      </c>
      <c r="C58" s="241" t="s">
        <v>711</v>
      </c>
      <c r="D58" s="272"/>
      <c r="E58" s="281"/>
      <c r="F58" s="79"/>
      <c r="G58" s="47">
        <f>SUMIF(JournalsC!D$14:D$920,TrialBalanceC!M58,JournalsC!J$14:J$920)+SUMIF(JournalsC!E$14:E$920,TrialBalanceC!M58,JournalsC!J$14:J$920)</f>
        <v>0</v>
      </c>
      <c r="H58" s="288"/>
      <c r="I58" s="291">
        <f t="shared" si="0"/>
        <v>0</v>
      </c>
      <c r="J58" s="75"/>
      <c r="K58" s="48">
        <f t="shared" si="1"/>
        <v>0</v>
      </c>
      <c r="M58" s="140" t="str">
        <f t="shared" si="2"/>
        <v>2100/094Motor vehicle expenses - Licenses</v>
      </c>
      <c r="N58" s="70"/>
      <c r="P58" s="71"/>
      <c r="Q58" s="51"/>
      <c r="R58" s="31"/>
    </row>
    <row r="59" spans="1:18" x14ac:dyDescent="0.2">
      <c r="A59" s="238"/>
      <c r="B59" s="54" t="s">
        <v>169</v>
      </c>
      <c r="C59" s="242" t="s">
        <v>712</v>
      </c>
      <c r="D59" s="282"/>
      <c r="E59" s="281"/>
      <c r="F59" s="79"/>
      <c r="G59" s="47">
        <f>SUMIF(JournalsC!D$14:D$920,TrialBalanceC!M59,JournalsC!J$14:J$920)+SUMIF(JournalsC!E$14:E$920,TrialBalanceC!M59,JournalsC!J$14:J$920)</f>
        <v>0</v>
      </c>
      <c r="H59" s="288"/>
      <c r="I59" s="291">
        <f t="shared" si="0"/>
        <v>0</v>
      </c>
      <c r="J59" s="75"/>
      <c r="K59" s="48">
        <f t="shared" si="1"/>
        <v>0</v>
      </c>
      <c r="M59" s="140" t="str">
        <f t="shared" si="2"/>
        <v>2100/095Motor vehicle expenses - General</v>
      </c>
      <c r="N59" s="70"/>
      <c r="P59" s="71"/>
      <c r="Q59" s="51"/>
      <c r="R59" s="31"/>
    </row>
    <row r="60" spans="1:18" x14ac:dyDescent="0.2">
      <c r="A60" s="238"/>
      <c r="B60" s="54" t="s">
        <v>170</v>
      </c>
      <c r="C60" s="239" t="s">
        <v>171</v>
      </c>
      <c r="D60" s="283"/>
      <c r="E60" s="281"/>
      <c r="F60" s="79"/>
      <c r="G60" s="47">
        <f>SUMIF(JournalsC!D$14:D$920,TrialBalanceC!M60,JournalsC!J$14:J$920)+SUMIF(JournalsC!E$14:E$920,TrialBalanceC!M60,JournalsC!J$14:J$920)</f>
        <v>0</v>
      </c>
      <c r="H60" s="288"/>
      <c r="I60" s="291">
        <f t="shared" si="0"/>
        <v>0</v>
      </c>
      <c r="J60" s="75"/>
      <c r="K60" s="48">
        <f t="shared" si="1"/>
        <v>0</v>
      </c>
      <c r="M60" s="140" t="str">
        <f t="shared" si="2"/>
        <v>2100/100Rent paid-------------------------------</v>
      </c>
      <c r="N60" s="70"/>
      <c r="P60" s="71"/>
      <c r="Q60" s="51"/>
      <c r="R60" s="31"/>
    </row>
    <row r="61" spans="1:18" x14ac:dyDescent="0.2">
      <c r="A61" s="238"/>
      <c r="B61" s="54" t="s">
        <v>172</v>
      </c>
      <c r="C61" s="277"/>
      <c r="D61" s="281"/>
      <c r="E61" s="281"/>
      <c r="F61" s="79"/>
      <c r="G61" s="47">
        <f>SUMIF(JournalsC!D$14:D$920,TrialBalanceC!M61,JournalsC!J$14:J$920)+SUMIF(JournalsC!E$14:E$920,TrialBalanceC!M61,JournalsC!J$14:J$920)</f>
        <v>0</v>
      </c>
      <c r="H61" s="288"/>
      <c r="I61" s="291">
        <f t="shared" si="0"/>
        <v>0</v>
      </c>
      <c r="J61" s="75"/>
      <c r="K61" s="48">
        <f t="shared" si="1"/>
        <v>0</v>
      </c>
      <c r="M61" s="140" t="str">
        <f t="shared" si="2"/>
        <v>2100/101</v>
      </c>
      <c r="N61" s="70"/>
      <c r="P61" s="71"/>
      <c r="Q61" s="51"/>
      <c r="R61" s="31"/>
    </row>
    <row r="62" spans="1:18" x14ac:dyDescent="0.2">
      <c r="A62" s="238"/>
      <c r="B62" s="54" t="s">
        <v>173</v>
      </c>
      <c r="C62" s="277"/>
      <c r="D62" s="272"/>
      <c r="E62" s="281"/>
      <c r="F62" s="79"/>
      <c r="G62" s="47">
        <f>SUMIF(JournalsC!D$14:D$920,TrialBalanceC!M62,JournalsC!J$14:J$920)+SUMIF(JournalsC!E$14:E$920,TrialBalanceC!M62,JournalsC!J$14:J$920)</f>
        <v>0</v>
      </c>
      <c r="H62" s="288"/>
      <c r="I62" s="291">
        <f t="shared" si="0"/>
        <v>0</v>
      </c>
      <c r="J62" s="75"/>
      <c r="K62" s="48">
        <f t="shared" si="1"/>
        <v>0</v>
      </c>
      <c r="M62" s="140" t="str">
        <f t="shared" si="2"/>
        <v>2100/102</v>
      </c>
      <c r="N62" s="70"/>
      <c r="P62" s="71"/>
      <c r="Q62" s="51"/>
      <c r="R62" s="31"/>
    </row>
    <row r="63" spans="1:18" x14ac:dyDescent="0.2">
      <c r="A63" s="238"/>
      <c r="B63" s="54" t="s">
        <v>174</v>
      </c>
      <c r="C63" s="277"/>
      <c r="D63" s="272"/>
      <c r="E63" s="281"/>
      <c r="F63" s="79"/>
      <c r="G63" s="47">
        <f>SUMIF(JournalsC!D$14:D$920,TrialBalanceC!M63,JournalsC!J$14:J$920)+SUMIF(JournalsC!E$14:E$920,TrialBalanceC!M63,JournalsC!J$14:J$920)</f>
        <v>0</v>
      </c>
      <c r="H63" s="288"/>
      <c r="I63" s="291">
        <f t="shared" si="0"/>
        <v>0</v>
      </c>
      <c r="J63" s="75"/>
      <c r="K63" s="48">
        <f t="shared" si="1"/>
        <v>0</v>
      </c>
      <c r="M63" s="140" t="str">
        <f t="shared" si="2"/>
        <v>2100/103</v>
      </c>
      <c r="N63" s="70"/>
      <c r="P63" s="71"/>
      <c r="Q63" s="51"/>
      <c r="R63" s="31"/>
    </row>
    <row r="64" spans="1:18" x14ac:dyDescent="0.2">
      <c r="A64" s="238"/>
      <c r="B64" s="54" t="s">
        <v>175</v>
      </c>
      <c r="C64" s="240" t="s">
        <v>57</v>
      </c>
      <c r="D64" s="282"/>
      <c r="E64" s="281"/>
      <c r="F64" s="79"/>
      <c r="G64" s="47">
        <f>SUMIF(JournalsC!D$14:D$920,TrialBalanceC!M64,JournalsC!J$14:J$920)+SUMIF(JournalsC!E$14:E$920,TrialBalanceC!M64,JournalsC!J$14:J$920)</f>
        <v>0</v>
      </c>
      <c r="H64" s="288"/>
      <c r="I64" s="291">
        <f t="shared" si="0"/>
        <v>0</v>
      </c>
      <c r="J64" s="75"/>
      <c r="K64" s="48">
        <f t="shared" si="1"/>
        <v>0</v>
      </c>
      <c r="M64" s="140" t="str">
        <f t="shared" si="2"/>
        <v>2100/110Repairs and maintenance</v>
      </c>
      <c r="N64" s="70"/>
      <c r="P64" s="71"/>
      <c r="Q64" s="51"/>
      <c r="R64" s="31"/>
    </row>
    <row r="65" spans="1:18" x14ac:dyDescent="0.2">
      <c r="A65" s="238"/>
      <c r="B65" s="90" t="s">
        <v>1209</v>
      </c>
      <c r="C65" s="242" t="s">
        <v>1210</v>
      </c>
      <c r="D65" s="282"/>
      <c r="E65" s="281"/>
      <c r="F65" s="79"/>
      <c r="G65" s="47">
        <f>SUMIF(JournalsC!D$14:D$920,TrialBalanceC!M65,JournalsC!J$14:J$920)+SUMIF(JournalsC!E$14:E$920,TrialBalanceC!M65,JournalsC!J$14:J$920)</f>
        <v>0</v>
      </c>
      <c r="H65" s="288"/>
      <c r="I65" s="291">
        <f t="shared" ref="I65" si="9">ROUND(D65-E65+G65+F65,0)</f>
        <v>0</v>
      </c>
      <c r="J65" s="75"/>
      <c r="K65" s="48">
        <f t="shared" ref="K65" si="10">ROUND(SUM(A65),0)</f>
        <v>0</v>
      </c>
      <c r="M65" s="140" t="str">
        <f t="shared" ref="M65" si="11">CONCATENATE(B65,C65)</f>
        <v>2100/115Research and development cost</v>
      </c>
      <c r="N65" s="70"/>
      <c r="P65" s="71"/>
      <c r="Q65" s="51"/>
      <c r="R65" s="31"/>
    </row>
    <row r="66" spans="1:18" x14ac:dyDescent="0.2">
      <c r="A66" s="238"/>
      <c r="B66" s="54" t="s">
        <v>58</v>
      </c>
      <c r="C66" s="240" t="s">
        <v>59</v>
      </c>
      <c r="D66" s="282"/>
      <c r="E66" s="281"/>
      <c r="F66" s="79"/>
      <c r="G66" s="47">
        <f>SUMIF(JournalsC!D$14:D$920,TrialBalanceC!M66,JournalsC!J$14:J$920)+SUMIF(JournalsC!E$14:E$920,TrialBalanceC!M66,JournalsC!J$14:J$920)</f>
        <v>0</v>
      </c>
      <c r="H66" s="288"/>
      <c r="I66" s="291">
        <f t="shared" si="0"/>
        <v>0</v>
      </c>
      <c r="J66" s="75"/>
      <c r="K66" s="48">
        <f t="shared" si="1"/>
        <v>0</v>
      </c>
      <c r="M66" s="140" t="str">
        <f t="shared" si="2"/>
        <v>2100/120Salaries</v>
      </c>
      <c r="N66" s="70"/>
      <c r="P66" s="71"/>
      <c r="Q66" s="51"/>
      <c r="R66" s="31"/>
    </row>
    <row r="67" spans="1:18" x14ac:dyDescent="0.2">
      <c r="A67" s="238"/>
      <c r="B67" s="54" t="s">
        <v>60</v>
      </c>
      <c r="C67" s="240" t="s">
        <v>61</v>
      </c>
      <c r="D67" s="282"/>
      <c r="E67" s="281"/>
      <c r="F67" s="79"/>
      <c r="G67" s="47">
        <f>SUMIF(JournalsC!D$14:D$920,TrialBalanceC!M67,JournalsC!J$14:J$920)+SUMIF(JournalsC!E$14:E$920,TrialBalanceC!M67,JournalsC!J$14:J$920)</f>
        <v>0</v>
      </c>
      <c r="H67" s="288"/>
      <c r="I67" s="291">
        <f t="shared" si="0"/>
        <v>0</v>
      </c>
      <c r="J67" s="75"/>
      <c r="K67" s="48">
        <f t="shared" si="1"/>
        <v>0</v>
      </c>
      <c r="M67" s="140" t="str">
        <f t="shared" si="2"/>
        <v>2100/121UIF - Employer</v>
      </c>
      <c r="N67" s="70"/>
      <c r="P67" s="71"/>
      <c r="Q67" s="51"/>
      <c r="R67" s="31"/>
    </row>
    <row r="68" spans="1:18" x14ac:dyDescent="0.2">
      <c r="A68" s="238"/>
      <c r="B68" s="54" t="s">
        <v>62</v>
      </c>
      <c r="C68" s="240" t="s">
        <v>63</v>
      </c>
      <c r="D68" s="282"/>
      <c r="E68" s="281"/>
      <c r="F68" s="79"/>
      <c r="G68" s="47">
        <f>SUMIF(JournalsC!D$14:D$920,TrialBalanceC!M68,JournalsC!J$14:J$920)+SUMIF(JournalsC!E$14:E$920,TrialBalanceC!M68,JournalsC!J$14:J$920)</f>
        <v>0</v>
      </c>
      <c r="H68" s="288"/>
      <c r="I68" s="291">
        <f t="shared" si="0"/>
        <v>0</v>
      </c>
      <c r="J68" s="75"/>
      <c r="K68" s="48">
        <f t="shared" si="1"/>
        <v>0</v>
      </c>
      <c r="M68" s="140" t="str">
        <f t="shared" si="2"/>
        <v>2100/122Casual wages</v>
      </c>
      <c r="N68" s="70"/>
      <c r="P68" s="71"/>
      <c r="Q68" s="51"/>
      <c r="R68" s="31"/>
    </row>
    <row r="69" spans="1:18" x14ac:dyDescent="0.2">
      <c r="A69" s="238"/>
      <c r="B69" s="54" t="s">
        <v>64</v>
      </c>
      <c r="C69" s="240" t="s">
        <v>65</v>
      </c>
      <c r="D69" s="282"/>
      <c r="E69" s="281"/>
      <c r="F69" s="79"/>
      <c r="G69" s="47">
        <f>SUMIF(JournalsC!D$14:D$920,TrialBalanceC!M69,JournalsC!J$14:J$920)+SUMIF(JournalsC!E$14:E$920,TrialBalanceC!M69,JournalsC!J$14:J$920)</f>
        <v>0</v>
      </c>
      <c r="H69" s="288"/>
      <c r="I69" s="291">
        <f t="shared" si="0"/>
        <v>0</v>
      </c>
      <c r="J69" s="75"/>
      <c r="K69" s="48">
        <f t="shared" si="1"/>
        <v>0</v>
      </c>
      <c r="M69" s="140" t="str">
        <f t="shared" si="2"/>
        <v>2100/130Telephone</v>
      </c>
      <c r="N69" s="70"/>
      <c r="P69" s="71"/>
      <c r="Q69" s="51"/>
      <c r="R69" s="31"/>
    </row>
    <row r="70" spans="1:18" x14ac:dyDescent="0.2">
      <c r="A70" s="238"/>
      <c r="B70" s="54" t="s">
        <v>66</v>
      </c>
      <c r="C70" s="240" t="s">
        <v>454</v>
      </c>
      <c r="D70" s="282"/>
      <c r="E70" s="281"/>
      <c r="F70" s="79"/>
      <c r="G70" s="47">
        <f>SUMIF(JournalsC!D$14:D$920,TrialBalanceC!M70,JournalsC!J$14:J$920)+SUMIF(JournalsC!E$14:E$920,TrialBalanceC!M70,JournalsC!J$14:J$920)</f>
        <v>0</v>
      </c>
      <c r="H70" s="288"/>
      <c r="I70" s="291">
        <f t="shared" si="0"/>
        <v>0</v>
      </c>
      <c r="J70" s="75"/>
      <c r="K70" s="48">
        <f t="shared" si="1"/>
        <v>0</v>
      </c>
      <c r="M70" s="140" t="str">
        <f t="shared" si="2"/>
        <v>2100/135Postage and courier</v>
      </c>
      <c r="N70" s="70"/>
      <c r="P70" s="71"/>
      <c r="Q70" s="51"/>
      <c r="R70" s="31"/>
    </row>
    <row r="71" spans="1:18" x14ac:dyDescent="0.2">
      <c r="A71" s="238"/>
      <c r="B71" s="54" t="s">
        <v>67</v>
      </c>
      <c r="C71" s="240" t="s">
        <v>236</v>
      </c>
      <c r="D71" s="282"/>
      <c r="E71" s="281"/>
      <c r="F71" s="79"/>
      <c r="G71" s="47">
        <f>SUMIF(JournalsC!D$14:D$920,TrialBalanceC!M71,JournalsC!J$14:J$920)+SUMIF(JournalsC!E$14:E$920,TrialBalanceC!M71,JournalsC!J$14:J$920)</f>
        <v>0</v>
      </c>
      <c r="H71" s="288"/>
      <c r="I71" s="291">
        <f t="shared" si="0"/>
        <v>0</v>
      </c>
      <c r="J71" s="75"/>
      <c r="K71" s="48">
        <f t="shared" si="1"/>
        <v>0</v>
      </c>
      <c r="M71" s="140" t="str">
        <f t="shared" si="2"/>
        <v>2100/140Training</v>
      </c>
      <c r="N71" s="70"/>
      <c r="P71" s="71"/>
      <c r="Q71" s="51"/>
      <c r="R71" s="31"/>
    </row>
    <row r="72" spans="1:18" x14ac:dyDescent="0.2">
      <c r="A72" s="238"/>
      <c r="B72" s="54" t="s">
        <v>68</v>
      </c>
      <c r="C72" s="241" t="s">
        <v>760</v>
      </c>
      <c r="D72" s="272"/>
      <c r="E72" s="281"/>
      <c r="F72" s="79"/>
      <c r="G72" s="47">
        <f>SUMIF(JournalsC!D$14:D$920,TrialBalanceC!M72,JournalsC!J$14:J$920)+SUMIF(JournalsC!E$14:E$920,TrialBalanceC!M72,JournalsC!J$14:J$920)</f>
        <v>0</v>
      </c>
      <c r="H72" s="288"/>
      <c r="I72" s="291">
        <f t="shared" si="0"/>
        <v>0</v>
      </c>
      <c r="J72" s="75"/>
      <c r="K72" s="48">
        <f t="shared" si="1"/>
        <v>0</v>
      </c>
      <c r="M72" s="140" t="str">
        <f t="shared" si="2"/>
        <v>2100/150Traveling and accommodation</v>
      </c>
      <c r="N72" s="70"/>
      <c r="P72" s="71"/>
      <c r="Q72" s="51"/>
      <c r="R72" s="31"/>
    </row>
    <row r="73" spans="1:18" x14ac:dyDescent="0.2">
      <c r="A73" s="238"/>
      <c r="B73" s="90" t="s">
        <v>580</v>
      </c>
      <c r="C73" s="276"/>
      <c r="D73" s="281"/>
      <c r="E73" s="281"/>
      <c r="F73" s="79"/>
      <c r="G73" s="47">
        <f>SUMIF(JournalsC!D$14:D$920,TrialBalanceC!M73,JournalsC!J$14:J$920)+SUMIF(JournalsC!E$14:E$920,TrialBalanceC!M73,JournalsC!J$14:J$920)</f>
        <v>0</v>
      </c>
      <c r="H73" s="288"/>
      <c r="I73" s="291">
        <f t="shared" si="0"/>
        <v>0</v>
      </c>
      <c r="J73" s="75"/>
      <c r="K73" s="48">
        <f t="shared" si="1"/>
        <v>0</v>
      </c>
      <c r="M73" s="140" t="str">
        <f t="shared" si="2"/>
        <v>2150/001</v>
      </c>
      <c r="N73" s="70"/>
      <c r="P73" s="71"/>
      <c r="Q73" s="51"/>
      <c r="R73" s="31"/>
    </row>
    <row r="74" spans="1:18" x14ac:dyDescent="0.2">
      <c r="A74" s="238"/>
      <c r="B74" s="90" t="s">
        <v>581</v>
      </c>
      <c r="C74" s="276"/>
      <c r="D74" s="281"/>
      <c r="E74" s="281"/>
      <c r="F74" s="79"/>
      <c r="G74" s="47">
        <f>SUMIF(JournalsC!D$14:D$920,TrialBalanceC!M74,JournalsC!J$14:J$920)+SUMIF(JournalsC!E$14:E$920,TrialBalanceC!M74,JournalsC!J$14:J$920)</f>
        <v>0</v>
      </c>
      <c r="H74" s="288"/>
      <c r="I74" s="291">
        <f t="shared" ref="I74:I102" si="12">ROUND(D74-E74+G74+F74,0)</f>
        <v>0</v>
      </c>
      <c r="J74" s="75"/>
      <c r="K74" s="48">
        <f t="shared" ref="K74:K138" si="13">ROUND(SUM(A74),0)</f>
        <v>0</v>
      </c>
      <c r="M74" s="140" t="str">
        <f t="shared" ref="M74:M138" si="14">CONCATENATE(B74,C74)</f>
        <v>2150/002</v>
      </c>
      <c r="N74" s="70"/>
      <c r="P74" s="71"/>
      <c r="Q74" s="51"/>
      <c r="R74" s="31"/>
    </row>
    <row r="75" spans="1:18" x14ac:dyDescent="0.2">
      <c r="A75" s="238"/>
      <c r="B75" s="90" t="s">
        <v>582</v>
      </c>
      <c r="C75" s="276"/>
      <c r="D75" s="281"/>
      <c r="E75" s="281"/>
      <c r="F75" s="79"/>
      <c r="G75" s="47">
        <f>SUMIF(JournalsC!D$14:D$920,TrialBalanceC!M75,JournalsC!J$14:J$920)+SUMIF(JournalsC!E$14:E$920,TrialBalanceC!M75,JournalsC!J$14:J$920)</f>
        <v>0</v>
      </c>
      <c r="H75" s="288"/>
      <c r="I75" s="291">
        <f t="shared" si="12"/>
        <v>0</v>
      </c>
      <c r="J75" s="75"/>
      <c r="K75" s="48">
        <f t="shared" si="13"/>
        <v>0</v>
      </c>
      <c r="M75" s="140" t="str">
        <f t="shared" si="14"/>
        <v>2150/003</v>
      </c>
      <c r="N75" s="70"/>
      <c r="P75" s="71"/>
      <c r="Q75" s="51"/>
      <c r="R75" s="31"/>
    </row>
    <row r="76" spans="1:18" x14ac:dyDescent="0.2">
      <c r="A76" s="238"/>
      <c r="B76" s="90" t="s">
        <v>583</v>
      </c>
      <c r="C76" s="276"/>
      <c r="D76" s="281"/>
      <c r="E76" s="281"/>
      <c r="F76" s="79"/>
      <c r="G76" s="47">
        <f>SUMIF(JournalsC!D$14:D$920,TrialBalanceC!M76,JournalsC!J$14:J$920)+SUMIF(JournalsC!E$14:E$920,TrialBalanceC!M76,JournalsC!J$14:J$920)</f>
        <v>0</v>
      </c>
      <c r="H76" s="288"/>
      <c r="I76" s="291">
        <f t="shared" si="12"/>
        <v>0</v>
      </c>
      <c r="J76" s="75"/>
      <c r="K76" s="48">
        <f t="shared" si="13"/>
        <v>0</v>
      </c>
      <c r="M76" s="140" t="str">
        <f t="shared" si="14"/>
        <v>2150/004</v>
      </c>
      <c r="N76" s="70"/>
      <c r="P76" s="71"/>
      <c r="Q76" s="51"/>
      <c r="R76" s="31"/>
    </row>
    <row r="77" spans="1:18" x14ac:dyDescent="0.2">
      <c r="A77" s="238"/>
      <c r="B77" s="90" t="s">
        <v>584</v>
      </c>
      <c r="C77" s="276"/>
      <c r="D77" s="281"/>
      <c r="E77" s="281"/>
      <c r="F77" s="79"/>
      <c r="G77" s="47">
        <f>SUMIF(JournalsC!D$14:D$920,TrialBalanceC!M77,JournalsC!J$14:J$920)+SUMIF(JournalsC!E$14:E$920,TrialBalanceC!M77,JournalsC!J$14:J$920)</f>
        <v>0</v>
      </c>
      <c r="H77" s="288"/>
      <c r="I77" s="291">
        <f t="shared" si="12"/>
        <v>0</v>
      </c>
      <c r="J77" s="75"/>
      <c r="K77" s="48">
        <f t="shared" si="13"/>
        <v>0</v>
      </c>
      <c r="M77" s="140" t="str">
        <f t="shared" si="14"/>
        <v>2150/005</v>
      </c>
      <c r="N77" s="70"/>
      <c r="P77" s="71"/>
      <c r="Q77" s="51"/>
      <c r="R77" s="31"/>
    </row>
    <row r="78" spans="1:18" x14ac:dyDescent="0.2">
      <c r="A78" s="238"/>
      <c r="B78" s="90" t="s">
        <v>585</v>
      </c>
      <c r="C78" s="276"/>
      <c r="D78" s="281"/>
      <c r="E78" s="281"/>
      <c r="F78" s="79"/>
      <c r="G78" s="47">
        <f>SUMIF(JournalsC!D$14:D$920,TrialBalanceC!M78,JournalsC!J$14:J$920)+SUMIF(JournalsC!E$14:E$920,TrialBalanceC!M78,JournalsC!J$14:J$920)</f>
        <v>0</v>
      </c>
      <c r="H78" s="288"/>
      <c r="I78" s="291">
        <f t="shared" si="12"/>
        <v>0</v>
      </c>
      <c r="J78" s="75"/>
      <c r="K78" s="48">
        <f t="shared" si="13"/>
        <v>0</v>
      </c>
      <c r="M78" s="140" t="str">
        <f t="shared" si="14"/>
        <v>2150/006</v>
      </c>
      <c r="N78" s="70"/>
      <c r="P78" s="71"/>
      <c r="Q78" s="51"/>
      <c r="R78" s="31"/>
    </row>
    <row r="79" spans="1:18" x14ac:dyDescent="0.2">
      <c r="A79" s="238"/>
      <c r="B79" s="90" t="s">
        <v>586</v>
      </c>
      <c r="C79" s="278"/>
      <c r="D79" s="274"/>
      <c r="E79" s="281"/>
      <c r="F79" s="79"/>
      <c r="G79" s="47">
        <f>SUMIF(JournalsC!D$14:D$920,TrialBalanceC!M79,JournalsC!J$14:J$920)+SUMIF(JournalsC!E$14:E$920,TrialBalanceC!M79,JournalsC!J$14:J$920)</f>
        <v>0</v>
      </c>
      <c r="H79" s="288"/>
      <c r="I79" s="291">
        <f t="shared" si="12"/>
        <v>0</v>
      </c>
      <c r="J79" s="75"/>
      <c r="K79" s="48">
        <f t="shared" si="13"/>
        <v>0</v>
      </c>
      <c r="M79" s="140" t="str">
        <f t="shared" si="14"/>
        <v>2150/007</v>
      </c>
      <c r="N79" s="70"/>
      <c r="P79" s="71"/>
      <c r="Q79" s="51"/>
      <c r="R79" s="31"/>
    </row>
    <row r="80" spans="1:18" x14ac:dyDescent="0.2">
      <c r="A80" s="238"/>
      <c r="B80" s="90" t="s">
        <v>587</v>
      </c>
      <c r="C80" s="278"/>
      <c r="D80" s="274"/>
      <c r="E80" s="281"/>
      <c r="F80" s="79"/>
      <c r="G80" s="47">
        <f>SUMIF(JournalsC!D$14:D$920,TrialBalanceC!M80,JournalsC!J$14:J$920)+SUMIF(JournalsC!E$14:E$920,TrialBalanceC!M80,JournalsC!J$14:J$920)</f>
        <v>0</v>
      </c>
      <c r="H80" s="288"/>
      <c r="I80" s="291">
        <f t="shared" si="12"/>
        <v>0</v>
      </c>
      <c r="J80" s="75"/>
      <c r="K80" s="48">
        <f t="shared" si="13"/>
        <v>0</v>
      </c>
      <c r="M80" s="140" t="str">
        <f t="shared" si="14"/>
        <v>2150/008</v>
      </c>
      <c r="N80" s="70"/>
      <c r="P80" s="71"/>
      <c r="Q80" s="51"/>
      <c r="R80" s="31"/>
    </row>
    <row r="81" spans="1:18" x14ac:dyDescent="0.2">
      <c r="A81" s="238"/>
      <c r="B81" s="90" t="s">
        <v>588</v>
      </c>
      <c r="C81" s="276"/>
      <c r="D81" s="281"/>
      <c r="E81" s="281"/>
      <c r="F81" s="79"/>
      <c r="G81" s="47">
        <f>SUMIF(JournalsC!D$14:D$920,TrialBalanceC!M81,JournalsC!J$14:J$920)+SUMIF(JournalsC!E$14:E$920,TrialBalanceC!M81,JournalsC!J$14:J$920)</f>
        <v>0</v>
      </c>
      <c r="H81" s="288"/>
      <c r="I81" s="291">
        <f t="shared" si="12"/>
        <v>0</v>
      </c>
      <c r="J81" s="75"/>
      <c r="K81" s="48">
        <f t="shared" si="13"/>
        <v>0</v>
      </c>
      <c r="M81" s="140" t="str">
        <f t="shared" si="14"/>
        <v>2150/009</v>
      </c>
      <c r="N81" s="70"/>
      <c r="P81" s="71"/>
      <c r="Q81" s="51"/>
      <c r="R81" s="31"/>
    </row>
    <row r="82" spans="1:18" x14ac:dyDescent="0.2">
      <c r="A82" s="238"/>
      <c r="B82" s="90" t="s">
        <v>589</v>
      </c>
      <c r="C82" s="276"/>
      <c r="D82" s="281"/>
      <c r="E82" s="281"/>
      <c r="F82" s="79"/>
      <c r="G82" s="47">
        <f>SUMIF(JournalsC!D$14:D$920,TrialBalanceC!M82,JournalsC!J$14:J$920)+SUMIF(JournalsC!E$14:E$920,TrialBalanceC!M82,JournalsC!J$14:J$920)</f>
        <v>0</v>
      </c>
      <c r="H82" s="288"/>
      <c r="I82" s="291">
        <f t="shared" si="12"/>
        <v>0</v>
      </c>
      <c r="J82" s="75"/>
      <c r="K82" s="48">
        <f t="shared" si="13"/>
        <v>0</v>
      </c>
      <c r="M82" s="140" t="str">
        <f t="shared" si="14"/>
        <v>2150/010</v>
      </c>
      <c r="N82" s="70"/>
      <c r="P82" s="71"/>
      <c r="Q82" s="51"/>
      <c r="R82" s="31"/>
    </row>
    <row r="83" spans="1:18" x14ac:dyDescent="0.2">
      <c r="A83" s="238"/>
      <c r="B83" s="54" t="s">
        <v>18</v>
      </c>
      <c r="C83" s="239" t="s">
        <v>102</v>
      </c>
      <c r="D83" s="283"/>
      <c r="E83" s="281"/>
      <c r="F83" s="79"/>
      <c r="G83" s="47">
        <f>SUMIF(JournalsC!D$14:D$920,TrialBalanceC!M83,JournalsC!J$14:J$920)+SUMIF(JournalsC!E$14:E$920,TrialBalanceC!M83,JournalsC!J$14:J$920)</f>
        <v>0</v>
      </c>
      <c r="H83" s="288"/>
      <c r="I83" s="291">
        <f t="shared" si="12"/>
        <v>0</v>
      </c>
      <c r="J83" s="75"/>
      <c r="K83" s="48">
        <f t="shared" si="13"/>
        <v>0</v>
      </c>
      <c r="M83" s="140" t="str">
        <f t="shared" si="14"/>
        <v>2500/000OTHER INCOME</v>
      </c>
      <c r="N83" s="70"/>
      <c r="P83" s="71"/>
      <c r="Q83" s="51"/>
      <c r="R83" s="31"/>
    </row>
    <row r="84" spans="1:18" x14ac:dyDescent="0.2">
      <c r="A84" s="238"/>
      <c r="B84" s="54" t="s">
        <v>333</v>
      </c>
      <c r="C84" s="241" t="s">
        <v>713</v>
      </c>
      <c r="D84" s="272"/>
      <c r="E84" s="281"/>
      <c r="F84" s="79"/>
      <c r="G84" s="47">
        <f>SUMIF(JournalsC!D$14:D$920,TrialBalanceC!M84,JournalsC!J$14:J$920)+SUMIF(JournalsC!E$14:E$920,TrialBalanceC!M84,JournalsC!J$14:J$920)</f>
        <v>0</v>
      </c>
      <c r="H84" s="288"/>
      <c r="I84" s="291">
        <f t="shared" si="12"/>
        <v>0</v>
      </c>
      <c r="J84" s="75"/>
      <c r="K84" s="48">
        <f t="shared" si="13"/>
        <v>0</v>
      </c>
      <c r="M84" s="140" t="str">
        <f t="shared" si="14"/>
        <v>2710/000Rent received (not main income)</v>
      </c>
      <c r="N84" s="70"/>
      <c r="P84" s="71"/>
      <c r="Q84" s="51"/>
      <c r="R84" s="31"/>
    </row>
    <row r="85" spans="1:18" x14ac:dyDescent="0.2">
      <c r="A85" s="238"/>
      <c r="B85" s="54" t="s">
        <v>69</v>
      </c>
      <c r="C85" s="239" t="s">
        <v>719</v>
      </c>
      <c r="D85" s="283"/>
      <c r="E85" s="281"/>
      <c r="F85" s="79"/>
      <c r="G85" s="47">
        <f>SUMIF(JournalsC!D$14:D$920,TrialBalanceC!M85,JournalsC!J$14:J$920)+SUMIF(JournalsC!E$14:E$920,TrialBalanceC!M85,JournalsC!J$14:J$920)</f>
        <v>0</v>
      </c>
      <c r="H85" s="288"/>
      <c r="I85" s="291">
        <f t="shared" si="12"/>
        <v>0</v>
      </c>
      <c r="J85" s="75"/>
      <c r="K85" s="48">
        <f t="shared" si="13"/>
        <v>0</v>
      </c>
      <c r="M85" s="140" t="str">
        <f t="shared" si="14"/>
        <v>2750/000Interest received-----------------------</v>
      </c>
      <c r="N85" s="70"/>
      <c r="P85" s="71"/>
      <c r="Q85" s="51"/>
      <c r="R85" s="31"/>
    </row>
    <row r="86" spans="1:18" x14ac:dyDescent="0.2">
      <c r="A86" s="238"/>
      <c r="B86" s="54" t="s">
        <v>70</v>
      </c>
      <c r="C86" s="276"/>
      <c r="D86" s="281"/>
      <c r="E86" s="281"/>
      <c r="F86" s="79"/>
      <c r="G86" s="47">
        <f>SUMIF(JournalsC!D$14:D$920,TrialBalanceC!M86,JournalsC!J$14:J$920)+SUMIF(JournalsC!E$14:E$920,TrialBalanceC!M86,JournalsC!J$14:J$920)</f>
        <v>0</v>
      </c>
      <c r="H86" s="288"/>
      <c r="I86" s="291">
        <f t="shared" si="12"/>
        <v>0</v>
      </c>
      <c r="J86" s="75"/>
      <c r="K86" s="48">
        <f t="shared" si="13"/>
        <v>0</v>
      </c>
      <c r="M86" s="140" t="str">
        <f t="shared" si="14"/>
        <v>2750/001</v>
      </c>
      <c r="N86" s="70"/>
      <c r="P86" s="71"/>
      <c r="Q86" s="51"/>
      <c r="R86" s="31"/>
    </row>
    <row r="87" spans="1:18" x14ac:dyDescent="0.2">
      <c r="A87" s="238"/>
      <c r="B87" s="54" t="s">
        <v>71</v>
      </c>
      <c r="C87" s="278"/>
      <c r="D87" s="274"/>
      <c r="E87" s="281"/>
      <c r="F87" s="79"/>
      <c r="G87" s="47">
        <f>SUMIF(JournalsC!D$14:D$920,TrialBalanceC!M87,JournalsC!J$14:J$920)+SUMIF(JournalsC!E$14:E$920,TrialBalanceC!M87,JournalsC!J$14:J$920)</f>
        <v>0</v>
      </c>
      <c r="H87" s="288"/>
      <c r="I87" s="291">
        <f t="shared" si="12"/>
        <v>0</v>
      </c>
      <c r="J87" s="75"/>
      <c r="K87" s="48">
        <f t="shared" si="13"/>
        <v>0</v>
      </c>
      <c r="M87" s="140" t="str">
        <f t="shared" si="14"/>
        <v>2750/002</v>
      </c>
      <c r="N87" s="70"/>
      <c r="P87" s="71"/>
      <c r="Q87" s="51"/>
      <c r="R87" s="31"/>
    </row>
    <row r="88" spans="1:18" x14ac:dyDescent="0.2">
      <c r="A88" s="238"/>
      <c r="B88" s="54" t="s">
        <v>72</v>
      </c>
      <c r="C88" s="279"/>
      <c r="D88" s="282"/>
      <c r="E88" s="281"/>
      <c r="F88" s="79"/>
      <c r="G88" s="47">
        <f>SUMIF(JournalsC!D$14:D$920,TrialBalanceC!M88,JournalsC!J$14:J$920)+SUMIF(JournalsC!E$14:E$920,TrialBalanceC!M88,JournalsC!J$14:J$920)</f>
        <v>0</v>
      </c>
      <c r="H88" s="288"/>
      <c r="I88" s="291">
        <f t="shared" si="12"/>
        <v>0</v>
      </c>
      <c r="J88" s="75"/>
      <c r="K88" s="48">
        <f t="shared" si="13"/>
        <v>0</v>
      </c>
      <c r="M88" s="140" t="str">
        <f t="shared" si="14"/>
        <v>2750/003</v>
      </c>
      <c r="N88" s="70"/>
      <c r="P88" s="71"/>
      <c r="Q88" s="51"/>
      <c r="R88" s="31"/>
    </row>
    <row r="89" spans="1:18" x14ac:dyDescent="0.2">
      <c r="A89" s="238"/>
      <c r="B89" s="54" t="s">
        <v>73</v>
      </c>
      <c r="C89" s="279"/>
      <c r="D89" s="282"/>
      <c r="E89" s="281"/>
      <c r="F89" s="79"/>
      <c r="G89" s="47">
        <f>SUMIF(JournalsC!D$14:D$920,TrialBalanceC!M89,JournalsC!J$14:J$920)+SUMIF(JournalsC!E$14:E$920,TrialBalanceC!M89,JournalsC!J$14:J$920)</f>
        <v>0</v>
      </c>
      <c r="H89" s="288"/>
      <c r="I89" s="291">
        <f t="shared" si="12"/>
        <v>0</v>
      </c>
      <c r="J89" s="75"/>
      <c r="K89" s="48">
        <f t="shared" si="13"/>
        <v>0</v>
      </c>
      <c r="M89" s="140" t="str">
        <f t="shared" si="14"/>
        <v>2750/004</v>
      </c>
      <c r="N89" s="70"/>
      <c r="P89" s="71"/>
      <c r="Q89" s="51"/>
      <c r="R89" s="31"/>
    </row>
    <row r="90" spans="1:18" x14ac:dyDescent="0.2">
      <c r="A90" s="238"/>
      <c r="B90" s="54" t="s">
        <v>176</v>
      </c>
      <c r="C90" s="240" t="s">
        <v>274</v>
      </c>
      <c r="D90" s="282"/>
      <c r="E90" s="281"/>
      <c r="F90" s="79"/>
      <c r="G90" s="47">
        <f>SUMIF(JournalsC!D$14:D$920,TrialBalanceC!M90,JournalsC!J$14:J$920)+SUMIF(JournalsC!E$14:E$920,TrialBalanceC!M90,JournalsC!J$14:J$920)</f>
        <v>0</v>
      </c>
      <c r="H90" s="288"/>
      <c r="I90" s="291">
        <f t="shared" si="12"/>
        <v>0</v>
      </c>
      <c r="J90" s="75"/>
      <c r="K90" s="48">
        <f t="shared" si="13"/>
        <v>0</v>
      </c>
      <c r="M90" s="140" t="str">
        <f t="shared" si="14"/>
        <v>2800/000Dividends received----------------------</v>
      </c>
      <c r="N90" s="70"/>
      <c r="P90" s="71"/>
      <c r="Q90" s="51"/>
      <c r="R90" s="31"/>
    </row>
    <row r="91" spans="1:18" x14ac:dyDescent="0.2">
      <c r="A91" s="238"/>
      <c r="B91" s="54" t="s">
        <v>275</v>
      </c>
      <c r="C91" s="242" t="s">
        <v>664</v>
      </c>
      <c r="D91" s="282"/>
      <c r="E91" s="281"/>
      <c r="F91" s="79"/>
      <c r="G91" s="47">
        <f>SUMIF(JournalsC!D$14:D$920,TrialBalanceC!M91,JournalsC!J$14:J$920)+SUMIF(JournalsC!E$14:E$920,TrialBalanceC!M91,JournalsC!J$14:J$920)</f>
        <v>0</v>
      </c>
      <c r="H91" s="288"/>
      <c r="I91" s="291">
        <f t="shared" si="12"/>
        <v>0</v>
      </c>
      <c r="J91" s="75"/>
      <c r="K91" s="48">
        <f t="shared" si="13"/>
        <v>0</v>
      </c>
      <c r="M91" s="140" t="str">
        <f t="shared" si="14"/>
        <v>2800/001Div.'s received - SA sources</v>
      </c>
      <c r="N91" s="70"/>
      <c r="P91" s="71"/>
      <c r="Q91" s="51"/>
      <c r="R91" s="31"/>
    </row>
    <row r="92" spans="1:18" x14ac:dyDescent="0.2">
      <c r="A92" s="238"/>
      <c r="B92" s="54" t="s">
        <v>186</v>
      </c>
      <c r="C92" s="242" t="s">
        <v>992</v>
      </c>
      <c r="D92" s="282"/>
      <c r="E92" s="281"/>
      <c r="F92" s="79"/>
      <c r="G92" s="47">
        <f>SUMIF(JournalsC!D$14:D$920,TrialBalanceC!M92,JournalsC!J$14:J$920)+SUMIF(JournalsC!E$14:E$920,TrialBalanceC!M92,JournalsC!J$14:J$920)</f>
        <v>0</v>
      </c>
      <c r="H92" s="288"/>
      <c r="I92" s="291">
        <f t="shared" ref="I92" si="15">ROUND(D92-E92+G92+F92,0)</f>
        <v>0</v>
      </c>
      <c r="J92" s="75"/>
      <c r="K92" s="48">
        <f t="shared" ref="K92" si="16">ROUND(SUM(A92),0)</f>
        <v>0</v>
      </c>
      <c r="M92" s="140" t="str">
        <f t="shared" ref="M92" si="17">CONCATENATE(B92,C92)</f>
        <v>2800/002Div.'s received - Associates</v>
      </c>
      <c r="N92" s="70"/>
      <c r="P92" s="71"/>
      <c r="Q92" s="51"/>
      <c r="R92" s="31"/>
    </row>
    <row r="93" spans="1:18" x14ac:dyDescent="0.2">
      <c r="A93" s="238"/>
      <c r="B93" s="90" t="s">
        <v>991</v>
      </c>
      <c r="C93" s="242" t="s">
        <v>665</v>
      </c>
      <c r="D93" s="282"/>
      <c r="E93" s="281"/>
      <c r="F93" s="79"/>
      <c r="G93" s="47">
        <f>SUMIF(JournalsC!D$14:D$920,TrialBalanceC!M93,JournalsC!J$14:J$920)+SUMIF(JournalsC!E$14:E$920,TrialBalanceC!M93,JournalsC!J$14:J$920)</f>
        <v>0</v>
      </c>
      <c r="H93" s="288"/>
      <c r="I93" s="291">
        <f t="shared" si="12"/>
        <v>0</v>
      </c>
      <c r="J93" s="75"/>
      <c r="K93" s="48">
        <f t="shared" si="13"/>
        <v>0</v>
      </c>
      <c r="M93" s="140" t="str">
        <f t="shared" si="14"/>
        <v>2800/003Div.'s received - Foreign div.'s</v>
      </c>
      <c r="N93" s="70"/>
      <c r="P93" s="71"/>
      <c r="Q93" s="51"/>
      <c r="R93" s="31"/>
    </row>
    <row r="94" spans="1:18" x14ac:dyDescent="0.2">
      <c r="A94" s="238"/>
      <c r="B94" s="54" t="s">
        <v>187</v>
      </c>
      <c r="C94" s="242" t="s">
        <v>625</v>
      </c>
      <c r="D94" s="284"/>
      <c r="E94" s="281"/>
      <c r="F94" s="79"/>
      <c r="G94" s="47">
        <f>SUMIF(JournalsC!D$14:D$920,TrialBalanceC!M94,JournalsC!J$14:J$920)+SUMIF(JournalsC!E$14:E$920,TrialBalanceC!M94,JournalsC!J$14:J$920)</f>
        <v>0</v>
      </c>
      <c r="H94" s="288"/>
      <c r="I94" s="291">
        <f t="shared" si="12"/>
        <v>0</v>
      </c>
      <c r="J94" s="75"/>
      <c r="K94" s="48">
        <f t="shared" si="13"/>
        <v>0</v>
      </c>
      <c r="M94" s="140" t="str">
        <f t="shared" si="14"/>
        <v>2810/000(Profit)/Loss on sale of fixed assets</v>
      </c>
      <c r="N94" s="70"/>
      <c r="P94" s="71"/>
      <c r="Q94" s="51"/>
      <c r="R94" s="31"/>
    </row>
    <row r="95" spans="1:18" x14ac:dyDescent="0.2">
      <c r="A95" s="238"/>
      <c r="B95" s="54" t="s">
        <v>188</v>
      </c>
      <c r="C95" s="240" t="s">
        <v>189</v>
      </c>
      <c r="D95" s="282"/>
      <c r="E95" s="281"/>
      <c r="F95" s="79"/>
      <c r="G95" s="47">
        <f>SUMIF(JournalsC!D$14:D$920,TrialBalanceC!M95,JournalsC!J$14:J$920)+SUMIF(JournalsC!E$14:E$920,TrialBalanceC!M95,JournalsC!J$14:J$920)</f>
        <v>0</v>
      </c>
      <c r="H95" s="288"/>
      <c r="I95" s="291">
        <f t="shared" si="12"/>
        <v>0</v>
      </c>
      <c r="J95" s="75"/>
      <c r="K95" s="48">
        <f t="shared" si="13"/>
        <v>0</v>
      </c>
      <c r="M95" s="140" t="str">
        <f t="shared" si="14"/>
        <v>2820/000Bad debts recovered</v>
      </c>
      <c r="N95" s="70"/>
      <c r="P95" s="71"/>
      <c r="Q95" s="51"/>
      <c r="R95" s="31"/>
    </row>
    <row r="96" spans="1:18" x14ac:dyDescent="0.2">
      <c r="A96" s="238"/>
      <c r="B96" s="54" t="s">
        <v>190</v>
      </c>
      <c r="C96" s="240" t="s">
        <v>191</v>
      </c>
      <c r="D96" s="282"/>
      <c r="E96" s="281"/>
      <c r="F96" s="79"/>
      <c r="G96" s="47">
        <f>SUMIF(JournalsC!D$14:D$920,TrialBalanceC!M96,JournalsC!J$14:J$920)+SUMIF(JournalsC!E$14:E$920,TrialBalanceC!M96,JournalsC!J$14:J$920)</f>
        <v>0</v>
      </c>
      <c r="H96" s="288"/>
      <c r="I96" s="291">
        <f t="shared" si="12"/>
        <v>0</v>
      </c>
      <c r="J96" s="75"/>
      <c r="K96" s="48">
        <f t="shared" si="13"/>
        <v>0</v>
      </c>
      <c r="M96" s="140" t="str">
        <f t="shared" si="14"/>
        <v>2830/000Other income</v>
      </c>
      <c r="N96" s="70"/>
      <c r="P96" s="51"/>
      <c r="Q96" s="51"/>
      <c r="R96" s="31"/>
    </row>
    <row r="97" spans="1:18" x14ac:dyDescent="0.2">
      <c r="A97" s="238"/>
      <c r="B97" s="90" t="s">
        <v>934</v>
      </c>
      <c r="C97" s="242" t="s">
        <v>935</v>
      </c>
      <c r="D97" s="282"/>
      <c r="E97" s="281"/>
      <c r="F97" s="79"/>
      <c r="G97" s="47">
        <f>SUMIF(JournalsC!D$14:D$920,TrialBalanceC!M97,JournalsC!J$14:J$920)+SUMIF(JournalsC!E$14:E$920,TrialBalanceC!M97,JournalsC!J$14:J$920)</f>
        <v>0</v>
      </c>
      <c r="H97" s="288"/>
      <c r="I97" s="291">
        <f t="shared" ref="I97" si="18">ROUND(D97-E97+G97+F97,0)</f>
        <v>0</v>
      </c>
      <c r="J97" s="75"/>
      <c r="K97" s="48">
        <f t="shared" ref="K97" si="19">ROUND(SUM(A97),0)</f>
        <v>0</v>
      </c>
      <c r="M97" s="140" t="str">
        <f t="shared" ref="M97" si="20">CONCATENATE(B97,C97)</f>
        <v>2840/000Revaluation of investment property</v>
      </c>
      <c r="N97" s="70"/>
      <c r="P97" s="51"/>
      <c r="Q97" s="51"/>
      <c r="R97" s="31"/>
    </row>
    <row r="98" spans="1:18" x14ac:dyDescent="0.2">
      <c r="A98" s="238"/>
      <c r="B98" s="54" t="s">
        <v>192</v>
      </c>
      <c r="C98" s="239" t="s">
        <v>834</v>
      </c>
      <c r="D98" s="283"/>
      <c r="E98" s="281"/>
      <c r="F98" s="79"/>
      <c r="G98" s="47">
        <f>SUMIF(JournalsC!D$14:D$920,TrialBalanceC!M98,JournalsC!J$14:J$920)+SUMIF(JournalsC!E$14:E$920,TrialBalanceC!M98,JournalsC!J$14:J$920)</f>
        <v>0</v>
      </c>
      <c r="H98" s="288"/>
      <c r="I98" s="291">
        <f t="shared" si="12"/>
        <v>0</v>
      </c>
      <c r="J98" s="75"/>
      <c r="K98" s="48">
        <f t="shared" si="13"/>
        <v>0</v>
      </c>
      <c r="M98" s="140" t="str">
        <f t="shared" si="14"/>
        <v>3000/000ADMINISTRATIVE EXPENSES</v>
      </c>
      <c r="N98" s="70"/>
      <c r="P98" s="71"/>
      <c r="Q98" s="51"/>
      <c r="R98" s="31"/>
    </row>
    <row r="99" spans="1:18" x14ac:dyDescent="0.2">
      <c r="A99" s="238"/>
      <c r="B99" s="54" t="s">
        <v>193</v>
      </c>
      <c r="C99" s="240" t="s">
        <v>194</v>
      </c>
      <c r="D99" s="282"/>
      <c r="E99" s="281"/>
      <c r="F99" s="79"/>
      <c r="G99" s="47">
        <f>SUMIF(JournalsC!D$14:D$920,TrialBalanceC!M99,JournalsC!J$14:J$920)+SUMIF(JournalsC!E$14:E$920,TrialBalanceC!M99,JournalsC!J$14:J$920)</f>
        <v>0</v>
      </c>
      <c r="H99" s="288"/>
      <c r="I99" s="291">
        <f t="shared" si="12"/>
        <v>0</v>
      </c>
      <c r="J99" s="75"/>
      <c r="K99" s="48">
        <f t="shared" si="13"/>
        <v>0</v>
      </c>
      <c r="M99" s="140" t="str">
        <f t="shared" si="14"/>
        <v>3000/011Audit fees for current year</v>
      </c>
      <c r="N99" s="70"/>
      <c r="P99" s="51"/>
      <c r="Q99" s="51"/>
      <c r="R99" s="31"/>
    </row>
    <row r="100" spans="1:18" x14ac:dyDescent="0.2">
      <c r="A100" s="238"/>
      <c r="B100" s="54" t="s">
        <v>195</v>
      </c>
      <c r="C100" s="246" t="s">
        <v>331</v>
      </c>
      <c r="D100" s="272"/>
      <c r="E100" s="281"/>
      <c r="F100" s="79"/>
      <c r="G100" s="47">
        <f>SUMIF(JournalsC!D$14:D$920,TrialBalanceC!M100,JournalsC!J$14:J$920)+SUMIF(JournalsC!E$14:E$920,TrialBalanceC!M100,JournalsC!J$14:J$920)</f>
        <v>0</v>
      </c>
      <c r="H100" s="288"/>
      <c r="I100" s="291">
        <f t="shared" si="12"/>
        <v>0</v>
      </c>
      <c r="J100" s="75"/>
      <c r="K100" s="48">
        <f t="shared" si="13"/>
        <v>0</v>
      </c>
      <c r="M100" s="140" t="str">
        <f t="shared" si="14"/>
        <v>3000/012Under provision previous year</v>
      </c>
      <c r="N100" s="70"/>
      <c r="P100" s="71"/>
      <c r="Q100" s="51"/>
      <c r="R100" s="31"/>
    </row>
    <row r="101" spans="1:18" x14ac:dyDescent="0.2">
      <c r="A101" s="238"/>
      <c r="B101" s="54" t="s">
        <v>196</v>
      </c>
      <c r="C101" s="240" t="s">
        <v>197</v>
      </c>
      <c r="D101" s="282"/>
      <c r="E101" s="281"/>
      <c r="F101" s="79"/>
      <c r="G101" s="47">
        <f>SUMIF(JournalsC!D$14:D$920,TrialBalanceC!M101,JournalsC!J$14:J$920)+SUMIF(JournalsC!E$14:E$920,TrialBalanceC!M101,JournalsC!J$14:J$920)</f>
        <v>0</v>
      </c>
      <c r="H101" s="288"/>
      <c r="I101" s="291">
        <f t="shared" si="12"/>
        <v>0</v>
      </c>
      <c r="J101" s="75"/>
      <c r="K101" s="48">
        <f t="shared" si="13"/>
        <v>0</v>
      </c>
      <c r="M101" s="140" t="str">
        <f t="shared" si="14"/>
        <v>3000/013Overprovision previous year</v>
      </c>
      <c r="N101" s="70"/>
      <c r="P101" s="71"/>
      <c r="Q101" s="51"/>
      <c r="R101" s="31"/>
    </row>
    <row r="102" spans="1:18" x14ac:dyDescent="0.2">
      <c r="A102" s="238"/>
      <c r="B102" s="54" t="s">
        <v>198</v>
      </c>
      <c r="C102" s="240" t="s">
        <v>199</v>
      </c>
      <c r="D102" s="282"/>
      <c r="E102" s="281"/>
      <c r="F102" s="79"/>
      <c r="G102" s="47">
        <f>SUMIF(JournalsC!D$14:D$920,TrialBalanceC!M102,JournalsC!J$14:J$920)+SUMIF(JournalsC!E$14:E$920,TrialBalanceC!M102,JournalsC!J$14:J$920)</f>
        <v>0</v>
      </c>
      <c r="H102" s="288"/>
      <c r="I102" s="291">
        <f t="shared" si="12"/>
        <v>0</v>
      </c>
      <c r="J102" s="75"/>
      <c r="K102" s="48">
        <f t="shared" si="13"/>
        <v>0</v>
      </c>
      <c r="M102" s="140" t="str">
        <f t="shared" si="14"/>
        <v>3000/014Accounting fees</v>
      </c>
      <c r="N102" s="70"/>
      <c r="P102" s="71"/>
      <c r="Q102" s="51"/>
      <c r="R102" s="31"/>
    </row>
    <row r="103" spans="1:18" x14ac:dyDescent="0.2">
      <c r="A103" s="238"/>
      <c r="B103" s="54" t="s">
        <v>200</v>
      </c>
      <c r="C103" s="240" t="s">
        <v>201</v>
      </c>
      <c r="D103" s="282"/>
      <c r="E103" s="281"/>
      <c r="F103" s="79"/>
      <c r="G103" s="47">
        <f>SUMIF(JournalsC!D$14:D$920,TrialBalanceC!M103,JournalsC!J$14:J$920)+SUMIF(JournalsC!E$14:E$920,TrialBalanceC!M103,JournalsC!J$14:J$920)</f>
        <v>0</v>
      </c>
      <c r="H103" s="288"/>
      <c r="I103" s="291">
        <f>ROUND(D103-E103+G103+F103,0)</f>
        <v>0</v>
      </c>
      <c r="J103" s="75"/>
      <c r="K103" s="48">
        <f t="shared" si="13"/>
        <v>0</v>
      </c>
      <c r="M103" s="140" t="str">
        <f t="shared" si="14"/>
        <v>3000/020Bank charges</v>
      </c>
      <c r="N103" s="70"/>
      <c r="P103" s="71"/>
      <c r="Q103" s="51"/>
      <c r="R103" s="31"/>
    </row>
    <row r="104" spans="1:18" x14ac:dyDescent="0.2">
      <c r="A104" s="238"/>
      <c r="B104" s="54" t="s">
        <v>202</v>
      </c>
      <c r="C104" s="240" t="s">
        <v>203</v>
      </c>
      <c r="D104" s="282"/>
      <c r="E104" s="281"/>
      <c r="F104" s="79"/>
      <c r="G104" s="47">
        <f>SUMIF(JournalsC!D$14:D$920,TrialBalanceC!M104,JournalsC!J$14:J$920)+SUMIF(JournalsC!E$14:E$920,TrialBalanceC!M104,JournalsC!J$14:J$920)</f>
        <v>0</v>
      </c>
      <c r="H104" s="288"/>
      <c r="I104" s="291">
        <f t="shared" ref="I104:I171" si="21">ROUND(D104-E104+G104+F104,0)</f>
        <v>0</v>
      </c>
      <c r="J104" s="75"/>
      <c r="K104" s="48">
        <f t="shared" si="13"/>
        <v>0</v>
      </c>
      <c r="M104" s="140" t="str">
        <f t="shared" si="14"/>
        <v>3000/030Bad debts</v>
      </c>
      <c r="N104" s="70"/>
      <c r="P104" s="71"/>
      <c r="Q104" s="51"/>
      <c r="R104" s="31"/>
    </row>
    <row r="105" spans="1:18" x14ac:dyDescent="0.2">
      <c r="A105" s="238"/>
      <c r="B105" s="54" t="s">
        <v>204</v>
      </c>
      <c r="C105" s="240" t="s">
        <v>240</v>
      </c>
      <c r="D105" s="282"/>
      <c r="E105" s="281"/>
      <c r="F105" s="79"/>
      <c r="G105" s="47">
        <f>SUMIF(JournalsC!D$14:D$920,TrialBalanceC!M105,JournalsC!J$14:J$920)+SUMIF(JournalsC!E$14:E$920,TrialBalanceC!M105,JournalsC!J$14:J$920)</f>
        <v>0</v>
      </c>
      <c r="H105" s="288"/>
      <c r="I105" s="291">
        <f t="shared" si="21"/>
        <v>0</v>
      </c>
      <c r="J105" s="75"/>
      <c r="K105" s="48">
        <f t="shared" si="13"/>
        <v>0</v>
      </c>
      <c r="M105" s="140" t="str">
        <f t="shared" si="14"/>
        <v>3000/040Cleaning</v>
      </c>
      <c r="N105" s="70"/>
      <c r="P105" s="71"/>
      <c r="Q105" s="51"/>
      <c r="R105" s="31"/>
    </row>
    <row r="106" spans="1:18" x14ac:dyDescent="0.2">
      <c r="A106" s="238"/>
      <c r="B106" s="54" t="s">
        <v>205</v>
      </c>
      <c r="C106" s="240" t="s">
        <v>206</v>
      </c>
      <c r="D106" s="282"/>
      <c r="E106" s="281"/>
      <c r="F106" s="79"/>
      <c r="G106" s="47">
        <f>SUMIF(JournalsC!D$14:D$920,TrialBalanceC!M106,JournalsC!J$14:J$920)+SUMIF(JournalsC!E$14:E$920,TrialBalanceC!M106,JournalsC!J$14:J$920)</f>
        <v>0</v>
      </c>
      <c r="H106" s="288"/>
      <c r="I106" s="291">
        <f t="shared" si="21"/>
        <v>0</v>
      </c>
      <c r="J106" s="75"/>
      <c r="K106" s="48">
        <f t="shared" si="13"/>
        <v>0</v>
      </c>
      <c r="M106" s="140" t="str">
        <f t="shared" si="14"/>
        <v>3000/050Computer expenses</v>
      </c>
      <c r="N106" s="70"/>
      <c r="P106" s="71"/>
      <c r="Q106" s="51"/>
      <c r="R106" s="31"/>
    </row>
    <row r="107" spans="1:18" x14ac:dyDescent="0.2">
      <c r="A107" s="238"/>
      <c r="B107" s="90" t="s">
        <v>645</v>
      </c>
      <c r="C107" s="242" t="s">
        <v>680</v>
      </c>
      <c r="D107" s="282"/>
      <c r="E107" s="281"/>
      <c r="F107" s="79"/>
      <c r="G107" s="47">
        <f>SUMIF(JournalsC!D$14:D$920,TrialBalanceC!M107,JournalsC!J$14:J$920)+SUMIF(JournalsC!E$14:E$920,TrialBalanceC!M107,JournalsC!J$14:J$920)</f>
        <v>0</v>
      </c>
      <c r="H107" s="288"/>
      <c r="I107" s="291">
        <f t="shared" ref="I107" si="22">ROUND(D107-E107+G107+F107,0)</f>
        <v>0</v>
      </c>
      <c r="J107" s="75"/>
      <c r="K107" s="48">
        <f t="shared" ref="K107" si="23">ROUND(SUM(A107),0)</f>
        <v>0</v>
      </c>
      <c r="M107" s="140" t="str">
        <f t="shared" ref="M107" si="24">CONCATENATE(B107,C107)</f>
        <v>3000/055Consulting and professional fees</v>
      </c>
      <c r="N107" s="70"/>
      <c r="P107" s="71"/>
      <c r="Q107" s="51"/>
      <c r="R107" s="31"/>
    </row>
    <row r="108" spans="1:18" x14ac:dyDescent="0.2">
      <c r="A108" s="238"/>
      <c r="B108" s="90" t="s">
        <v>1211</v>
      </c>
      <c r="C108" s="242" t="s">
        <v>1212</v>
      </c>
      <c r="D108" s="282"/>
      <c r="E108" s="281"/>
      <c r="F108" s="79"/>
      <c r="G108" s="47">
        <f>SUMIF(JournalsC!D$14:D$920,TrialBalanceC!M108,JournalsC!J$14:J$920)+SUMIF(JournalsC!E$14:E$920,TrialBalanceC!M108,JournalsC!J$14:J$920)</f>
        <v>0</v>
      </c>
      <c r="H108" s="288"/>
      <c r="I108" s="291">
        <f t="shared" ref="I108" si="25">ROUND(D108-E108+G108+F108,0)</f>
        <v>0</v>
      </c>
      <c r="J108" s="75"/>
      <c r="K108" s="48">
        <f t="shared" ref="K108" si="26">ROUND(SUM(A108),0)</f>
        <v>0</v>
      </c>
      <c r="M108" s="140" t="str">
        <f t="shared" ref="M108" si="27">CONCATENATE(B108,C108)</f>
        <v>3000/058Defined contribution plan expense</v>
      </c>
      <c r="N108" s="70"/>
      <c r="P108" s="71"/>
      <c r="Q108" s="51"/>
      <c r="R108" s="31"/>
    </row>
    <row r="109" spans="1:18" x14ac:dyDescent="0.2">
      <c r="A109" s="238"/>
      <c r="B109" s="54" t="s">
        <v>207</v>
      </c>
      <c r="C109" s="239" t="s">
        <v>387</v>
      </c>
      <c r="D109" s="283"/>
      <c r="E109" s="281"/>
      <c r="F109" s="79"/>
      <c r="G109" s="47">
        <f>SUMIF(JournalsC!D$14:D$920,TrialBalanceC!M109,JournalsC!J$14:J$920)+SUMIF(JournalsC!E$14:E$920,TrialBalanceC!M109,JournalsC!J$14:J$920)</f>
        <v>0</v>
      </c>
      <c r="H109" s="288"/>
      <c r="I109" s="291">
        <f t="shared" si="21"/>
        <v>0</v>
      </c>
      <c r="J109" s="75"/>
      <c r="K109" s="48">
        <f t="shared" si="13"/>
        <v>0</v>
      </c>
      <c r="M109" s="140" t="str">
        <f t="shared" si="14"/>
        <v>3000/060Depreciation----------------------------</v>
      </c>
      <c r="N109" s="70"/>
      <c r="P109" s="71"/>
      <c r="Q109" s="51"/>
      <c r="R109" s="31"/>
    </row>
    <row r="110" spans="1:18" x14ac:dyDescent="0.2">
      <c r="A110" s="238"/>
      <c r="B110" s="90" t="s">
        <v>208</v>
      </c>
      <c r="C110" s="241" t="s">
        <v>48</v>
      </c>
      <c r="D110" s="281"/>
      <c r="E110" s="281"/>
      <c r="F110" s="79"/>
      <c r="G110" s="47">
        <f>SUMIF(JournalsC!D$14:D$920,TrialBalanceC!M110,JournalsC!J$14:J$920)+SUMIF(JournalsC!E$14:E$920,TrialBalanceC!M110,JournalsC!J$14:J$920)</f>
        <v>0</v>
      </c>
      <c r="H110" s="288"/>
      <c r="I110" s="291">
        <f t="shared" si="21"/>
        <v>0</v>
      </c>
      <c r="J110" s="75"/>
      <c r="K110" s="48">
        <f t="shared" si="13"/>
        <v>0</v>
      </c>
      <c r="M110" s="140" t="str">
        <f t="shared" si="14"/>
        <v>3000/061Depr - Electronic equipment</v>
      </c>
      <c r="N110" s="70"/>
      <c r="P110" s="71"/>
      <c r="Q110" s="51"/>
      <c r="R110" s="31"/>
    </row>
    <row r="111" spans="1:18" x14ac:dyDescent="0.2">
      <c r="A111" s="238"/>
      <c r="B111" s="90" t="s">
        <v>335</v>
      </c>
      <c r="C111" s="242" t="s">
        <v>718</v>
      </c>
      <c r="D111" s="282"/>
      <c r="E111" s="281"/>
      <c r="F111" s="79"/>
      <c r="G111" s="47">
        <f>SUMIF(JournalsC!D$14:D$920,TrialBalanceC!M111,JournalsC!J$14:J$920)+SUMIF(JournalsC!E$14:E$920,TrialBalanceC!M111,JournalsC!J$14:J$920)</f>
        <v>0</v>
      </c>
      <c r="H111" s="288"/>
      <c r="I111" s="291">
        <f t="shared" si="21"/>
        <v>0</v>
      </c>
      <c r="J111" s="75"/>
      <c r="K111" s="48">
        <f t="shared" si="13"/>
        <v>0</v>
      </c>
      <c r="M111" s="140" t="str">
        <f t="shared" si="14"/>
        <v>3000/063Depr - Furniture and fittings</v>
      </c>
      <c r="N111" s="70"/>
      <c r="P111" s="71"/>
      <c r="Q111" s="51"/>
      <c r="R111" s="31"/>
    </row>
    <row r="112" spans="1:18" x14ac:dyDescent="0.2">
      <c r="A112" s="238"/>
      <c r="B112" s="54" t="s">
        <v>336</v>
      </c>
      <c r="C112" s="239" t="s">
        <v>574</v>
      </c>
      <c r="D112" s="283"/>
      <c r="E112" s="281"/>
      <c r="F112" s="79"/>
      <c r="G112" s="47">
        <f>SUMIF(JournalsC!D$14:D$920,TrialBalanceC!M112,JournalsC!J$14:J$920)+SUMIF(JournalsC!E$14:E$920,TrialBalanceC!M112,JournalsC!J$14:J$920)</f>
        <v>0</v>
      </c>
      <c r="H112" s="288"/>
      <c r="I112" s="291">
        <f t="shared" si="21"/>
        <v>0</v>
      </c>
      <c r="J112" s="75"/>
      <c r="K112" s="48">
        <f t="shared" si="13"/>
        <v>0</v>
      </c>
      <c r="M112" s="140" t="str">
        <f t="shared" si="14"/>
        <v>3000/070Directors' remuneration-----------------</v>
      </c>
      <c r="N112" s="70"/>
      <c r="P112" s="71"/>
      <c r="Q112" s="51"/>
      <c r="R112" s="31"/>
    </row>
    <row r="113" spans="1:18" x14ac:dyDescent="0.2">
      <c r="A113" s="238"/>
      <c r="B113" s="54" t="s">
        <v>337</v>
      </c>
      <c r="C113" s="276" t="str">
        <f>Criteria!E38</f>
        <v>A Director</v>
      </c>
      <c r="D113" s="281"/>
      <c r="E113" s="281"/>
      <c r="F113" s="79"/>
      <c r="G113" s="47">
        <f>SUMIF(JournalsC!D$14:D$920,TrialBalanceC!M113,JournalsC!J$14:J$920)+SUMIF(JournalsC!E$14:E$920,TrialBalanceC!M113,JournalsC!J$14:J$920)</f>
        <v>0</v>
      </c>
      <c r="H113" s="288"/>
      <c r="I113" s="291">
        <f t="shared" si="21"/>
        <v>0</v>
      </c>
      <c r="J113" s="75"/>
      <c r="K113" s="48">
        <f t="shared" si="13"/>
        <v>0</v>
      </c>
      <c r="M113" s="140" t="str">
        <f t="shared" si="14"/>
        <v>3000/071A Director</v>
      </c>
      <c r="N113" s="70"/>
      <c r="P113" s="71"/>
      <c r="Q113" s="51"/>
      <c r="R113" s="31"/>
    </row>
    <row r="114" spans="1:18" x14ac:dyDescent="0.2">
      <c r="A114" s="238"/>
      <c r="B114" s="54" t="s">
        <v>338</v>
      </c>
      <c r="C114" s="276" t="str">
        <f>Criteria!E39</f>
        <v>B Director</v>
      </c>
      <c r="D114" s="281"/>
      <c r="E114" s="281"/>
      <c r="F114" s="79"/>
      <c r="G114" s="47">
        <f>SUMIF(JournalsC!D$14:D$920,TrialBalanceC!M114,JournalsC!J$14:J$920)+SUMIF(JournalsC!E$14:E$920,TrialBalanceC!M114,JournalsC!J$14:J$920)</f>
        <v>0</v>
      </c>
      <c r="H114" s="288"/>
      <c r="I114" s="291">
        <f t="shared" si="21"/>
        <v>0</v>
      </c>
      <c r="J114" s="75"/>
      <c r="K114" s="48">
        <f t="shared" si="13"/>
        <v>0</v>
      </c>
      <c r="M114" s="140" t="str">
        <f t="shared" si="14"/>
        <v>3000/072B Director</v>
      </c>
      <c r="N114" s="70"/>
      <c r="P114" s="71"/>
      <c r="Q114" s="51"/>
      <c r="R114" s="31"/>
    </row>
    <row r="115" spans="1:18" x14ac:dyDescent="0.2">
      <c r="A115" s="238"/>
      <c r="B115" s="54" t="s">
        <v>339</v>
      </c>
      <c r="C115" s="276">
        <f>Criteria!E40</f>
        <v>0</v>
      </c>
      <c r="D115" s="281"/>
      <c r="E115" s="281"/>
      <c r="F115" s="79"/>
      <c r="G115" s="47">
        <f>SUMIF(JournalsC!D$14:D$920,TrialBalanceC!M115,JournalsC!J$14:J$920)+SUMIF(JournalsC!E$14:E$920,TrialBalanceC!M115,JournalsC!J$14:J$920)</f>
        <v>0</v>
      </c>
      <c r="H115" s="288"/>
      <c r="I115" s="291">
        <f t="shared" si="21"/>
        <v>0</v>
      </c>
      <c r="J115" s="75"/>
      <c r="K115" s="48">
        <f t="shared" si="13"/>
        <v>0</v>
      </c>
      <c r="M115" s="140" t="str">
        <f t="shared" si="14"/>
        <v>3000/0730</v>
      </c>
      <c r="N115" s="70"/>
      <c r="P115" s="71"/>
      <c r="Q115" s="51"/>
      <c r="R115" s="31"/>
    </row>
    <row r="116" spans="1:18" x14ac:dyDescent="0.2">
      <c r="A116" s="238"/>
      <c r="B116" s="54" t="s">
        <v>340</v>
      </c>
      <c r="C116" s="276">
        <f>Criteria!E41</f>
        <v>0</v>
      </c>
      <c r="D116" s="281"/>
      <c r="E116" s="281"/>
      <c r="F116" s="79"/>
      <c r="G116" s="47">
        <f>SUMIF(JournalsC!D$14:D$920,TrialBalanceC!M116,JournalsC!J$14:J$920)+SUMIF(JournalsC!E$14:E$920,TrialBalanceC!M116,JournalsC!J$14:J$920)</f>
        <v>0</v>
      </c>
      <c r="H116" s="288"/>
      <c r="I116" s="291">
        <f t="shared" si="21"/>
        <v>0</v>
      </c>
      <c r="J116" s="75"/>
      <c r="K116" s="48">
        <f t="shared" si="13"/>
        <v>0</v>
      </c>
      <c r="M116" s="140" t="str">
        <f t="shared" si="14"/>
        <v>3000/0740</v>
      </c>
      <c r="N116" s="70"/>
      <c r="P116" s="71"/>
      <c r="Q116" s="51"/>
      <c r="R116" s="31"/>
    </row>
    <row r="117" spans="1:18" x14ac:dyDescent="0.2">
      <c r="A117" s="238"/>
      <c r="B117" s="54" t="s">
        <v>341</v>
      </c>
      <c r="C117" s="276">
        <f>Criteria!E42</f>
        <v>0</v>
      </c>
      <c r="D117" s="282"/>
      <c r="E117" s="281"/>
      <c r="F117" s="79"/>
      <c r="G117" s="47">
        <f>SUMIF(JournalsC!D$14:D$920,TrialBalanceC!M117,JournalsC!J$14:J$920)+SUMIF(JournalsC!E$14:E$920,TrialBalanceC!M117,JournalsC!J$14:J$920)</f>
        <v>0</v>
      </c>
      <c r="H117" s="288"/>
      <c r="I117" s="291">
        <f t="shared" si="21"/>
        <v>0</v>
      </c>
      <c r="J117" s="75"/>
      <c r="K117" s="48">
        <f t="shared" si="13"/>
        <v>0</v>
      </c>
      <c r="M117" s="140" t="str">
        <f t="shared" si="14"/>
        <v>3000/0750</v>
      </c>
      <c r="N117" s="70"/>
      <c r="P117" s="71"/>
      <c r="Q117" s="51"/>
      <c r="R117" s="31"/>
    </row>
    <row r="118" spans="1:18" x14ac:dyDescent="0.2">
      <c r="A118" s="238"/>
      <c r="B118" s="54" t="s">
        <v>342</v>
      </c>
      <c r="C118" s="240" t="s">
        <v>241</v>
      </c>
      <c r="D118" s="282"/>
      <c r="E118" s="281"/>
      <c r="F118" s="79"/>
      <c r="G118" s="47">
        <f>SUMIF(JournalsC!D$14:D$920,TrialBalanceC!M118,JournalsC!J$14:J$920)+SUMIF(JournalsC!E$14:E$920,TrialBalanceC!M118,JournalsC!J$14:J$920)</f>
        <v>0</v>
      </c>
      <c r="H118" s="288"/>
      <c r="I118" s="291">
        <f t="shared" si="21"/>
        <v>0</v>
      </c>
      <c r="J118" s="75"/>
      <c r="K118" s="48">
        <f t="shared" si="13"/>
        <v>0</v>
      </c>
      <c r="M118" s="140" t="str">
        <f t="shared" si="14"/>
        <v>3000/080Donations</v>
      </c>
      <c r="N118" s="70"/>
      <c r="P118" s="71"/>
      <c r="Q118" s="51"/>
      <c r="R118" s="31"/>
    </row>
    <row r="119" spans="1:18" x14ac:dyDescent="0.2">
      <c r="A119" s="238"/>
      <c r="B119" s="54" t="s">
        <v>343</v>
      </c>
      <c r="C119" s="240" t="s">
        <v>344</v>
      </c>
      <c r="D119" s="282"/>
      <c r="E119" s="281"/>
      <c r="F119" s="79"/>
      <c r="G119" s="47">
        <f>SUMIF(JournalsC!D$14:D$920,TrialBalanceC!M119,JournalsC!J$14:J$920)+SUMIF(JournalsC!E$14:E$920,TrialBalanceC!M119,JournalsC!J$14:J$920)</f>
        <v>0</v>
      </c>
      <c r="H119" s="288"/>
      <c r="I119" s="291">
        <f t="shared" si="21"/>
        <v>0</v>
      </c>
      <c r="J119" s="75"/>
      <c r="K119" s="48">
        <f t="shared" si="13"/>
        <v>0</v>
      </c>
      <c r="M119" s="140" t="str">
        <f t="shared" si="14"/>
        <v>3000/090Entertainment expenses</v>
      </c>
      <c r="N119" s="70"/>
      <c r="P119" s="71"/>
      <c r="Q119" s="51"/>
      <c r="R119" s="31"/>
    </row>
    <row r="120" spans="1:18" x14ac:dyDescent="0.2">
      <c r="A120" s="238"/>
      <c r="B120" s="56" t="s">
        <v>56</v>
      </c>
      <c r="C120" s="246" t="s">
        <v>305</v>
      </c>
      <c r="D120" s="272"/>
      <c r="E120" s="281"/>
      <c r="F120" s="79"/>
      <c r="G120" s="47">
        <f>SUMIF(JournalsC!D$14:D$920,TrialBalanceC!M120,JournalsC!J$14:J$920)+SUMIF(JournalsC!E$14:E$920,TrialBalanceC!M120,JournalsC!J$14:J$920)</f>
        <v>0</v>
      </c>
      <c r="H120" s="288"/>
      <c r="I120" s="291">
        <f t="shared" si="21"/>
        <v>0</v>
      </c>
      <c r="J120" s="75"/>
      <c r="K120" s="48">
        <f t="shared" si="13"/>
        <v>0</v>
      </c>
      <c r="M120" s="140" t="str">
        <f t="shared" si="14"/>
        <v>3000/095Fines</v>
      </c>
      <c r="N120" s="70"/>
      <c r="P120" s="71"/>
      <c r="Q120" s="51"/>
      <c r="R120" s="31"/>
    </row>
    <row r="121" spans="1:18" x14ac:dyDescent="0.2">
      <c r="A121" s="238"/>
      <c r="B121" s="54" t="s">
        <v>345</v>
      </c>
      <c r="C121" s="240" t="s">
        <v>346</v>
      </c>
      <c r="D121" s="282"/>
      <c r="E121" s="281"/>
      <c r="F121" s="79"/>
      <c r="G121" s="47">
        <f>SUMIF(JournalsC!D$14:D$920,TrialBalanceC!M121,JournalsC!J$14:J$920)+SUMIF(JournalsC!E$14:E$920,TrialBalanceC!M121,JournalsC!J$14:J$920)</f>
        <v>0</v>
      </c>
      <c r="H121" s="288"/>
      <c r="I121" s="291">
        <f t="shared" si="21"/>
        <v>0</v>
      </c>
      <c r="J121" s="75"/>
      <c r="K121" s="48">
        <f t="shared" si="13"/>
        <v>0</v>
      </c>
      <c r="M121" s="140" t="str">
        <f t="shared" si="14"/>
        <v>3000/100General expenses</v>
      </c>
      <c r="N121" s="70"/>
      <c r="P121" s="71"/>
      <c r="Q121" s="51"/>
      <c r="R121" s="31"/>
    </row>
    <row r="122" spans="1:18" x14ac:dyDescent="0.2">
      <c r="A122" s="238"/>
      <c r="B122" s="54" t="s">
        <v>276</v>
      </c>
      <c r="C122" s="241" t="s">
        <v>715</v>
      </c>
      <c r="D122" s="272"/>
      <c r="E122" s="281"/>
      <c r="F122" s="79"/>
      <c r="G122" s="47">
        <f>SUMIF(JournalsC!D$14:D$920,TrialBalanceC!M122,JournalsC!J$14:J$920)+SUMIF(JournalsC!E$14:E$920,TrialBalanceC!M122,JournalsC!J$14:J$920)</f>
        <v>0</v>
      </c>
      <c r="H122" s="288"/>
      <c r="I122" s="291">
        <f t="shared" si="21"/>
        <v>0</v>
      </c>
      <c r="J122" s="75"/>
      <c r="K122" s="48">
        <f t="shared" si="13"/>
        <v>0</v>
      </c>
      <c r="M122" s="140" t="str">
        <f t="shared" si="14"/>
        <v>3000/110Legal expenses - tax deductible</v>
      </c>
      <c r="N122" s="70"/>
      <c r="P122" s="71"/>
      <c r="Q122" s="51"/>
      <c r="R122" s="31"/>
    </row>
    <row r="123" spans="1:18" x14ac:dyDescent="0.2">
      <c r="A123" s="238"/>
      <c r="B123" s="54" t="s">
        <v>420</v>
      </c>
      <c r="C123" s="241" t="s">
        <v>716</v>
      </c>
      <c r="D123" s="272"/>
      <c r="E123" s="281"/>
      <c r="F123" s="79"/>
      <c r="G123" s="47">
        <f>SUMIF(JournalsC!D$14:D$920,TrialBalanceC!M123,JournalsC!J$14:J$920)+SUMIF(JournalsC!E$14:E$920,TrialBalanceC!M123,JournalsC!J$14:J$920)</f>
        <v>0</v>
      </c>
      <c r="H123" s="288"/>
      <c r="I123" s="291">
        <f t="shared" si="21"/>
        <v>0</v>
      </c>
      <c r="J123" s="75"/>
      <c r="K123" s="48">
        <f t="shared" si="13"/>
        <v>0</v>
      </c>
      <c r="M123" s="140" t="str">
        <f t="shared" si="14"/>
        <v>3000/111Legal expenses - non deductible</v>
      </c>
      <c r="N123" s="70"/>
      <c r="P123" s="71"/>
      <c r="Q123" s="51"/>
      <c r="R123" s="31"/>
    </row>
    <row r="124" spans="1:18" x14ac:dyDescent="0.2">
      <c r="A124" s="238"/>
      <c r="B124" s="54" t="s">
        <v>277</v>
      </c>
      <c r="C124" s="240" t="s">
        <v>278</v>
      </c>
      <c r="D124" s="282"/>
      <c r="E124" s="281"/>
      <c r="F124" s="79"/>
      <c r="G124" s="47">
        <f>SUMIF(JournalsC!D$14:D$920,TrialBalanceC!M124,JournalsC!J$14:J$920)+SUMIF(JournalsC!E$14:E$920,TrialBalanceC!M124,JournalsC!J$14:J$920)</f>
        <v>0</v>
      </c>
      <c r="H124" s="288"/>
      <c r="I124" s="291">
        <f t="shared" si="21"/>
        <v>0</v>
      </c>
      <c r="J124" s="75"/>
      <c r="K124" s="48">
        <f t="shared" si="13"/>
        <v>0</v>
      </c>
      <c r="M124" s="140" t="str">
        <f t="shared" si="14"/>
        <v>3000/120Printing and stationary</v>
      </c>
      <c r="N124" s="70"/>
      <c r="P124" s="71"/>
      <c r="Q124" s="51"/>
      <c r="R124" s="31"/>
    </row>
    <row r="125" spans="1:18" x14ac:dyDescent="0.2">
      <c r="A125" s="238"/>
      <c r="B125" s="54" t="s">
        <v>279</v>
      </c>
      <c r="C125" s="240" t="s">
        <v>242</v>
      </c>
      <c r="D125" s="282"/>
      <c r="E125" s="281"/>
      <c r="F125" s="79"/>
      <c r="G125" s="47">
        <f>SUMIF(JournalsC!D$14:D$920,TrialBalanceC!M125,JournalsC!J$14:J$920)+SUMIF(JournalsC!E$14:E$920,TrialBalanceC!M125,JournalsC!J$14:J$920)</f>
        <v>0</v>
      </c>
      <c r="H125" s="288"/>
      <c r="I125" s="291">
        <f t="shared" si="21"/>
        <v>0</v>
      </c>
      <c r="J125" s="75"/>
      <c r="K125" s="48">
        <f t="shared" si="13"/>
        <v>0</v>
      </c>
      <c r="M125" s="140" t="str">
        <f t="shared" si="14"/>
        <v>3000/130Refreshments</v>
      </c>
      <c r="N125" s="70"/>
      <c r="P125" s="71"/>
      <c r="Q125" s="51"/>
      <c r="R125" s="31"/>
    </row>
    <row r="126" spans="1:18" x14ac:dyDescent="0.2">
      <c r="A126" s="238"/>
      <c r="B126" s="54" t="s">
        <v>280</v>
      </c>
      <c r="C126" s="240" t="s">
        <v>59</v>
      </c>
      <c r="D126" s="282"/>
      <c r="E126" s="281"/>
      <c r="F126" s="79"/>
      <c r="G126" s="47">
        <f>SUMIF(JournalsC!D$14:D$920,TrialBalanceC!M126,JournalsC!J$14:J$920)+SUMIF(JournalsC!E$14:E$920,TrialBalanceC!M126,JournalsC!J$14:J$920)</f>
        <v>0</v>
      </c>
      <c r="H126" s="288"/>
      <c r="I126" s="291">
        <f t="shared" si="21"/>
        <v>0</v>
      </c>
      <c r="J126" s="75"/>
      <c r="K126" s="48">
        <f t="shared" si="13"/>
        <v>0</v>
      </c>
      <c r="M126" s="140" t="str">
        <f t="shared" si="14"/>
        <v>3000/140Salaries</v>
      </c>
      <c r="N126" s="70"/>
      <c r="P126" s="71"/>
      <c r="Q126" s="51"/>
      <c r="R126" s="31"/>
    </row>
    <row r="127" spans="1:18" x14ac:dyDescent="0.2">
      <c r="A127" s="238"/>
      <c r="B127" s="90" t="s">
        <v>281</v>
      </c>
      <c r="C127" s="240" t="s">
        <v>63</v>
      </c>
      <c r="D127" s="282"/>
      <c r="E127" s="281"/>
      <c r="F127" s="79"/>
      <c r="G127" s="47">
        <f>SUMIF(JournalsC!D$14:D$920,TrialBalanceC!M127,JournalsC!J$14:J$920)+SUMIF(JournalsC!E$14:E$920,TrialBalanceC!M127,JournalsC!J$14:J$920)</f>
        <v>0</v>
      </c>
      <c r="H127" s="288"/>
      <c r="I127" s="291">
        <f t="shared" si="21"/>
        <v>0</v>
      </c>
      <c r="J127" s="75"/>
      <c r="K127" s="48">
        <f t="shared" si="13"/>
        <v>0</v>
      </c>
      <c r="M127" s="140" t="str">
        <f t="shared" si="14"/>
        <v>3000/141Casual wages</v>
      </c>
      <c r="N127" s="70"/>
      <c r="P127" s="71"/>
      <c r="Q127" s="51"/>
      <c r="R127" s="31"/>
    </row>
    <row r="128" spans="1:18" x14ac:dyDescent="0.2">
      <c r="A128" s="238"/>
      <c r="B128" s="54" t="s">
        <v>282</v>
      </c>
      <c r="C128" s="240" t="s">
        <v>243</v>
      </c>
      <c r="D128" s="282"/>
      <c r="E128" s="281"/>
      <c r="F128" s="79"/>
      <c r="G128" s="47">
        <f>SUMIF(JournalsC!D$14:D$920,TrialBalanceC!M128,JournalsC!J$14:J$920)+SUMIF(JournalsC!E$14:E$920,TrialBalanceC!M128,JournalsC!J$14:J$920)</f>
        <v>0</v>
      </c>
      <c r="H128" s="288"/>
      <c r="I128" s="291">
        <f t="shared" si="21"/>
        <v>0</v>
      </c>
      <c r="J128" s="75"/>
      <c r="K128" s="48">
        <f t="shared" si="13"/>
        <v>0</v>
      </c>
      <c r="M128" s="140" t="str">
        <f t="shared" si="14"/>
        <v>3000/150Security</v>
      </c>
      <c r="N128" s="70"/>
      <c r="P128" s="71"/>
      <c r="Q128" s="51"/>
      <c r="R128" s="31"/>
    </row>
    <row r="129" spans="1:18" x14ac:dyDescent="0.2">
      <c r="A129" s="238"/>
      <c r="B129" s="54" t="s">
        <v>283</v>
      </c>
      <c r="C129" s="242" t="s">
        <v>682</v>
      </c>
      <c r="D129" s="284"/>
      <c r="E129" s="281"/>
      <c r="F129" s="79"/>
      <c r="G129" s="47">
        <f>SUMIF(JournalsC!D$14:D$920,TrialBalanceC!M129,JournalsC!J$14:J$920)+SUMIF(JournalsC!E$14:E$920,TrialBalanceC!M129,JournalsC!J$14:J$920)</f>
        <v>0</v>
      </c>
      <c r="H129" s="288"/>
      <c r="I129" s="291">
        <f t="shared" si="21"/>
        <v>0</v>
      </c>
      <c r="J129" s="75"/>
      <c r="K129" s="48">
        <f t="shared" si="13"/>
        <v>0</v>
      </c>
      <c r="M129" s="140" t="str">
        <f t="shared" si="14"/>
        <v>3000/160Subscriptions and membership fees</v>
      </c>
      <c r="N129" s="70"/>
      <c r="P129" s="71"/>
      <c r="Q129" s="51"/>
      <c r="R129" s="31"/>
    </row>
    <row r="130" spans="1:18" x14ac:dyDescent="0.2">
      <c r="A130" s="238"/>
      <c r="B130" s="54" t="s">
        <v>308</v>
      </c>
      <c r="C130" s="242" t="s">
        <v>717</v>
      </c>
      <c r="D130" s="282"/>
      <c r="E130" s="281"/>
      <c r="F130" s="79"/>
      <c r="G130" s="47">
        <f>SUMIF(JournalsC!D$14:D$920,TrialBalanceC!M130,JournalsC!J$14:J$920)+SUMIF(JournalsC!E$14:E$920,TrialBalanceC!M130,JournalsC!J$14:J$920)</f>
        <v>0</v>
      </c>
      <c r="H130" s="288"/>
      <c r="I130" s="291">
        <f t="shared" si="21"/>
        <v>0</v>
      </c>
      <c r="J130" s="75"/>
      <c r="K130" s="48">
        <f t="shared" si="13"/>
        <v>0</v>
      </c>
      <c r="M130" s="140" t="str">
        <f t="shared" si="14"/>
        <v>3000/170Penalties and interest - SARS</v>
      </c>
      <c r="N130" s="70"/>
      <c r="P130" s="71"/>
      <c r="Q130" s="51"/>
      <c r="R130" s="31"/>
    </row>
    <row r="131" spans="1:18" x14ac:dyDescent="0.2">
      <c r="A131" s="238"/>
      <c r="B131" s="54" t="s">
        <v>254</v>
      </c>
      <c r="C131" s="276"/>
      <c r="D131" s="281"/>
      <c r="E131" s="281"/>
      <c r="F131" s="79"/>
      <c r="G131" s="47">
        <f>SUMIF(JournalsC!D$14:D$920,TrialBalanceC!M131,JournalsC!J$14:J$920)+SUMIF(JournalsC!E$14:E$920,TrialBalanceC!M131,JournalsC!J$14:J$920)</f>
        <v>0</v>
      </c>
      <c r="H131" s="288"/>
      <c r="I131" s="291">
        <f t="shared" si="21"/>
        <v>0</v>
      </c>
      <c r="J131" s="75"/>
      <c r="K131" s="48">
        <f t="shared" si="13"/>
        <v>0</v>
      </c>
      <c r="M131" s="140" t="str">
        <f t="shared" si="14"/>
        <v>3000/180</v>
      </c>
      <c r="N131" s="70"/>
      <c r="P131" s="71"/>
      <c r="Q131" s="51"/>
      <c r="R131" s="31"/>
    </row>
    <row r="132" spans="1:18" x14ac:dyDescent="0.2">
      <c r="A132" s="238"/>
      <c r="B132" s="54" t="s">
        <v>255</v>
      </c>
      <c r="C132" s="276"/>
      <c r="D132" s="281"/>
      <c r="E132" s="281"/>
      <c r="F132" s="79"/>
      <c r="G132" s="47">
        <f>SUMIF(JournalsC!D$14:D$920,TrialBalanceC!M132,JournalsC!J$14:J$920)+SUMIF(JournalsC!E$14:E$920,TrialBalanceC!M132,JournalsC!J$14:J$920)</f>
        <v>0</v>
      </c>
      <c r="H132" s="288"/>
      <c r="I132" s="291">
        <f t="shared" si="21"/>
        <v>0</v>
      </c>
      <c r="J132" s="75"/>
      <c r="K132" s="48">
        <f t="shared" si="13"/>
        <v>0</v>
      </c>
      <c r="M132" s="140" t="str">
        <f t="shared" si="14"/>
        <v>3000/190</v>
      </c>
      <c r="N132" s="70"/>
      <c r="P132" s="71"/>
      <c r="Q132" s="51"/>
      <c r="R132" s="31"/>
    </row>
    <row r="133" spans="1:18" x14ac:dyDescent="0.2">
      <c r="A133" s="238"/>
      <c r="B133" s="54" t="s">
        <v>256</v>
      </c>
      <c r="C133" s="277"/>
      <c r="D133" s="272"/>
      <c r="E133" s="281"/>
      <c r="F133" s="79"/>
      <c r="G133" s="47">
        <f>SUMIF(JournalsC!D$14:D$920,TrialBalanceC!M133,JournalsC!J$14:J$920)+SUMIF(JournalsC!E$14:E$920,TrialBalanceC!M133,JournalsC!J$14:J$920)</f>
        <v>0</v>
      </c>
      <c r="H133" s="288"/>
      <c r="I133" s="291">
        <f t="shared" si="21"/>
        <v>0</v>
      </c>
      <c r="J133" s="75"/>
      <c r="K133" s="48">
        <f t="shared" si="13"/>
        <v>0</v>
      </c>
      <c r="M133" s="140" t="str">
        <f t="shared" si="14"/>
        <v>3000/200</v>
      </c>
      <c r="N133" s="70"/>
      <c r="P133" s="71"/>
      <c r="Q133" s="51"/>
      <c r="R133" s="31"/>
    </row>
    <row r="134" spans="1:18" x14ac:dyDescent="0.2">
      <c r="A134" s="238"/>
      <c r="B134" s="54" t="s">
        <v>257</v>
      </c>
      <c r="C134" s="277"/>
      <c r="D134" s="272"/>
      <c r="E134" s="281"/>
      <c r="F134" s="79"/>
      <c r="G134" s="47">
        <f>SUMIF(JournalsC!D$14:D$920,TrialBalanceC!M134,JournalsC!J$14:J$920)+SUMIF(JournalsC!E$14:E$920,TrialBalanceC!M134,JournalsC!J$14:J$920)</f>
        <v>0</v>
      </c>
      <c r="H134" s="288"/>
      <c r="I134" s="291">
        <f t="shared" si="21"/>
        <v>0</v>
      </c>
      <c r="J134" s="75"/>
      <c r="K134" s="48">
        <f t="shared" si="13"/>
        <v>0</v>
      </c>
      <c r="M134" s="140" t="str">
        <f t="shared" si="14"/>
        <v>3000/210</v>
      </c>
      <c r="N134" s="70"/>
      <c r="P134" s="71"/>
      <c r="Q134" s="51"/>
      <c r="R134" s="31"/>
    </row>
    <row r="135" spans="1:18" x14ac:dyDescent="0.2">
      <c r="A135" s="238"/>
      <c r="B135" s="54" t="s">
        <v>258</v>
      </c>
      <c r="C135" s="277"/>
      <c r="D135" s="272"/>
      <c r="E135" s="281"/>
      <c r="F135" s="79"/>
      <c r="G135" s="47">
        <f>SUMIF(JournalsC!D$14:D$920,TrialBalanceC!M135,JournalsC!J$14:J$920)+SUMIF(JournalsC!E$14:E$920,TrialBalanceC!M135,JournalsC!J$14:J$920)</f>
        <v>0</v>
      </c>
      <c r="H135" s="288"/>
      <c r="I135" s="291">
        <f t="shared" si="21"/>
        <v>0</v>
      </c>
      <c r="J135" s="75"/>
      <c r="K135" s="48">
        <f t="shared" si="13"/>
        <v>0</v>
      </c>
      <c r="M135" s="140" t="str">
        <f t="shared" si="14"/>
        <v>3000/220</v>
      </c>
      <c r="N135" s="70"/>
      <c r="P135" s="71"/>
      <c r="Q135" s="51"/>
      <c r="R135" s="31"/>
    </row>
    <row r="136" spans="1:18" x14ac:dyDescent="0.2">
      <c r="A136" s="238"/>
      <c r="B136" s="90" t="s">
        <v>502</v>
      </c>
      <c r="C136" s="277"/>
      <c r="D136" s="272"/>
      <c r="E136" s="281"/>
      <c r="F136" s="79"/>
      <c r="G136" s="47">
        <f>SUMIF(JournalsC!D$14:D$920,TrialBalanceC!M136,JournalsC!J$14:J$920)+SUMIF(JournalsC!E$14:E$920,TrialBalanceC!M136,JournalsC!J$14:J$920)</f>
        <v>0</v>
      </c>
      <c r="H136" s="288"/>
      <c r="I136" s="291">
        <f t="shared" si="21"/>
        <v>0</v>
      </c>
      <c r="J136" s="75"/>
      <c r="K136" s="48">
        <f t="shared" si="13"/>
        <v>0</v>
      </c>
      <c r="M136" s="140" t="str">
        <f t="shared" si="14"/>
        <v>3000/230</v>
      </c>
      <c r="N136" s="70"/>
      <c r="P136" s="71"/>
      <c r="Q136" s="51"/>
      <c r="R136" s="31"/>
    </row>
    <row r="137" spans="1:18" x14ac:dyDescent="0.2">
      <c r="A137" s="238"/>
      <c r="B137" s="90" t="s">
        <v>503</v>
      </c>
      <c r="C137" s="277"/>
      <c r="D137" s="272"/>
      <c r="E137" s="281"/>
      <c r="F137" s="79"/>
      <c r="G137" s="47">
        <f>SUMIF(JournalsC!D$14:D$920,TrialBalanceC!M137,JournalsC!J$14:J$920)+SUMIF(JournalsC!E$14:E$920,TrialBalanceC!M137,JournalsC!J$14:J$920)</f>
        <v>0</v>
      </c>
      <c r="H137" s="288"/>
      <c r="I137" s="291">
        <f t="shared" si="21"/>
        <v>0</v>
      </c>
      <c r="J137" s="75"/>
      <c r="K137" s="48">
        <f t="shared" si="13"/>
        <v>0</v>
      </c>
      <c r="M137" s="140" t="str">
        <f t="shared" si="14"/>
        <v>3000/240</v>
      </c>
      <c r="N137" s="70"/>
      <c r="P137" s="71"/>
      <c r="Q137" s="51"/>
      <c r="R137" s="31"/>
    </row>
    <row r="138" spans="1:18" x14ac:dyDescent="0.2">
      <c r="A138" s="238"/>
      <c r="B138" s="90" t="s">
        <v>504</v>
      </c>
      <c r="C138" s="277"/>
      <c r="D138" s="272"/>
      <c r="E138" s="281"/>
      <c r="F138" s="79"/>
      <c r="G138" s="47">
        <f>SUMIF(JournalsC!D$14:D$920,TrialBalanceC!M138,JournalsC!J$14:J$920)+SUMIF(JournalsC!E$14:E$920,TrialBalanceC!M138,JournalsC!J$14:J$920)</f>
        <v>0</v>
      </c>
      <c r="H138" s="288"/>
      <c r="I138" s="291">
        <f t="shared" si="21"/>
        <v>0</v>
      </c>
      <c r="J138" s="75"/>
      <c r="K138" s="48">
        <f t="shared" si="13"/>
        <v>0</v>
      </c>
      <c r="M138" s="140" t="str">
        <f t="shared" si="14"/>
        <v>3000/250</v>
      </c>
      <c r="N138" s="70"/>
      <c r="P138" s="71"/>
      <c r="Q138" s="51"/>
      <c r="R138" s="31"/>
    </row>
    <row r="139" spans="1:18" x14ac:dyDescent="0.2">
      <c r="A139" s="238"/>
      <c r="B139" s="90" t="s">
        <v>505</v>
      </c>
      <c r="C139" s="277"/>
      <c r="D139" s="272"/>
      <c r="E139" s="281"/>
      <c r="F139" s="79"/>
      <c r="G139" s="47">
        <f>SUMIF(JournalsC!D$14:D$920,TrialBalanceC!M139,JournalsC!J$14:J$920)+SUMIF(JournalsC!E$14:E$920,TrialBalanceC!M139,JournalsC!J$14:J$920)</f>
        <v>0</v>
      </c>
      <c r="H139" s="288"/>
      <c r="I139" s="291">
        <f t="shared" si="21"/>
        <v>0</v>
      </c>
      <c r="J139" s="75"/>
      <c r="K139" s="48">
        <f t="shared" ref="K139:K207" si="28">ROUND(SUM(A139),0)</f>
        <v>0</v>
      </c>
      <c r="M139" s="140" t="str">
        <f t="shared" ref="M139:M207" si="29">CONCATENATE(B139,C139)</f>
        <v>3000/260</v>
      </c>
      <c r="N139" s="70"/>
      <c r="P139" s="71"/>
      <c r="Q139" s="51"/>
      <c r="R139" s="31"/>
    </row>
    <row r="140" spans="1:18" x14ac:dyDescent="0.2">
      <c r="A140" s="238"/>
      <c r="B140" s="90" t="s">
        <v>506</v>
      </c>
      <c r="C140" s="241" t="s">
        <v>881</v>
      </c>
      <c r="D140" s="281"/>
      <c r="E140" s="281"/>
      <c r="F140" s="79"/>
      <c r="G140" s="47">
        <f>SUMIF(JournalsC!D$14:D$920,TrialBalanceC!M140,JournalsC!J$14:J$920)+SUMIF(JournalsC!E$14:E$920,TrialBalanceC!M140,JournalsC!J$14:J$920)</f>
        <v>0</v>
      </c>
      <c r="H140" s="288"/>
      <c r="I140" s="291">
        <f t="shared" si="21"/>
        <v>0</v>
      </c>
      <c r="J140" s="75"/>
      <c r="K140" s="48">
        <f t="shared" si="28"/>
        <v>0</v>
      </c>
      <c r="M140" s="140" t="str">
        <f t="shared" si="29"/>
        <v>3000/270Amortisation of prepaid lease agreement</v>
      </c>
      <c r="N140" s="70"/>
      <c r="P140" s="71"/>
      <c r="Q140" s="51"/>
      <c r="R140" s="31"/>
    </row>
    <row r="141" spans="1:18" x14ac:dyDescent="0.2">
      <c r="A141" s="238"/>
      <c r="B141" s="90" t="s">
        <v>882</v>
      </c>
      <c r="C141" s="242" t="s">
        <v>883</v>
      </c>
      <c r="D141" s="281"/>
      <c r="E141" s="281"/>
      <c r="F141" s="79"/>
      <c r="G141" s="47">
        <f>SUMIF(JournalsC!D$14:D$920,TrialBalanceC!M141,JournalsC!J$14:J$920)+SUMIF(JournalsC!E$14:E$920,TrialBalanceC!M141,JournalsC!J$14:J$920)</f>
        <v>0</v>
      </c>
      <c r="H141" s="288"/>
      <c r="I141" s="291">
        <f t="shared" ref="I141" si="30">ROUND(D141-E141+G141+F141,0)</f>
        <v>0</v>
      </c>
      <c r="J141" s="75"/>
      <c r="K141" s="48">
        <f t="shared" ref="K141" si="31">ROUND(SUM(A141),0)</f>
        <v>0</v>
      </c>
      <c r="M141" s="140" t="str">
        <f t="shared" ref="M141" si="32">CONCATENATE(B141,C141)</f>
        <v>3000/280Amortisation of goodwill</v>
      </c>
      <c r="N141" s="70"/>
      <c r="P141" s="71"/>
      <c r="Q141" s="51"/>
      <c r="R141" s="31"/>
    </row>
    <row r="142" spans="1:18" x14ac:dyDescent="0.2">
      <c r="A142" s="238"/>
      <c r="B142" s="54" t="s">
        <v>284</v>
      </c>
      <c r="C142" s="239" t="s">
        <v>103</v>
      </c>
      <c r="D142" s="283"/>
      <c r="E142" s="281"/>
      <c r="F142" s="79"/>
      <c r="G142" s="47">
        <f>SUMIF(JournalsC!D$14:D$920,TrialBalanceC!M142,JournalsC!J$14:J$920)+SUMIF(JournalsC!E$14:E$920,TrialBalanceC!M142,JournalsC!J$14:J$920)</f>
        <v>0</v>
      </c>
      <c r="H142" s="288"/>
      <c r="I142" s="291">
        <f t="shared" si="21"/>
        <v>0</v>
      </c>
      <c r="J142" s="75"/>
      <c r="K142" s="48">
        <f t="shared" si="28"/>
        <v>0</v>
      </c>
      <c r="M142" s="140" t="str">
        <f t="shared" si="29"/>
        <v>4700/000FINANCE COSTS</v>
      </c>
      <c r="N142" s="70"/>
      <c r="P142" s="71"/>
      <c r="Q142" s="51"/>
      <c r="R142" s="31"/>
    </row>
    <row r="143" spans="1:18" x14ac:dyDescent="0.2">
      <c r="A143" s="238"/>
      <c r="B143" s="54" t="s">
        <v>285</v>
      </c>
      <c r="C143" s="239" t="s">
        <v>286</v>
      </c>
      <c r="D143" s="283"/>
      <c r="E143" s="281"/>
      <c r="F143" s="79"/>
      <c r="G143" s="47">
        <f>SUMIF(JournalsC!D$14:D$920,TrialBalanceC!M143,JournalsC!J$14:J$920)+SUMIF(JournalsC!E$14:E$920,TrialBalanceC!M143,JournalsC!J$14:J$920)</f>
        <v>0</v>
      </c>
      <c r="H143" s="288"/>
      <c r="I143" s="291">
        <f t="shared" si="21"/>
        <v>0</v>
      </c>
      <c r="J143" s="75"/>
      <c r="K143" s="48">
        <f t="shared" si="28"/>
        <v>0</v>
      </c>
      <c r="M143" s="140" t="str">
        <f t="shared" si="29"/>
        <v>4700/010Interest paid---------------------------</v>
      </c>
      <c r="N143" s="70"/>
      <c r="P143" s="71"/>
      <c r="Q143" s="51"/>
      <c r="R143" s="31"/>
    </row>
    <row r="144" spans="1:18" x14ac:dyDescent="0.2">
      <c r="A144" s="238"/>
      <c r="B144" s="54" t="s">
        <v>287</v>
      </c>
      <c r="C144" s="276"/>
      <c r="D144" s="281"/>
      <c r="E144" s="281"/>
      <c r="F144" s="79"/>
      <c r="G144" s="47">
        <f>SUMIF(JournalsC!D$14:D$920,TrialBalanceC!M144,JournalsC!J$14:J$920)+SUMIF(JournalsC!E$14:E$920,TrialBalanceC!M144,JournalsC!J$14:J$920)</f>
        <v>0</v>
      </c>
      <c r="H144" s="288"/>
      <c r="I144" s="291">
        <f t="shared" si="21"/>
        <v>0</v>
      </c>
      <c r="J144" s="75"/>
      <c r="K144" s="48">
        <f t="shared" si="28"/>
        <v>0</v>
      </c>
      <c r="M144" s="140" t="str">
        <f t="shared" si="29"/>
        <v>4700/011</v>
      </c>
      <c r="N144" s="70"/>
      <c r="P144" s="71"/>
      <c r="Q144" s="51"/>
      <c r="R144" s="31"/>
    </row>
    <row r="145" spans="1:18" x14ac:dyDescent="0.2">
      <c r="A145" s="238"/>
      <c r="B145" s="54" t="s">
        <v>288</v>
      </c>
      <c r="C145" s="277"/>
      <c r="D145" s="272"/>
      <c r="E145" s="281"/>
      <c r="F145" s="79"/>
      <c r="G145" s="47">
        <f>SUMIF(JournalsC!D$14:D$920,TrialBalanceC!M145,JournalsC!J$14:J$920)+SUMIF(JournalsC!E$14:E$920,TrialBalanceC!M145,JournalsC!J$14:J$920)</f>
        <v>0</v>
      </c>
      <c r="H145" s="288"/>
      <c r="I145" s="291">
        <f t="shared" si="21"/>
        <v>0</v>
      </c>
      <c r="J145" s="75"/>
      <c r="K145" s="48">
        <f t="shared" si="28"/>
        <v>0</v>
      </c>
      <c r="M145" s="140" t="str">
        <f t="shared" si="29"/>
        <v>4700/012</v>
      </c>
      <c r="N145" s="70"/>
      <c r="P145" s="71"/>
      <c r="Q145" s="51"/>
      <c r="R145" s="31"/>
    </row>
    <row r="146" spans="1:18" x14ac:dyDescent="0.2">
      <c r="A146" s="238"/>
      <c r="B146" s="54" t="s">
        <v>289</v>
      </c>
      <c r="C146" s="277"/>
      <c r="D146" s="272"/>
      <c r="E146" s="281"/>
      <c r="F146" s="79"/>
      <c r="G146" s="47">
        <f>SUMIF(JournalsC!D$14:D$920,TrialBalanceC!M146,JournalsC!J$14:J$920)+SUMIF(JournalsC!E$14:E$920,TrialBalanceC!M146,JournalsC!J$14:J$920)</f>
        <v>0</v>
      </c>
      <c r="H146" s="288"/>
      <c r="I146" s="291">
        <f t="shared" si="21"/>
        <v>0</v>
      </c>
      <c r="J146" s="75"/>
      <c r="K146" s="48">
        <f t="shared" si="28"/>
        <v>0</v>
      </c>
      <c r="M146" s="140" t="str">
        <f t="shared" si="29"/>
        <v>4700/013</v>
      </c>
      <c r="N146" s="70"/>
      <c r="P146" s="71"/>
      <c r="Q146" s="51"/>
      <c r="R146" s="31"/>
    </row>
    <row r="147" spans="1:18" x14ac:dyDescent="0.2">
      <c r="A147" s="238"/>
      <c r="B147" s="54" t="s">
        <v>290</v>
      </c>
      <c r="C147" s="277"/>
      <c r="D147" s="272"/>
      <c r="E147" s="281"/>
      <c r="F147" s="79"/>
      <c r="G147" s="47">
        <f>SUMIF(JournalsC!D$14:D$920,TrialBalanceC!M147,JournalsC!J$14:J$920)+SUMIF(JournalsC!E$14:E$920,TrialBalanceC!M147,JournalsC!J$14:J$920)</f>
        <v>0</v>
      </c>
      <c r="H147" s="288"/>
      <c r="I147" s="291">
        <f t="shared" si="21"/>
        <v>0</v>
      </c>
      <c r="J147" s="75"/>
      <c r="K147" s="48">
        <f t="shared" si="28"/>
        <v>0</v>
      </c>
      <c r="M147" s="140" t="str">
        <f t="shared" si="29"/>
        <v>4700/014</v>
      </c>
      <c r="N147" s="70"/>
      <c r="P147" s="71"/>
      <c r="Q147" s="51"/>
      <c r="R147" s="31"/>
    </row>
    <row r="148" spans="1:18" x14ac:dyDescent="0.2">
      <c r="A148" s="238"/>
      <c r="B148" s="54" t="s">
        <v>481</v>
      </c>
      <c r="C148" s="277"/>
      <c r="D148" s="272"/>
      <c r="E148" s="281"/>
      <c r="F148" s="79"/>
      <c r="G148" s="47">
        <f>SUMIF(JournalsC!D$14:D$920,TrialBalanceC!M148,JournalsC!J$14:J$920)+SUMIF(JournalsC!E$14:E$920,TrialBalanceC!M148,JournalsC!J$14:J$920)</f>
        <v>0</v>
      </c>
      <c r="H148" s="288"/>
      <c r="I148" s="291">
        <f t="shared" si="21"/>
        <v>0</v>
      </c>
      <c r="J148" s="75"/>
      <c r="K148" s="48">
        <f t="shared" si="28"/>
        <v>0</v>
      </c>
      <c r="M148" s="140" t="str">
        <f t="shared" si="29"/>
        <v>4700/015</v>
      </c>
      <c r="N148" s="70"/>
      <c r="P148" s="71"/>
      <c r="Q148" s="51"/>
      <c r="R148" s="31"/>
    </row>
    <row r="149" spans="1:18" x14ac:dyDescent="0.2">
      <c r="A149" s="238"/>
      <c r="B149" s="54" t="s">
        <v>488</v>
      </c>
      <c r="C149" s="277"/>
      <c r="D149" s="272"/>
      <c r="E149" s="281"/>
      <c r="F149" s="79"/>
      <c r="G149" s="47">
        <f>SUMIF(JournalsC!D$14:D$920,TrialBalanceC!M149,JournalsC!J$14:J$920)+SUMIF(JournalsC!E$14:E$920,TrialBalanceC!M149,JournalsC!J$14:J$920)</f>
        <v>0</v>
      </c>
      <c r="H149" s="288"/>
      <c r="I149" s="291">
        <f t="shared" si="21"/>
        <v>0</v>
      </c>
      <c r="J149" s="75"/>
      <c r="K149" s="48">
        <f t="shared" si="28"/>
        <v>0</v>
      </c>
      <c r="M149" s="140" t="str">
        <f t="shared" si="29"/>
        <v>4700/016</v>
      </c>
      <c r="N149" s="70"/>
      <c r="P149" s="71"/>
      <c r="Q149" s="51"/>
      <c r="R149" s="31"/>
    </row>
    <row r="150" spans="1:18" x14ac:dyDescent="0.2">
      <c r="A150" s="238"/>
      <c r="B150" s="90" t="s">
        <v>537</v>
      </c>
      <c r="C150" s="277"/>
      <c r="D150" s="272"/>
      <c r="E150" s="281"/>
      <c r="F150" s="79"/>
      <c r="G150" s="47">
        <f>SUMIF(JournalsC!D$14:D$920,TrialBalanceC!M150,JournalsC!J$14:J$920)+SUMIF(JournalsC!E$14:E$920,TrialBalanceC!M150,JournalsC!J$14:J$920)</f>
        <v>0</v>
      </c>
      <c r="H150" s="288"/>
      <c r="I150" s="291">
        <f t="shared" ref="I150:I152" si="33">ROUND(D150-E150+G150+F150,0)</f>
        <v>0</v>
      </c>
      <c r="J150" s="75"/>
      <c r="K150" s="48">
        <f t="shared" ref="K150:K152" si="34">ROUND(SUM(A150),0)</f>
        <v>0</v>
      </c>
      <c r="M150" s="140" t="str">
        <f t="shared" ref="M150:M152" si="35">CONCATENATE(B150,C150)</f>
        <v>4700/017</v>
      </c>
      <c r="N150" s="70"/>
      <c r="P150" s="71"/>
      <c r="Q150" s="51"/>
      <c r="R150" s="31"/>
    </row>
    <row r="151" spans="1:18" x14ac:dyDescent="0.2">
      <c r="A151" s="238"/>
      <c r="B151" s="90" t="s">
        <v>616</v>
      </c>
      <c r="C151" s="277"/>
      <c r="D151" s="272"/>
      <c r="E151" s="281"/>
      <c r="F151" s="79"/>
      <c r="G151" s="47">
        <f>SUMIF(JournalsC!D$14:D$920,TrialBalanceC!M151,JournalsC!J$14:J$920)+SUMIF(JournalsC!E$14:E$920,TrialBalanceC!M151,JournalsC!J$14:J$920)</f>
        <v>0</v>
      </c>
      <c r="H151" s="288"/>
      <c r="I151" s="291">
        <f t="shared" si="33"/>
        <v>0</v>
      </c>
      <c r="J151" s="75"/>
      <c r="K151" s="48">
        <f t="shared" si="34"/>
        <v>0</v>
      </c>
      <c r="M151" s="140" t="str">
        <f t="shared" si="35"/>
        <v>4700/018</v>
      </c>
      <c r="N151" s="70"/>
      <c r="P151" s="71"/>
      <c r="Q151" s="51"/>
      <c r="R151" s="31"/>
    </row>
    <row r="152" spans="1:18" x14ac:dyDescent="0.2">
      <c r="A152" s="238"/>
      <c r="B152" s="90" t="s">
        <v>617</v>
      </c>
      <c r="C152" s="277"/>
      <c r="D152" s="272"/>
      <c r="E152" s="281"/>
      <c r="F152" s="79"/>
      <c r="G152" s="47">
        <f>SUMIF(JournalsC!D$14:D$920,TrialBalanceC!M152,JournalsC!J$14:J$920)+SUMIF(JournalsC!E$14:E$920,TrialBalanceC!M152,JournalsC!J$14:J$920)</f>
        <v>0</v>
      </c>
      <c r="H152" s="288"/>
      <c r="I152" s="291">
        <f t="shared" si="33"/>
        <v>0</v>
      </c>
      <c r="J152" s="75"/>
      <c r="K152" s="48">
        <f t="shared" si="34"/>
        <v>0</v>
      </c>
      <c r="M152" s="140" t="str">
        <f t="shared" si="35"/>
        <v>4700/019</v>
      </c>
      <c r="N152" s="70"/>
      <c r="P152" s="71"/>
      <c r="Q152" s="51"/>
      <c r="R152" s="31"/>
    </row>
    <row r="153" spans="1:18" x14ac:dyDescent="0.2">
      <c r="A153" s="238"/>
      <c r="B153" s="90" t="s">
        <v>291</v>
      </c>
      <c r="C153" s="277"/>
      <c r="D153" s="272"/>
      <c r="E153" s="281"/>
      <c r="F153" s="79"/>
      <c r="G153" s="47">
        <f>SUMIF(JournalsC!D$14:D$920,TrialBalanceC!M153,JournalsC!J$14:J$920)+SUMIF(JournalsC!E$14:E$920,TrialBalanceC!M153,JournalsC!J$14:J$920)</f>
        <v>0</v>
      </c>
      <c r="H153" s="288"/>
      <c r="I153" s="291">
        <f t="shared" si="21"/>
        <v>0</v>
      </c>
      <c r="J153" s="75"/>
      <c r="K153" s="48">
        <f t="shared" si="28"/>
        <v>0</v>
      </c>
      <c r="M153" s="140" t="str">
        <f t="shared" si="29"/>
        <v>4700/020</v>
      </c>
      <c r="N153" s="70"/>
      <c r="P153" s="71"/>
      <c r="Q153" s="51"/>
      <c r="R153" s="31"/>
    </row>
    <row r="154" spans="1:18" x14ac:dyDescent="0.2">
      <c r="A154" s="238"/>
      <c r="B154" s="90" t="s">
        <v>618</v>
      </c>
      <c r="C154" s="240" t="str">
        <f>CONCATENATE("Finance leases - ",Criteria!H16)</f>
        <v xml:space="preserve">Finance leases - </v>
      </c>
      <c r="D154" s="282"/>
      <c r="E154" s="281"/>
      <c r="F154" s="79"/>
      <c r="G154" s="47">
        <f>SUMIF(JournalsC!D$14:D$920,TrialBalanceC!M154,JournalsC!J$14:J$920)+SUMIF(JournalsC!E$14:E$920,TrialBalanceC!M154,JournalsC!J$14:J$920)</f>
        <v>0</v>
      </c>
      <c r="H154" s="288"/>
      <c r="I154" s="291">
        <f t="shared" si="21"/>
        <v>0</v>
      </c>
      <c r="J154" s="75"/>
      <c r="K154" s="48">
        <f t="shared" si="28"/>
        <v>0</v>
      </c>
      <c r="M154" s="140" t="str">
        <f t="shared" si="29"/>
        <v xml:space="preserve">4700/021Finance leases - </v>
      </c>
      <c r="N154" s="70"/>
      <c r="P154" s="71"/>
      <c r="Q154" s="51"/>
      <c r="R154" s="31"/>
    </row>
    <row r="155" spans="1:18" x14ac:dyDescent="0.2">
      <c r="A155" s="238"/>
      <c r="B155" s="54" t="s">
        <v>421</v>
      </c>
      <c r="C155" s="239" t="s">
        <v>326</v>
      </c>
      <c r="D155" s="283"/>
      <c r="E155" s="281"/>
      <c r="F155" s="79"/>
      <c r="G155" s="47">
        <f>SUMIF(JournalsC!D$14:D$920,TrialBalanceC!M155,JournalsC!J$14:J$920)+SUMIF(JournalsC!E$14:E$920,TrialBalanceC!M155,JournalsC!J$14:J$920)</f>
        <v>0</v>
      </c>
      <c r="H155" s="288"/>
      <c r="I155" s="291">
        <f t="shared" si="21"/>
        <v>0</v>
      </c>
      <c r="J155" s="75"/>
      <c r="K155" s="48">
        <f t="shared" si="28"/>
        <v>0</v>
      </c>
      <c r="M155" s="140" t="str">
        <f t="shared" si="29"/>
        <v>4750/000OTHER</v>
      </c>
      <c r="N155" s="70"/>
      <c r="P155" s="71"/>
      <c r="Q155" s="51"/>
      <c r="R155" s="31"/>
    </row>
    <row r="156" spans="1:18" x14ac:dyDescent="0.2">
      <c r="A156" s="238"/>
      <c r="B156" s="54" t="s">
        <v>422</v>
      </c>
      <c r="C156" s="241" t="s">
        <v>921</v>
      </c>
      <c r="D156" s="272"/>
      <c r="E156" s="281"/>
      <c r="F156" s="79"/>
      <c r="G156" s="47">
        <f>SUMIF(JournalsC!D$14:D$920,TrialBalanceC!M156,JournalsC!J$14:J$920)+SUMIF(JournalsC!E$14:E$920,TrialBalanceC!M156,JournalsC!J$14:J$920)</f>
        <v>0</v>
      </c>
      <c r="H156" s="288"/>
      <c r="I156" s="291">
        <f t="shared" si="21"/>
        <v>0</v>
      </c>
      <c r="J156" s="75"/>
      <c r="K156" s="48">
        <f t="shared" si="28"/>
        <v>0</v>
      </c>
      <c r="M156" s="140" t="str">
        <f t="shared" si="29"/>
        <v>4750/010Impairment losses</v>
      </c>
      <c r="N156" s="70"/>
      <c r="P156" s="71"/>
      <c r="Q156" s="51"/>
      <c r="R156" s="31"/>
    </row>
    <row r="157" spans="1:18" x14ac:dyDescent="0.2">
      <c r="A157" s="238"/>
      <c r="B157" s="54" t="s">
        <v>292</v>
      </c>
      <c r="C157" s="239" t="s">
        <v>293</v>
      </c>
      <c r="D157" s="283"/>
      <c r="E157" s="281"/>
      <c r="F157" s="79"/>
      <c r="G157" s="47">
        <f>SUMIF(JournalsC!D$14:D$920,TrialBalanceC!M157,JournalsC!J$14:J$920)+SUMIF(JournalsC!E$14:E$920,TrialBalanceC!M157,JournalsC!J$14:J$920)</f>
        <v>0</v>
      </c>
      <c r="H157" s="288"/>
      <c r="I157" s="291">
        <f t="shared" si="21"/>
        <v>0</v>
      </c>
      <c r="J157" s="75"/>
      <c r="K157" s="48">
        <f t="shared" si="28"/>
        <v>0</v>
      </c>
      <c r="M157" s="140" t="str">
        <f t="shared" si="29"/>
        <v>4800/000NORMAL TAXATION</v>
      </c>
      <c r="N157" s="70"/>
      <c r="P157" s="71"/>
      <c r="Q157" s="51"/>
      <c r="R157" s="31"/>
    </row>
    <row r="158" spans="1:18" x14ac:dyDescent="0.2">
      <c r="A158" s="238"/>
      <c r="B158" s="54" t="s">
        <v>294</v>
      </c>
      <c r="C158" s="240" t="s">
        <v>295</v>
      </c>
      <c r="D158" s="282"/>
      <c r="E158" s="281"/>
      <c r="F158" s="79"/>
      <c r="G158" s="47">
        <f>SUMIF(JournalsC!D$14:D$920,TrialBalanceC!M158,JournalsC!J$14:J$920)+SUMIF(JournalsC!E$14:E$920,TrialBalanceC!M158,JournalsC!J$14:J$920)</f>
        <v>0</v>
      </c>
      <c r="H158" s="288"/>
      <c r="I158" s="291">
        <f t="shared" si="21"/>
        <v>0</v>
      </c>
      <c r="J158" s="75"/>
      <c r="K158" s="48">
        <f t="shared" si="28"/>
        <v>0</v>
      </c>
      <c r="M158" s="140" t="str">
        <f t="shared" si="29"/>
        <v>4800/001Tax provided this year</v>
      </c>
      <c r="N158" s="70"/>
      <c r="P158" s="71"/>
      <c r="Q158" s="51"/>
      <c r="R158" s="31"/>
    </row>
    <row r="159" spans="1:18" x14ac:dyDescent="0.2">
      <c r="A159" s="238"/>
      <c r="B159" s="54" t="s">
        <v>296</v>
      </c>
      <c r="C159" s="240" t="s">
        <v>297</v>
      </c>
      <c r="D159" s="282"/>
      <c r="E159" s="281"/>
      <c r="F159" s="79"/>
      <c r="G159" s="47">
        <f>SUMIF(JournalsC!D$14:D$920,TrialBalanceC!M159,JournalsC!J$14:J$920)+SUMIF(JournalsC!E$14:E$920,TrialBalanceC!M159,JournalsC!J$14:J$920)</f>
        <v>0</v>
      </c>
      <c r="H159" s="288"/>
      <c r="I159" s="291">
        <f t="shared" si="21"/>
        <v>0</v>
      </c>
      <c r="J159" s="75"/>
      <c r="K159" s="48">
        <f t="shared" si="28"/>
        <v>0</v>
      </c>
      <c r="M159" s="140" t="str">
        <f t="shared" si="29"/>
        <v>4800/002Tax adjustment previous year</v>
      </c>
      <c r="N159" s="70"/>
      <c r="P159" s="71"/>
      <c r="Q159" s="51"/>
      <c r="R159" s="31"/>
    </row>
    <row r="160" spans="1:18" x14ac:dyDescent="0.2">
      <c r="A160" s="238"/>
      <c r="B160" s="54" t="s">
        <v>177</v>
      </c>
      <c r="C160" s="239" t="s">
        <v>178</v>
      </c>
      <c r="D160" s="283"/>
      <c r="E160" s="281"/>
      <c r="F160" s="79"/>
      <c r="G160" s="47">
        <f>SUMIF(JournalsC!D$14:D$920,TrialBalanceC!M160,JournalsC!J$14:J$920)+SUMIF(JournalsC!E$14:E$920,TrialBalanceC!M160,JournalsC!J$14:J$920)</f>
        <v>0</v>
      </c>
      <c r="H160" s="288"/>
      <c r="I160" s="291">
        <f t="shared" si="21"/>
        <v>0</v>
      </c>
      <c r="J160" s="75"/>
      <c r="K160" s="48">
        <f t="shared" si="28"/>
        <v>0</v>
      </c>
      <c r="M160" s="140" t="str">
        <f t="shared" si="29"/>
        <v>4820/000DEFERRED TAX</v>
      </c>
      <c r="N160" s="70"/>
      <c r="P160" s="71"/>
      <c r="Q160" s="51"/>
      <c r="R160" s="31"/>
    </row>
    <row r="161" spans="1:18" x14ac:dyDescent="0.2">
      <c r="A161" s="238"/>
      <c r="B161" s="54" t="s">
        <v>179</v>
      </c>
      <c r="C161" s="240" t="s">
        <v>180</v>
      </c>
      <c r="D161" s="282"/>
      <c r="E161" s="281"/>
      <c r="F161" s="79"/>
      <c r="G161" s="47">
        <f>SUMIF(JournalsC!D$14:D$920,TrialBalanceC!M161,JournalsC!J$14:J$920)+SUMIF(JournalsC!E$14:E$920,TrialBalanceC!M161,JournalsC!J$14:J$920)</f>
        <v>0</v>
      </c>
      <c r="H161" s="288"/>
      <c r="I161" s="291">
        <f t="shared" si="21"/>
        <v>0</v>
      </c>
      <c r="J161" s="75"/>
      <c r="K161" s="48">
        <f t="shared" si="28"/>
        <v>0</v>
      </c>
      <c r="M161" s="140" t="str">
        <f t="shared" si="29"/>
        <v>4820/001Deferred tax this year</v>
      </c>
      <c r="N161" s="70"/>
      <c r="P161" s="71"/>
      <c r="Q161" s="51"/>
      <c r="R161" s="31"/>
    </row>
    <row r="162" spans="1:18" x14ac:dyDescent="0.2">
      <c r="A162" s="238"/>
      <c r="B162" s="90" t="s">
        <v>181</v>
      </c>
      <c r="C162" s="242" t="s">
        <v>954</v>
      </c>
      <c r="D162" s="282"/>
      <c r="E162" s="281"/>
      <c r="F162" s="79"/>
      <c r="G162" s="47">
        <f>SUMIF(JournalsC!D$14:D$920,TrialBalanceC!M162,JournalsC!J$14:J$920)+SUMIF(JournalsC!E$14:E$920,TrialBalanceC!M162,JournalsC!J$14:J$920)</f>
        <v>0</v>
      </c>
      <c r="H162" s="288"/>
      <c r="I162" s="291">
        <f t="shared" ref="I162" si="36">ROUND(D162-E162+G162+F162,0)</f>
        <v>0</v>
      </c>
      <c r="J162" s="75"/>
      <c r="K162" s="48">
        <f t="shared" ref="K162" si="37">ROUND(SUM(A162),0)</f>
        <v>0</v>
      </c>
      <c r="M162" s="140" t="str">
        <f t="shared" ref="M162" si="38">CONCATENATE(B162,C162)</f>
        <v>4820/002Deferred tax adjustment on income tax rate change</v>
      </c>
      <c r="N162" s="70"/>
      <c r="P162" s="71"/>
      <c r="Q162" s="51"/>
      <c r="R162" s="31"/>
    </row>
    <row r="163" spans="1:18" x14ac:dyDescent="0.2">
      <c r="A163" s="238"/>
      <c r="B163" s="90" t="s">
        <v>955</v>
      </c>
      <c r="C163" s="240" t="s">
        <v>182</v>
      </c>
      <c r="D163" s="282"/>
      <c r="E163" s="281"/>
      <c r="F163" s="79"/>
      <c r="G163" s="47">
        <f>SUMIF(JournalsC!D$14:D$920,TrialBalanceC!M163,JournalsC!J$14:J$920)+SUMIF(JournalsC!E$14:E$920,TrialBalanceC!M163,JournalsC!J$14:J$920)</f>
        <v>0</v>
      </c>
      <c r="H163" s="288"/>
      <c r="I163" s="291">
        <f t="shared" si="21"/>
        <v>0</v>
      </c>
      <c r="J163" s="75"/>
      <c r="K163" s="48">
        <f t="shared" si="28"/>
        <v>0</v>
      </c>
      <c r="M163" s="140" t="str">
        <f t="shared" si="29"/>
        <v>4820/003Deferred tax adjustment previous year</v>
      </c>
      <c r="N163" s="70"/>
      <c r="P163" s="71"/>
      <c r="Q163" s="51"/>
      <c r="R163" s="31"/>
    </row>
    <row r="164" spans="1:18" x14ac:dyDescent="0.2">
      <c r="A164" s="238"/>
      <c r="B164" s="54" t="s">
        <v>183</v>
      </c>
      <c r="C164" s="242" t="s">
        <v>457</v>
      </c>
      <c r="D164" s="282"/>
      <c r="E164" s="281"/>
      <c r="F164" s="79"/>
      <c r="G164" s="47">
        <f>SUMIF(JournalsC!D$14:D$920,TrialBalanceC!M164,JournalsC!J$14:J$920)+SUMIF(JournalsC!E$14:E$920,TrialBalanceC!M164,JournalsC!J$14:J$920)</f>
        <v>0</v>
      </c>
      <c r="H164" s="288"/>
      <c r="I164" s="291">
        <f t="shared" si="21"/>
        <v>0</v>
      </c>
      <c r="J164" s="75"/>
      <c r="K164" s="48">
        <f t="shared" si="28"/>
        <v>0</v>
      </c>
      <c r="M164" s="140" t="str">
        <f t="shared" si="29"/>
        <v>4850/000Dividends declared</v>
      </c>
      <c r="N164" s="70"/>
      <c r="P164" s="71"/>
      <c r="Q164" s="51"/>
      <c r="R164" s="31"/>
    </row>
    <row r="165" spans="1:18" x14ac:dyDescent="0.2">
      <c r="A165" s="238"/>
      <c r="B165" s="54" t="s">
        <v>184</v>
      </c>
      <c r="C165" s="240" t="s">
        <v>209</v>
      </c>
      <c r="D165" s="282"/>
      <c r="E165" s="281"/>
      <c r="F165" s="79"/>
      <c r="G165" s="47">
        <f>SUMIF(JournalsC!D$14:D$920,TrialBalanceC!M165,JournalsC!J$14:J$920)+SUMIF(JournalsC!E$14:E$920,TrialBalanceC!M165,JournalsC!J$14:J$920)</f>
        <v>0</v>
      </c>
      <c r="H165" s="288"/>
      <c r="I165" s="291">
        <f t="shared" si="21"/>
        <v>0</v>
      </c>
      <c r="J165" s="75"/>
      <c r="K165" s="48">
        <f t="shared" si="28"/>
        <v>0</v>
      </c>
      <c r="M165" s="140" t="str">
        <f t="shared" si="29"/>
        <v>4860/000Dividends paid</v>
      </c>
      <c r="N165" s="70"/>
      <c r="P165" s="71"/>
      <c r="Q165" s="51"/>
      <c r="R165" s="31"/>
    </row>
    <row r="166" spans="1:18" x14ac:dyDescent="0.2">
      <c r="A166" s="238"/>
      <c r="B166" s="54" t="s">
        <v>212</v>
      </c>
      <c r="C166" s="240"/>
      <c r="D166" s="282"/>
      <c r="E166" s="281"/>
      <c r="F166" s="79"/>
      <c r="G166" s="47"/>
      <c r="H166" s="288"/>
      <c r="I166" s="291">
        <f t="shared" si="21"/>
        <v>0</v>
      </c>
      <c r="J166" s="75"/>
      <c r="K166" s="48">
        <f t="shared" si="28"/>
        <v>0</v>
      </c>
      <c r="M166" s="140" t="str">
        <f t="shared" si="29"/>
        <v/>
      </c>
      <c r="N166" s="70"/>
      <c r="P166" s="71"/>
      <c r="Q166" s="51"/>
      <c r="R166" s="31"/>
    </row>
    <row r="167" spans="1:18" x14ac:dyDescent="0.2">
      <c r="A167" s="238"/>
      <c r="B167" s="54" t="s">
        <v>212</v>
      </c>
      <c r="C167" s="240" t="s">
        <v>212</v>
      </c>
      <c r="D167" s="282"/>
      <c r="E167" s="281"/>
      <c r="F167" s="79"/>
      <c r="G167" s="47"/>
      <c r="H167" s="288"/>
      <c r="I167" s="291">
        <f t="shared" si="21"/>
        <v>0</v>
      </c>
      <c r="J167" s="75"/>
      <c r="K167" s="48">
        <f t="shared" si="28"/>
        <v>0</v>
      </c>
      <c r="M167" s="140" t="str">
        <f t="shared" si="29"/>
        <v/>
      </c>
      <c r="N167" s="70"/>
      <c r="P167" s="71"/>
      <c r="Q167" s="51"/>
      <c r="R167" s="31"/>
    </row>
    <row r="168" spans="1:18" x14ac:dyDescent="0.2">
      <c r="A168" s="238"/>
      <c r="B168" s="54" t="s">
        <v>212</v>
      </c>
      <c r="C168" s="240"/>
      <c r="D168" s="282"/>
      <c r="E168" s="281"/>
      <c r="F168" s="79"/>
      <c r="G168" s="47"/>
      <c r="H168" s="288"/>
      <c r="I168" s="291">
        <f t="shared" si="21"/>
        <v>0</v>
      </c>
      <c r="J168" s="75"/>
      <c r="K168" s="48">
        <f t="shared" si="28"/>
        <v>0</v>
      </c>
      <c r="M168" s="140" t="str">
        <f t="shared" si="29"/>
        <v/>
      </c>
      <c r="N168" s="70"/>
      <c r="P168" s="71"/>
      <c r="Q168" s="51"/>
      <c r="R168" s="31"/>
    </row>
    <row r="169" spans="1:18" x14ac:dyDescent="0.2">
      <c r="A169" s="238"/>
      <c r="B169" s="54" t="s">
        <v>471</v>
      </c>
      <c r="C169" s="239" t="s">
        <v>461</v>
      </c>
      <c r="D169" s="283"/>
      <c r="E169" s="281"/>
      <c r="F169" s="79"/>
      <c r="G169" s="47">
        <f>SUMIF(JournalsC!D$14:D$920,TrialBalanceC!M169,JournalsC!J$14:J$920)+SUMIF(JournalsC!E$14:E$920,TrialBalanceC!M169,JournalsC!J$14:J$920)</f>
        <v>0</v>
      </c>
      <c r="H169" s="288"/>
      <c r="I169" s="291">
        <f t="shared" si="21"/>
        <v>0</v>
      </c>
      <c r="J169" s="75"/>
      <c r="K169" s="48">
        <f t="shared" si="28"/>
        <v>0</v>
      </c>
      <c r="M169" s="140" t="str">
        <f t="shared" si="29"/>
        <v>5100/000SHARE CAPITAL</v>
      </c>
      <c r="N169" s="70"/>
      <c r="P169" s="71"/>
      <c r="Q169" s="51"/>
      <c r="R169" s="31"/>
    </row>
    <row r="170" spans="1:18" x14ac:dyDescent="0.2">
      <c r="A170" s="238"/>
      <c r="B170" s="54" t="s">
        <v>472</v>
      </c>
      <c r="C170" s="242" t="s">
        <v>720</v>
      </c>
      <c r="D170" s="282"/>
      <c r="E170" s="281"/>
      <c r="F170" s="79">
        <f>SUM(K170:K171)</f>
        <v>0</v>
      </c>
      <c r="G170" s="47">
        <f>SUMIF(JournalsC!D$14:D$920,TrialBalanceC!M170,JournalsC!J$14:J$920)+SUMIF(JournalsC!E$14:E$920,TrialBalanceC!M170,JournalsC!J$14:J$920)</f>
        <v>0</v>
      </c>
      <c r="H170" s="288"/>
      <c r="I170" s="291">
        <f t="shared" si="21"/>
        <v>0</v>
      </c>
      <c r="J170" s="75"/>
      <c r="K170" s="48">
        <f t="shared" si="28"/>
        <v>0</v>
      </c>
      <c r="M170" s="140" t="str">
        <f t="shared" si="29"/>
        <v>5100/001Share capital - balance b/fwd</v>
      </c>
      <c r="N170" s="70"/>
      <c r="P170" s="71"/>
      <c r="Q170" s="51"/>
      <c r="R170" s="31"/>
    </row>
    <row r="171" spans="1:18" x14ac:dyDescent="0.2">
      <c r="A171" s="238"/>
      <c r="B171" s="54" t="s">
        <v>473</v>
      </c>
      <c r="C171" s="242" t="s">
        <v>721</v>
      </c>
      <c r="D171" s="282"/>
      <c r="E171" s="281"/>
      <c r="F171" s="79"/>
      <c r="G171" s="47">
        <f>SUMIF(JournalsC!D$14:D$920,TrialBalanceC!M171,JournalsC!J$14:J$920)+SUMIF(JournalsC!E$14:E$920,TrialBalanceC!M171,JournalsC!J$14:J$920)</f>
        <v>0</v>
      </c>
      <c r="H171" s="288"/>
      <c r="I171" s="291">
        <f t="shared" si="21"/>
        <v>0</v>
      </c>
      <c r="J171" s="75"/>
      <c r="K171" s="48">
        <f t="shared" si="28"/>
        <v>0</v>
      </c>
      <c r="M171" s="140" t="str">
        <f t="shared" si="29"/>
        <v>5100/002Share capital - additions</v>
      </c>
      <c r="N171" s="70"/>
      <c r="P171" s="71"/>
      <c r="Q171" s="51"/>
      <c r="R171" s="31"/>
    </row>
    <row r="172" spans="1:18" x14ac:dyDescent="0.2">
      <c r="A172" s="238"/>
      <c r="B172" s="86" t="s">
        <v>474</v>
      </c>
      <c r="C172" s="280" t="s">
        <v>465</v>
      </c>
      <c r="D172" s="289"/>
      <c r="E172" s="281"/>
      <c r="F172" s="79"/>
      <c r="G172" s="47">
        <f>SUMIF(JournalsC!D$14:D$920,TrialBalanceC!M172,JournalsC!J$14:J$920)+SUMIF(JournalsC!E$14:E$920,TrialBalanceC!M172,JournalsC!J$14:J$920)</f>
        <v>0</v>
      </c>
      <c r="H172" s="288"/>
      <c r="I172" s="291">
        <f t="shared" ref="I172:I253" si="39">ROUND(D172-E172+G172+F172,0)</f>
        <v>0</v>
      </c>
      <c r="J172" s="75"/>
      <c r="K172" s="48">
        <f t="shared" si="28"/>
        <v>0</v>
      </c>
      <c r="M172" s="140" t="str">
        <f t="shared" si="29"/>
        <v>5110/000SHARE PREMIUM</v>
      </c>
      <c r="N172" s="70"/>
      <c r="P172" s="71"/>
      <c r="Q172" s="51"/>
      <c r="R172" s="31"/>
    </row>
    <row r="173" spans="1:18" x14ac:dyDescent="0.2">
      <c r="A173" s="238"/>
      <c r="B173" s="86" t="s">
        <v>475</v>
      </c>
      <c r="C173" s="242" t="s">
        <v>722</v>
      </c>
      <c r="D173" s="286"/>
      <c r="E173" s="281"/>
      <c r="F173" s="79">
        <f>SUM(K173:K175)</f>
        <v>0</v>
      </c>
      <c r="G173" s="47">
        <f>SUMIF(JournalsC!D$14:D$920,TrialBalanceC!M173,JournalsC!J$14:J$920)+SUMIF(JournalsC!E$14:E$920,TrialBalanceC!M173,JournalsC!J$14:J$920)</f>
        <v>0</v>
      </c>
      <c r="H173" s="288"/>
      <c r="I173" s="291">
        <f t="shared" si="39"/>
        <v>0</v>
      </c>
      <c r="J173" s="75"/>
      <c r="K173" s="48">
        <f t="shared" si="28"/>
        <v>0</v>
      </c>
      <c r="M173" s="140" t="str">
        <f t="shared" si="29"/>
        <v>5110/001Share premium - balance b/fwd</v>
      </c>
      <c r="N173" s="70"/>
      <c r="P173" s="71"/>
      <c r="Q173" s="51"/>
      <c r="R173" s="31"/>
    </row>
    <row r="174" spans="1:18" x14ac:dyDescent="0.2">
      <c r="A174" s="238"/>
      <c r="B174" s="86" t="s">
        <v>476</v>
      </c>
      <c r="C174" s="242" t="s">
        <v>723</v>
      </c>
      <c r="D174" s="286"/>
      <c r="E174" s="281"/>
      <c r="F174" s="79"/>
      <c r="G174" s="47">
        <f>SUMIF(JournalsC!D$14:D$920,TrialBalanceC!M174,JournalsC!J$14:J$920)+SUMIF(JournalsC!E$14:E$920,TrialBalanceC!M174,JournalsC!J$14:J$920)</f>
        <v>0</v>
      </c>
      <c r="H174" s="288"/>
      <c r="I174" s="291">
        <f t="shared" si="39"/>
        <v>0</v>
      </c>
      <c r="J174" s="75"/>
      <c r="K174" s="48">
        <f t="shared" si="28"/>
        <v>0</v>
      </c>
      <c r="M174" s="140" t="str">
        <f t="shared" si="29"/>
        <v>5110/002Share premium - additions</v>
      </c>
      <c r="N174" s="70"/>
      <c r="P174" s="71"/>
      <c r="Q174" s="51"/>
      <c r="R174" s="31"/>
    </row>
    <row r="175" spans="1:18" x14ac:dyDescent="0.2">
      <c r="A175" s="238"/>
      <c r="B175" s="86" t="s">
        <v>477</v>
      </c>
      <c r="C175" s="248" t="s">
        <v>478</v>
      </c>
      <c r="D175" s="286"/>
      <c r="E175" s="281"/>
      <c r="F175" s="79"/>
      <c r="G175" s="47">
        <f>SUMIF(JournalsC!D$14:D$920,TrialBalanceC!M175,JournalsC!J$14:J$920)+SUMIF(JournalsC!E$14:E$920,TrialBalanceC!M175,JournalsC!J$14:J$920)</f>
        <v>0</v>
      </c>
      <c r="H175" s="288"/>
      <c r="I175" s="291">
        <f t="shared" si="39"/>
        <v>0</v>
      </c>
      <c r="J175" s="75"/>
      <c r="K175" s="48">
        <f t="shared" si="28"/>
        <v>0</v>
      </c>
      <c r="M175" s="140" t="str">
        <f t="shared" si="29"/>
        <v>5110/003Share premium - transfer</v>
      </c>
      <c r="N175" s="70"/>
      <c r="P175" s="71"/>
      <c r="Q175" s="51"/>
      <c r="R175" s="31"/>
    </row>
    <row r="176" spans="1:18" x14ac:dyDescent="0.2">
      <c r="A176" s="238"/>
      <c r="B176" s="54" t="s">
        <v>431</v>
      </c>
      <c r="C176" s="239" t="s">
        <v>850</v>
      </c>
      <c r="D176" s="283"/>
      <c r="E176" s="281"/>
      <c r="F176" s="79"/>
      <c r="G176" s="47">
        <f>SUMIF(JournalsC!D$14:D$920,TrialBalanceC!M176,JournalsC!J$14:J$920)+SUMIF(JournalsC!E$14:E$920,TrialBalanceC!M176,JournalsC!J$14:J$920)</f>
        <v>0</v>
      </c>
      <c r="H176" s="288"/>
      <c r="I176" s="291">
        <f t="shared" si="39"/>
        <v>0</v>
      </c>
      <c r="J176" s="75"/>
      <c r="K176" s="48">
        <f t="shared" si="28"/>
        <v>0</v>
      </c>
      <c r="M176" s="140" t="str">
        <f t="shared" si="29"/>
        <v>5120/000REVALUATION RESERVE</v>
      </c>
      <c r="N176" s="70"/>
      <c r="P176" s="71"/>
      <c r="Q176" s="51"/>
      <c r="R176" s="31"/>
    </row>
    <row r="177" spans="1:18" x14ac:dyDescent="0.2">
      <c r="A177" s="238"/>
      <c r="B177" s="54" t="s">
        <v>432</v>
      </c>
      <c r="C177" s="242" t="s">
        <v>851</v>
      </c>
      <c r="D177" s="282"/>
      <c r="E177" s="281"/>
      <c r="F177" s="79">
        <f>SUM(K177:K179)</f>
        <v>0</v>
      </c>
      <c r="G177" s="47">
        <f>SUMIF(JournalsC!D$14:D$920,TrialBalanceC!M177,JournalsC!J$14:J$920)+SUMIF(JournalsC!E$14:E$920,TrialBalanceC!M177,JournalsC!J$14:J$920)</f>
        <v>0</v>
      </c>
      <c r="H177" s="288"/>
      <c r="I177" s="291">
        <f t="shared" si="39"/>
        <v>0</v>
      </c>
      <c r="J177" s="75"/>
      <c r="K177" s="48">
        <f t="shared" si="28"/>
        <v>0</v>
      </c>
      <c r="M177" s="140" t="str">
        <f t="shared" si="29"/>
        <v>5120/001Revaluation reserve - balance b/fwd</v>
      </c>
      <c r="N177" s="70"/>
      <c r="P177" s="71"/>
      <c r="Q177" s="51"/>
      <c r="R177" s="31"/>
    </row>
    <row r="178" spans="1:18" x14ac:dyDescent="0.2">
      <c r="A178" s="238"/>
      <c r="B178" s="54" t="s">
        <v>433</v>
      </c>
      <c r="C178" s="242" t="s">
        <v>852</v>
      </c>
      <c r="D178" s="282"/>
      <c r="E178" s="281"/>
      <c r="F178" s="79"/>
      <c r="G178" s="47">
        <f>SUMIF(JournalsC!D$14:D$920,TrialBalanceC!M178,JournalsC!J$14:J$920)+SUMIF(JournalsC!E$14:E$920,TrialBalanceC!M178,JournalsC!J$14:J$920)</f>
        <v>0</v>
      </c>
      <c r="H178" s="288"/>
      <c r="I178" s="291">
        <f t="shared" si="39"/>
        <v>0</v>
      </c>
      <c r="J178" s="75"/>
      <c r="K178" s="48">
        <f t="shared" si="28"/>
        <v>0</v>
      </c>
      <c r="M178" s="140" t="str">
        <f t="shared" si="29"/>
        <v>5120/002Revaluation reserve - additions</v>
      </c>
      <c r="N178" s="70"/>
      <c r="P178" s="71"/>
      <c r="Q178" s="51"/>
      <c r="R178" s="31"/>
    </row>
    <row r="179" spans="1:18" x14ac:dyDescent="0.2">
      <c r="A179" s="238"/>
      <c r="B179" s="54" t="s">
        <v>434</v>
      </c>
      <c r="C179" s="242" t="s">
        <v>853</v>
      </c>
      <c r="D179" s="282"/>
      <c r="E179" s="281"/>
      <c r="F179" s="79"/>
      <c r="G179" s="47">
        <f>SUMIF(JournalsC!D$14:D$920,TrialBalanceC!M179,JournalsC!J$14:J$920)+SUMIF(JournalsC!E$14:E$920,TrialBalanceC!M179,JournalsC!J$14:J$920)</f>
        <v>0</v>
      </c>
      <c r="H179" s="288"/>
      <c r="I179" s="291">
        <f t="shared" si="39"/>
        <v>0</v>
      </c>
      <c r="J179" s="75"/>
      <c r="K179" s="48">
        <f t="shared" si="28"/>
        <v>0</v>
      </c>
      <c r="M179" s="140" t="str">
        <f t="shared" si="29"/>
        <v>5120/003Revaluation reserve - transfer</v>
      </c>
      <c r="N179" s="70"/>
      <c r="P179" s="71"/>
      <c r="Q179" s="51"/>
      <c r="R179" s="31"/>
    </row>
    <row r="180" spans="1:18" x14ac:dyDescent="0.2">
      <c r="A180" s="238"/>
      <c r="B180" s="54" t="s">
        <v>79</v>
      </c>
      <c r="C180" s="239" t="s">
        <v>232</v>
      </c>
      <c r="D180" s="283"/>
      <c r="E180" s="281"/>
      <c r="F180" s="79"/>
      <c r="G180" s="47">
        <f>SUMIF(JournalsC!D$14:D$920,TrialBalanceC!M180,JournalsC!J$14:J$920)+SUMIF(JournalsC!E$14:E$920,TrialBalanceC!M180,JournalsC!J$14:J$920)</f>
        <v>0</v>
      </c>
      <c r="H180" s="288"/>
      <c r="I180" s="291">
        <f t="shared" si="39"/>
        <v>0</v>
      </c>
      <c r="J180" s="75"/>
      <c r="K180" s="48">
        <f t="shared" si="28"/>
        <v>0</v>
      </c>
      <c r="M180" s="140" t="str">
        <f t="shared" si="29"/>
        <v>5130/000OTHER RESERVES</v>
      </c>
      <c r="N180" s="70"/>
      <c r="P180" s="71"/>
      <c r="Q180" s="51"/>
      <c r="R180" s="31"/>
    </row>
    <row r="181" spans="1:18" x14ac:dyDescent="0.2">
      <c r="A181" s="238"/>
      <c r="B181" s="54" t="s">
        <v>233</v>
      </c>
      <c r="C181" s="242" t="s">
        <v>759</v>
      </c>
      <c r="D181" s="282"/>
      <c r="E181" s="281"/>
      <c r="F181" s="79">
        <f>SUM(K181:K183)</f>
        <v>0</v>
      </c>
      <c r="G181" s="47">
        <f>SUMIF(JournalsC!D$14:D$920,TrialBalanceC!M181,JournalsC!J$14:J$920)+SUMIF(JournalsC!E$14:E$920,TrialBalanceC!M181,JournalsC!J$14:J$920)</f>
        <v>0</v>
      </c>
      <c r="H181" s="288"/>
      <c r="I181" s="291">
        <f t="shared" si="39"/>
        <v>0</v>
      </c>
      <c r="J181" s="75"/>
      <c r="K181" s="48">
        <f t="shared" si="28"/>
        <v>0</v>
      </c>
      <c r="M181" s="140" t="str">
        <f t="shared" si="29"/>
        <v>5130/001Other reserves - Balance b/fwd</v>
      </c>
      <c r="N181" s="70"/>
      <c r="P181" s="71"/>
      <c r="Q181" s="51"/>
      <c r="R181" s="31"/>
    </row>
    <row r="182" spans="1:18" x14ac:dyDescent="0.2">
      <c r="A182" s="238"/>
      <c r="B182" s="54" t="s">
        <v>234</v>
      </c>
      <c r="C182" s="242" t="s">
        <v>725</v>
      </c>
      <c r="D182" s="282"/>
      <c r="E182" s="281"/>
      <c r="F182" s="79"/>
      <c r="G182" s="47">
        <f>SUMIF(JournalsC!D$14:D$920,TrialBalanceC!M182,JournalsC!J$14:J$920)+SUMIF(JournalsC!E$14:E$920,TrialBalanceC!M182,JournalsC!J$14:J$920)</f>
        <v>0</v>
      </c>
      <c r="H182" s="288"/>
      <c r="I182" s="291">
        <f t="shared" si="39"/>
        <v>0</v>
      </c>
      <c r="J182" s="75"/>
      <c r="K182" s="48">
        <f t="shared" si="28"/>
        <v>0</v>
      </c>
      <c r="M182" s="140" t="str">
        <f t="shared" si="29"/>
        <v>5130/002Other reserves - additions</v>
      </c>
      <c r="N182" s="70"/>
      <c r="P182" s="71"/>
      <c r="Q182" s="51"/>
      <c r="R182" s="31"/>
    </row>
    <row r="183" spans="1:18" x14ac:dyDescent="0.2">
      <c r="A183" s="238"/>
      <c r="B183" s="54" t="s">
        <v>306</v>
      </c>
      <c r="C183" s="240" t="s">
        <v>359</v>
      </c>
      <c r="D183" s="282"/>
      <c r="E183" s="281"/>
      <c r="F183" s="79"/>
      <c r="G183" s="47">
        <f>SUMIF(JournalsC!D$14:D$920,TrialBalanceC!M183,JournalsC!J$14:J$920)+SUMIF(JournalsC!E$14:E$920,TrialBalanceC!M183,JournalsC!J$14:J$920)</f>
        <v>0</v>
      </c>
      <c r="H183" s="288"/>
      <c r="I183" s="291">
        <f t="shared" si="39"/>
        <v>0</v>
      </c>
      <c r="J183" s="75"/>
      <c r="K183" s="48">
        <f t="shared" si="28"/>
        <v>0</v>
      </c>
      <c r="M183" s="140" t="str">
        <f t="shared" si="29"/>
        <v>5130/003Other reserves - transfer</v>
      </c>
      <c r="N183" s="70"/>
      <c r="P183" s="71"/>
      <c r="Q183" s="51"/>
      <c r="R183" s="31"/>
    </row>
    <row r="184" spans="1:18" x14ac:dyDescent="0.2">
      <c r="A184" s="238"/>
      <c r="B184" s="54" t="s">
        <v>360</v>
      </c>
      <c r="C184" s="239" t="s">
        <v>726</v>
      </c>
      <c r="D184" s="283"/>
      <c r="E184" s="281"/>
      <c r="F184" s="79">
        <f>K184+SUM(K5:K165)</f>
        <v>0</v>
      </c>
      <c r="G184" s="47">
        <f>SUMIF(JournalsC!D$14:D$920,TrialBalanceC!M184,JournalsC!J$14:J$920)+SUMIF(JournalsC!E$14:E$920,TrialBalanceC!M184,JournalsC!J$14:J$920)</f>
        <v>0</v>
      </c>
      <c r="H184" s="288"/>
      <c r="I184" s="291">
        <f t="shared" si="39"/>
        <v>0</v>
      </c>
      <c r="J184" s="75"/>
      <c r="K184" s="48">
        <f t="shared" si="28"/>
        <v>0</v>
      </c>
      <c r="M184" s="140" t="str">
        <f t="shared" si="29"/>
        <v>5200/000(Retained income) / Accumulated loss</v>
      </c>
      <c r="N184" s="70"/>
      <c r="P184" s="71"/>
      <c r="Q184" s="51"/>
      <c r="R184" s="31"/>
    </row>
    <row r="185" spans="1:18" x14ac:dyDescent="0.2">
      <c r="A185" s="238"/>
      <c r="B185" s="54" t="s">
        <v>116</v>
      </c>
      <c r="C185" s="239" t="s">
        <v>117</v>
      </c>
      <c r="D185" s="283"/>
      <c r="E185" s="281"/>
      <c r="F185" s="79"/>
      <c r="G185" s="47">
        <f>SUMIF(JournalsC!D$14:D$920,TrialBalanceC!M185,JournalsC!J$14:J$920)+SUMIF(JournalsC!E$14:E$920,TrialBalanceC!M185,JournalsC!J$14:J$920)</f>
        <v>0</v>
      </c>
      <c r="H185" s="288"/>
      <c r="I185" s="291">
        <f t="shared" si="39"/>
        <v>0</v>
      </c>
      <c r="J185" s="75"/>
      <c r="K185" s="48">
        <f t="shared" si="28"/>
        <v>0</v>
      </c>
      <c r="M185" s="140" t="str">
        <f t="shared" si="29"/>
        <v>5500/000LONG TERM  INTEREST LIABILITIES</v>
      </c>
      <c r="N185" s="70"/>
      <c r="P185" s="71"/>
      <c r="Q185" s="51"/>
      <c r="R185" s="31"/>
    </row>
    <row r="186" spans="1:18" x14ac:dyDescent="0.2">
      <c r="A186" s="238"/>
      <c r="B186" s="54" t="s">
        <v>118</v>
      </c>
      <c r="C186" s="276">
        <f>TrialBalance!C186</f>
        <v>0</v>
      </c>
      <c r="D186" s="281"/>
      <c r="E186" s="281"/>
      <c r="F186" s="79">
        <f>K186</f>
        <v>0</v>
      </c>
      <c r="G186" s="47">
        <f>SUMIF(JournalsC!D$14:D$920,TrialBalanceC!M186,JournalsC!J$14:J$920)+SUMIF(JournalsC!E$14:E$920,TrialBalanceC!M186,JournalsC!J$14:J$920)</f>
        <v>0</v>
      </c>
      <c r="H186" s="288"/>
      <c r="I186" s="291">
        <f t="shared" si="39"/>
        <v>0</v>
      </c>
      <c r="J186" s="75"/>
      <c r="K186" s="48">
        <f t="shared" si="28"/>
        <v>0</v>
      </c>
      <c r="M186" s="140" t="str">
        <f t="shared" si="29"/>
        <v>5500/0010</v>
      </c>
      <c r="N186" s="70"/>
      <c r="P186" s="71"/>
      <c r="Q186" s="51"/>
      <c r="R186" s="31"/>
    </row>
    <row r="187" spans="1:18" x14ac:dyDescent="0.2">
      <c r="A187" s="238"/>
      <c r="B187" s="54" t="s">
        <v>119</v>
      </c>
      <c r="C187" s="276">
        <f>TrialBalance!C187</f>
        <v>0</v>
      </c>
      <c r="D187" s="281"/>
      <c r="E187" s="281"/>
      <c r="F187" s="79">
        <f>K187</f>
        <v>0</v>
      </c>
      <c r="G187" s="47">
        <f>SUMIF(JournalsC!D$14:D$920,TrialBalanceC!M187,JournalsC!J$14:J$920)+SUMIF(JournalsC!E$14:E$920,TrialBalanceC!M187,JournalsC!J$14:J$920)</f>
        <v>0</v>
      </c>
      <c r="H187" s="288"/>
      <c r="I187" s="291">
        <f t="shared" si="39"/>
        <v>0</v>
      </c>
      <c r="J187" s="75"/>
      <c r="K187" s="48">
        <f t="shared" si="28"/>
        <v>0</v>
      </c>
      <c r="M187" s="140" t="str">
        <f t="shared" si="29"/>
        <v>5500/0020</v>
      </c>
      <c r="N187" s="70"/>
      <c r="P187" s="71"/>
      <c r="Q187" s="51"/>
      <c r="R187" s="31"/>
    </row>
    <row r="188" spans="1:18" x14ac:dyDescent="0.2">
      <c r="A188" s="238"/>
      <c r="B188" s="54" t="s">
        <v>120</v>
      </c>
      <c r="C188" s="276">
        <f>TrialBalance!C188</f>
        <v>0</v>
      </c>
      <c r="D188" s="284"/>
      <c r="E188" s="281"/>
      <c r="F188" s="79">
        <f>K188</f>
        <v>0</v>
      </c>
      <c r="G188" s="47">
        <f>SUMIF(JournalsC!D$14:D$920,TrialBalanceC!M188,JournalsC!J$14:J$920)+SUMIF(JournalsC!E$14:E$920,TrialBalanceC!M188,JournalsC!J$14:J$920)</f>
        <v>0</v>
      </c>
      <c r="H188" s="288"/>
      <c r="I188" s="291">
        <f t="shared" si="39"/>
        <v>0</v>
      </c>
      <c r="J188" s="75"/>
      <c r="K188" s="48">
        <f t="shared" si="28"/>
        <v>0</v>
      </c>
      <c r="M188" s="140" t="str">
        <f t="shared" si="29"/>
        <v>5500/0030</v>
      </c>
      <c r="N188" s="70"/>
      <c r="P188" s="71"/>
      <c r="Q188" s="51"/>
      <c r="R188" s="31"/>
    </row>
    <row r="189" spans="1:18" x14ac:dyDescent="0.2">
      <c r="A189" s="238"/>
      <c r="B189" s="54" t="s">
        <v>121</v>
      </c>
      <c r="C189" s="276">
        <f>TrialBalance!C189</f>
        <v>0</v>
      </c>
      <c r="D189" s="282"/>
      <c r="E189" s="281"/>
      <c r="F189" s="79">
        <f>K189</f>
        <v>0</v>
      </c>
      <c r="G189" s="47">
        <f>SUMIF(JournalsC!D$14:D$920,TrialBalanceC!M189,JournalsC!J$14:J$920)+SUMIF(JournalsC!E$14:E$920,TrialBalanceC!M189,JournalsC!J$14:J$920)</f>
        <v>0</v>
      </c>
      <c r="H189" s="288"/>
      <c r="I189" s="291">
        <f t="shared" si="39"/>
        <v>0</v>
      </c>
      <c r="J189" s="75"/>
      <c r="K189" s="48">
        <f t="shared" si="28"/>
        <v>0</v>
      </c>
      <c r="M189" s="140" t="str">
        <f t="shared" si="29"/>
        <v>5500/0040</v>
      </c>
      <c r="N189" s="70"/>
      <c r="P189" s="71"/>
      <c r="Q189" s="51"/>
      <c r="R189" s="31"/>
    </row>
    <row r="190" spans="1:18" x14ac:dyDescent="0.2">
      <c r="A190" s="238"/>
      <c r="B190" s="54" t="s">
        <v>122</v>
      </c>
      <c r="C190" s="276">
        <f>TrialBalance!C190</f>
        <v>0</v>
      </c>
      <c r="D190" s="282"/>
      <c r="E190" s="281"/>
      <c r="F190" s="79">
        <f>K190</f>
        <v>0</v>
      </c>
      <c r="G190" s="47">
        <f>SUMIF(JournalsC!D$14:D$920,TrialBalanceC!M190,JournalsC!J$14:J$920)+SUMIF(JournalsC!E$14:E$920,TrialBalanceC!M190,JournalsC!J$14:J$920)</f>
        <v>0</v>
      </c>
      <c r="H190" s="288"/>
      <c r="I190" s="291">
        <f t="shared" si="39"/>
        <v>0</v>
      </c>
      <c r="J190" s="75"/>
      <c r="K190" s="48">
        <f t="shared" si="28"/>
        <v>0</v>
      </c>
      <c r="M190" s="140" t="str">
        <f t="shared" si="29"/>
        <v>5500/0050</v>
      </c>
      <c r="N190" s="70"/>
      <c r="P190" s="71"/>
      <c r="Q190" s="51"/>
      <c r="R190" s="31"/>
    </row>
    <row r="191" spans="1:18" x14ac:dyDescent="0.2">
      <c r="A191" s="238"/>
      <c r="B191" s="90" t="s">
        <v>563</v>
      </c>
      <c r="C191" s="276">
        <f>TrialBalance!C191</f>
        <v>0</v>
      </c>
      <c r="D191" s="282"/>
      <c r="E191" s="281"/>
      <c r="F191" s="79">
        <f t="shared" ref="F191:F216" si="40">K191</f>
        <v>0</v>
      </c>
      <c r="G191" s="47">
        <f>SUMIF(JournalsC!D$14:D$920,TrialBalanceC!M191,JournalsC!J$14:J$920)+SUMIF(JournalsC!E$14:E$920,TrialBalanceC!M191,JournalsC!J$14:J$920)</f>
        <v>0</v>
      </c>
      <c r="H191" s="288"/>
      <c r="I191" s="291">
        <f t="shared" si="39"/>
        <v>0</v>
      </c>
      <c r="J191" s="75"/>
      <c r="K191" s="48">
        <f t="shared" si="28"/>
        <v>0</v>
      </c>
      <c r="M191" s="140" t="str">
        <f t="shared" si="29"/>
        <v>5500/0060</v>
      </c>
      <c r="N191" s="70"/>
      <c r="P191" s="71"/>
      <c r="Q191" s="51"/>
      <c r="R191" s="31"/>
    </row>
    <row r="192" spans="1:18" x14ac:dyDescent="0.2">
      <c r="A192" s="238"/>
      <c r="B192" s="90" t="s">
        <v>564</v>
      </c>
      <c r="C192" s="276">
        <f>TrialBalance!C192</f>
        <v>0</v>
      </c>
      <c r="D192" s="282"/>
      <c r="E192" s="281"/>
      <c r="F192" s="79">
        <f t="shared" si="40"/>
        <v>0</v>
      </c>
      <c r="G192" s="47">
        <f>SUMIF(JournalsC!D$14:D$920,TrialBalanceC!M192,JournalsC!J$14:J$920)+SUMIF(JournalsC!E$14:E$920,TrialBalanceC!M192,JournalsC!J$14:J$920)</f>
        <v>0</v>
      </c>
      <c r="H192" s="288"/>
      <c r="I192" s="291">
        <f t="shared" si="39"/>
        <v>0</v>
      </c>
      <c r="J192" s="75"/>
      <c r="K192" s="48">
        <f t="shared" si="28"/>
        <v>0</v>
      </c>
      <c r="M192" s="140" t="str">
        <f t="shared" si="29"/>
        <v>5500/0070</v>
      </c>
      <c r="N192" s="70"/>
      <c r="P192" s="71"/>
      <c r="Q192" s="51"/>
      <c r="R192" s="31"/>
    </row>
    <row r="193" spans="1:18" x14ac:dyDescent="0.2">
      <c r="A193" s="238"/>
      <c r="B193" s="90" t="s">
        <v>565</v>
      </c>
      <c r="C193" s="276">
        <f>TrialBalance!C193</f>
        <v>0</v>
      </c>
      <c r="D193" s="282"/>
      <c r="E193" s="281"/>
      <c r="F193" s="79">
        <f t="shared" si="40"/>
        <v>0</v>
      </c>
      <c r="G193" s="47">
        <f>SUMIF(JournalsC!D$14:D$920,TrialBalanceC!M193,JournalsC!J$14:J$920)+SUMIF(JournalsC!E$14:E$920,TrialBalanceC!M193,JournalsC!J$14:J$920)</f>
        <v>0</v>
      </c>
      <c r="H193" s="288"/>
      <c r="I193" s="291">
        <f t="shared" si="39"/>
        <v>0</v>
      </c>
      <c r="J193" s="75"/>
      <c r="K193" s="48">
        <f t="shared" si="28"/>
        <v>0</v>
      </c>
      <c r="M193" s="140" t="str">
        <f t="shared" si="29"/>
        <v>5500/0080</v>
      </c>
      <c r="N193" s="70"/>
      <c r="P193" s="71"/>
      <c r="Q193" s="51"/>
      <c r="R193" s="31"/>
    </row>
    <row r="194" spans="1:18" x14ac:dyDescent="0.2">
      <c r="A194" s="238"/>
      <c r="B194" s="90" t="s">
        <v>566</v>
      </c>
      <c r="C194" s="276">
        <f>TrialBalance!C194</f>
        <v>0</v>
      </c>
      <c r="D194" s="282"/>
      <c r="E194" s="281"/>
      <c r="F194" s="79">
        <f t="shared" si="40"/>
        <v>0</v>
      </c>
      <c r="G194" s="47">
        <f>SUMIF(JournalsC!D$14:D$920,TrialBalanceC!M194,JournalsC!J$14:J$920)+SUMIF(JournalsC!E$14:E$920,TrialBalanceC!M194,JournalsC!J$14:J$920)</f>
        <v>0</v>
      </c>
      <c r="H194" s="288"/>
      <c r="I194" s="291">
        <f t="shared" si="39"/>
        <v>0</v>
      </c>
      <c r="J194" s="75"/>
      <c r="K194" s="48">
        <f t="shared" si="28"/>
        <v>0</v>
      </c>
      <c r="M194" s="140" t="str">
        <f t="shared" si="29"/>
        <v>5500/0090</v>
      </c>
      <c r="N194" s="70"/>
      <c r="P194" s="71"/>
      <c r="Q194" s="51"/>
      <c r="R194" s="31"/>
    </row>
    <row r="195" spans="1:18" x14ac:dyDescent="0.2">
      <c r="A195" s="238"/>
      <c r="B195" s="90" t="s">
        <v>567</v>
      </c>
      <c r="C195" s="276">
        <f>TrialBalance!C195</f>
        <v>0</v>
      </c>
      <c r="D195" s="282"/>
      <c r="E195" s="281"/>
      <c r="F195" s="79">
        <f t="shared" si="40"/>
        <v>0</v>
      </c>
      <c r="G195" s="47">
        <f>SUMIF(JournalsC!D$14:D$920,TrialBalanceC!M195,JournalsC!J$14:J$920)+SUMIF(JournalsC!E$14:E$920,TrialBalanceC!M195,JournalsC!J$14:J$920)</f>
        <v>0</v>
      </c>
      <c r="H195" s="288"/>
      <c r="I195" s="291">
        <f t="shared" si="39"/>
        <v>0</v>
      </c>
      <c r="J195" s="75"/>
      <c r="K195" s="48">
        <f t="shared" si="28"/>
        <v>0</v>
      </c>
      <c r="M195" s="140" t="str">
        <f t="shared" si="29"/>
        <v>5500/0100</v>
      </c>
      <c r="N195" s="70"/>
      <c r="P195" s="71"/>
      <c r="Q195" s="51"/>
      <c r="R195" s="31"/>
    </row>
    <row r="196" spans="1:18" x14ac:dyDescent="0.2">
      <c r="A196" s="238"/>
      <c r="B196" s="90" t="s">
        <v>568</v>
      </c>
      <c r="C196" s="276">
        <f>TrialBalance!C196</f>
        <v>0</v>
      </c>
      <c r="D196" s="282"/>
      <c r="E196" s="281"/>
      <c r="F196" s="79">
        <f t="shared" si="40"/>
        <v>0</v>
      </c>
      <c r="G196" s="47">
        <f>SUMIF(JournalsC!D$14:D$920,TrialBalanceC!M196,JournalsC!J$14:J$920)+SUMIF(JournalsC!E$14:E$920,TrialBalanceC!M196,JournalsC!J$14:J$920)</f>
        <v>0</v>
      </c>
      <c r="H196" s="288"/>
      <c r="I196" s="291">
        <f t="shared" si="39"/>
        <v>0</v>
      </c>
      <c r="J196" s="75"/>
      <c r="K196" s="48">
        <f t="shared" si="28"/>
        <v>0</v>
      </c>
      <c r="M196" s="140" t="str">
        <f t="shared" si="29"/>
        <v>5500/0110</v>
      </c>
      <c r="N196" s="70"/>
      <c r="P196" s="71"/>
      <c r="Q196" s="51"/>
      <c r="R196" s="31"/>
    </row>
    <row r="197" spans="1:18" x14ac:dyDescent="0.2">
      <c r="A197" s="238"/>
      <c r="B197" s="90" t="s">
        <v>569</v>
      </c>
      <c r="C197" s="276">
        <f>TrialBalance!C197</f>
        <v>0</v>
      </c>
      <c r="D197" s="282"/>
      <c r="E197" s="281"/>
      <c r="F197" s="79">
        <f t="shared" si="40"/>
        <v>0</v>
      </c>
      <c r="G197" s="47">
        <f>SUMIF(JournalsC!D$14:D$920,TrialBalanceC!M197,JournalsC!J$14:J$920)+SUMIF(JournalsC!E$14:E$920,TrialBalanceC!M197,JournalsC!J$14:J$920)</f>
        <v>0</v>
      </c>
      <c r="H197" s="288"/>
      <c r="I197" s="291">
        <f t="shared" si="39"/>
        <v>0</v>
      </c>
      <c r="J197" s="75"/>
      <c r="K197" s="48">
        <f t="shared" si="28"/>
        <v>0</v>
      </c>
      <c r="M197" s="140" t="str">
        <f t="shared" si="29"/>
        <v>5500/0120</v>
      </c>
      <c r="N197" s="70"/>
      <c r="P197" s="71"/>
      <c r="Q197" s="51"/>
      <c r="R197" s="31"/>
    </row>
    <row r="198" spans="1:18" x14ac:dyDescent="0.2">
      <c r="A198" s="238"/>
      <c r="B198" s="90" t="s">
        <v>570</v>
      </c>
      <c r="C198" s="276">
        <f>TrialBalance!C198</f>
        <v>0</v>
      </c>
      <c r="D198" s="282"/>
      <c r="E198" s="281"/>
      <c r="F198" s="79">
        <f t="shared" ref="F198:F199" si="41">K198</f>
        <v>0</v>
      </c>
      <c r="G198" s="47">
        <f>SUMIF(JournalsC!D$14:D$920,TrialBalanceC!M198,JournalsC!J$14:J$920)+SUMIF(JournalsC!E$14:E$920,TrialBalanceC!M198,JournalsC!J$14:J$920)</f>
        <v>0</v>
      </c>
      <c r="H198" s="288"/>
      <c r="I198" s="291">
        <f t="shared" ref="I198:I199" si="42">ROUND(D198-E198+G198+F198,0)</f>
        <v>0</v>
      </c>
      <c r="J198" s="75"/>
      <c r="K198" s="48">
        <f t="shared" ref="K198:K199" si="43">ROUND(SUM(A198),0)</f>
        <v>0</v>
      </c>
      <c r="M198" s="140" t="str">
        <f t="shared" ref="M198:M199" si="44">CONCATENATE(B198,C198)</f>
        <v>5500/0130</v>
      </c>
      <c r="N198" s="70"/>
      <c r="P198" s="71"/>
      <c r="Q198" s="51"/>
      <c r="R198" s="31"/>
    </row>
    <row r="199" spans="1:18" x14ac:dyDescent="0.2">
      <c r="A199" s="238"/>
      <c r="B199" s="90" t="s">
        <v>619</v>
      </c>
      <c r="C199" s="276">
        <f>TrialBalance!C199</f>
        <v>0</v>
      </c>
      <c r="D199" s="282"/>
      <c r="E199" s="281"/>
      <c r="F199" s="79">
        <f t="shared" si="41"/>
        <v>0</v>
      </c>
      <c r="G199" s="47">
        <f>SUMIF(JournalsC!D$14:D$920,TrialBalanceC!M199,JournalsC!J$14:J$920)+SUMIF(JournalsC!E$14:E$920,TrialBalanceC!M199,JournalsC!J$14:J$920)</f>
        <v>0</v>
      </c>
      <c r="H199" s="288"/>
      <c r="I199" s="291">
        <f t="shared" si="42"/>
        <v>0</v>
      </c>
      <c r="J199" s="75"/>
      <c r="K199" s="48">
        <f t="shared" si="43"/>
        <v>0</v>
      </c>
      <c r="M199" s="140" t="str">
        <f t="shared" si="44"/>
        <v>5500/0140</v>
      </c>
      <c r="N199" s="70"/>
      <c r="P199" s="71"/>
      <c r="Q199" s="51"/>
      <c r="R199" s="31"/>
    </row>
    <row r="200" spans="1:18" x14ac:dyDescent="0.2">
      <c r="A200" s="238"/>
      <c r="B200" s="90" t="s">
        <v>620</v>
      </c>
      <c r="C200" s="276">
        <f>TrialBalance!C200</f>
        <v>0</v>
      </c>
      <c r="D200" s="282"/>
      <c r="E200" s="281"/>
      <c r="F200" s="79">
        <f t="shared" si="40"/>
        <v>0</v>
      </c>
      <c r="G200" s="47">
        <f>SUMIF(JournalsC!D$14:D$920,TrialBalanceC!M200,JournalsC!J$14:J$920)+SUMIF(JournalsC!E$14:E$920,TrialBalanceC!M200,JournalsC!J$14:J$920)</f>
        <v>0</v>
      </c>
      <c r="H200" s="288"/>
      <c r="I200" s="291">
        <f t="shared" si="39"/>
        <v>0</v>
      </c>
      <c r="J200" s="75"/>
      <c r="K200" s="48">
        <f t="shared" si="28"/>
        <v>0</v>
      </c>
      <c r="M200" s="140" t="str">
        <f t="shared" si="29"/>
        <v>5500/0150</v>
      </c>
      <c r="N200" s="70"/>
      <c r="P200" s="71"/>
      <c r="Q200" s="51"/>
      <c r="R200" s="31"/>
    </row>
    <row r="201" spans="1:18" x14ac:dyDescent="0.2">
      <c r="A201" s="238"/>
      <c r="B201" s="54" t="s">
        <v>123</v>
      </c>
      <c r="C201" s="240" t="s">
        <v>237</v>
      </c>
      <c r="D201" s="282"/>
      <c r="E201" s="281"/>
      <c r="F201" s="79">
        <f t="shared" si="40"/>
        <v>0</v>
      </c>
      <c r="G201" s="47">
        <f>SUMIF(JournalsC!D$14:D$920,TrialBalanceC!M201,JournalsC!J$14:J$920)+SUMIF(JournalsC!E$14:E$920,TrialBalanceC!M201,JournalsC!J$14:J$920)</f>
        <v>0</v>
      </c>
      <c r="H201" s="288"/>
      <c r="I201" s="291">
        <f t="shared" si="39"/>
        <v>0</v>
      </c>
      <c r="J201" s="75"/>
      <c r="K201" s="48">
        <f t="shared" si="28"/>
        <v>0</v>
      </c>
      <c r="M201" s="140" t="str">
        <f t="shared" si="29"/>
        <v>5520/000Short term portion of long term loans</v>
      </c>
      <c r="N201" s="70"/>
      <c r="P201" s="71"/>
      <c r="Q201" s="51"/>
      <c r="R201" s="31"/>
    </row>
    <row r="202" spans="1:18" x14ac:dyDescent="0.2">
      <c r="A202" s="238"/>
      <c r="B202" s="54" t="s">
        <v>125</v>
      </c>
      <c r="C202" s="239" t="s">
        <v>126</v>
      </c>
      <c r="D202" s="283"/>
      <c r="E202" s="281"/>
      <c r="F202" s="79">
        <f t="shared" si="40"/>
        <v>0</v>
      </c>
      <c r="G202" s="47">
        <f>SUMIF(JournalsC!D$14:D$920,TrialBalanceC!M202,JournalsC!J$14:J$920)+SUMIF(JournalsC!E$14:E$920,TrialBalanceC!M202,JournalsC!J$14:J$920)</f>
        <v>0</v>
      </c>
      <c r="H202" s="288"/>
      <c r="I202" s="291">
        <f t="shared" si="39"/>
        <v>0</v>
      </c>
      <c r="J202" s="75"/>
      <c r="K202" s="48">
        <f t="shared" si="28"/>
        <v>0</v>
      </c>
      <c r="M202" s="140" t="str">
        <f t="shared" si="29"/>
        <v>5550/000LONG TERM INTEREST FREE LOANS</v>
      </c>
      <c r="N202" s="70"/>
      <c r="P202" s="71"/>
      <c r="Q202" s="51"/>
      <c r="R202" s="31"/>
    </row>
    <row r="203" spans="1:18" x14ac:dyDescent="0.2">
      <c r="A203" s="238"/>
      <c r="B203" s="54" t="s">
        <v>127</v>
      </c>
      <c r="C203" s="276">
        <f>TrialBalance!C203</f>
        <v>0</v>
      </c>
      <c r="D203" s="284"/>
      <c r="E203" s="281"/>
      <c r="F203" s="79">
        <f t="shared" si="40"/>
        <v>0</v>
      </c>
      <c r="G203" s="47">
        <f>SUMIF(JournalsC!D$14:D$920,TrialBalanceC!M203,JournalsC!J$14:J$920)+SUMIF(JournalsC!E$14:E$920,TrialBalanceC!M203,JournalsC!J$14:J$920)</f>
        <v>0</v>
      </c>
      <c r="H203" s="288"/>
      <c r="I203" s="256">
        <f t="shared" si="39"/>
        <v>0</v>
      </c>
      <c r="J203" s="91"/>
      <c r="K203" s="48">
        <f t="shared" si="28"/>
        <v>0</v>
      </c>
      <c r="M203" s="140" t="str">
        <f t="shared" si="29"/>
        <v>5550/0010</v>
      </c>
      <c r="N203" s="70"/>
      <c r="P203" s="71"/>
      <c r="Q203" s="51"/>
      <c r="R203" s="31"/>
    </row>
    <row r="204" spans="1:18" x14ac:dyDescent="0.2">
      <c r="A204" s="238"/>
      <c r="B204" s="54" t="s">
        <v>128</v>
      </c>
      <c r="C204" s="276">
        <f>TrialBalance!C204</f>
        <v>0</v>
      </c>
      <c r="D204" s="284"/>
      <c r="E204" s="281"/>
      <c r="F204" s="79">
        <f t="shared" si="40"/>
        <v>0</v>
      </c>
      <c r="G204" s="47">
        <f>SUMIF(JournalsC!D$14:D$920,TrialBalanceC!M204,JournalsC!J$14:J$920)+SUMIF(JournalsC!E$14:E$920,TrialBalanceC!M204,JournalsC!J$14:J$920)</f>
        <v>0</v>
      </c>
      <c r="H204" s="288"/>
      <c r="I204" s="291">
        <f t="shared" si="39"/>
        <v>0</v>
      </c>
      <c r="J204" s="75"/>
      <c r="K204" s="48">
        <f t="shared" si="28"/>
        <v>0</v>
      </c>
      <c r="M204" s="140" t="str">
        <f t="shared" si="29"/>
        <v>5550/0020</v>
      </c>
      <c r="N204" s="70"/>
      <c r="P204" s="71"/>
      <c r="Q204" s="51"/>
      <c r="R204" s="31"/>
    </row>
    <row r="205" spans="1:18" x14ac:dyDescent="0.2">
      <c r="A205" s="238"/>
      <c r="B205" s="54" t="s">
        <v>129</v>
      </c>
      <c r="C205" s="276">
        <f>TrialBalance!C205</f>
        <v>0</v>
      </c>
      <c r="D205" s="284"/>
      <c r="E205" s="281"/>
      <c r="F205" s="79">
        <f t="shared" si="40"/>
        <v>0</v>
      </c>
      <c r="G205" s="47">
        <f>SUMIF(JournalsC!D$14:D$920,TrialBalanceC!M205,JournalsC!J$14:J$920)+SUMIF(JournalsC!E$14:E$920,TrialBalanceC!M205,JournalsC!J$14:J$920)</f>
        <v>0</v>
      </c>
      <c r="H205" s="288"/>
      <c r="I205" s="256">
        <f t="shared" si="39"/>
        <v>0</v>
      </c>
      <c r="J205" s="91"/>
      <c r="K205" s="48">
        <f t="shared" si="28"/>
        <v>0</v>
      </c>
      <c r="M205" s="140" t="str">
        <f t="shared" si="29"/>
        <v>5550/0030</v>
      </c>
      <c r="N205" s="70"/>
      <c r="P205" s="71"/>
      <c r="Q205" s="51"/>
      <c r="R205" s="31"/>
    </row>
    <row r="206" spans="1:18" x14ac:dyDescent="0.2">
      <c r="A206" s="238"/>
      <c r="B206" s="54" t="s">
        <v>130</v>
      </c>
      <c r="C206" s="276">
        <f>TrialBalance!C206</f>
        <v>0</v>
      </c>
      <c r="D206" s="284"/>
      <c r="E206" s="281"/>
      <c r="F206" s="79">
        <f t="shared" si="40"/>
        <v>0</v>
      </c>
      <c r="G206" s="47">
        <f>SUMIF(JournalsC!D$14:D$920,TrialBalanceC!M206,JournalsC!J$14:J$920)+SUMIF(JournalsC!E$14:E$920,TrialBalanceC!M206,JournalsC!J$14:J$920)</f>
        <v>0</v>
      </c>
      <c r="H206" s="288"/>
      <c r="I206" s="256">
        <f t="shared" si="39"/>
        <v>0</v>
      </c>
      <c r="J206" s="91"/>
      <c r="K206" s="48">
        <f t="shared" si="28"/>
        <v>0</v>
      </c>
      <c r="M206" s="140" t="str">
        <f t="shared" si="29"/>
        <v>5550/0040</v>
      </c>
      <c r="N206" s="70"/>
      <c r="P206" s="71"/>
      <c r="Q206" s="51"/>
      <c r="R206" s="31"/>
    </row>
    <row r="207" spans="1:18" x14ac:dyDescent="0.2">
      <c r="A207" s="238"/>
      <c r="B207" s="54" t="s">
        <v>131</v>
      </c>
      <c r="C207" s="276">
        <f>TrialBalance!C207</f>
        <v>0</v>
      </c>
      <c r="D207" s="281"/>
      <c r="E207" s="281"/>
      <c r="F207" s="79">
        <f t="shared" si="40"/>
        <v>0</v>
      </c>
      <c r="G207" s="47">
        <f>SUMIF(JournalsC!D$14:D$920,TrialBalanceC!M207,JournalsC!J$14:J$920)+SUMIF(JournalsC!E$14:E$920,TrialBalanceC!M207,JournalsC!J$14:J$920)</f>
        <v>0</v>
      </c>
      <c r="H207" s="288"/>
      <c r="I207" s="291">
        <f t="shared" si="39"/>
        <v>0</v>
      </c>
      <c r="J207" s="75"/>
      <c r="K207" s="48">
        <f t="shared" si="28"/>
        <v>0</v>
      </c>
      <c r="M207" s="140" t="str">
        <f t="shared" si="29"/>
        <v>5550/0050</v>
      </c>
      <c r="N207" s="70"/>
      <c r="P207" s="71"/>
      <c r="Q207" s="51"/>
      <c r="R207" s="31"/>
    </row>
    <row r="208" spans="1:18" x14ac:dyDescent="0.2">
      <c r="A208" s="238"/>
      <c r="B208" s="90" t="s">
        <v>590</v>
      </c>
      <c r="C208" s="276">
        <f>TrialBalance!C208</f>
        <v>0</v>
      </c>
      <c r="D208" s="284"/>
      <c r="E208" s="281"/>
      <c r="F208" s="79">
        <f t="shared" si="40"/>
        <v>0</v>
      </c>
      <c r="G208" s="47">
        <f>SUMIF(JournalsC!D$14:D$920,TrialBalanceC!M208,JournalsC!J$14:J$920)+SUMIF(JournalsC!E$14:E$920,TrialBalanceC!M208,JournalsC!J$14:J$920)</f>
        <v>0</v>
      </c>
      <c r="H208" s="288"/>
      <c r="I208" s="256">
        <f t="shared" si="39"/>
        <v>0</v>
      </c>
      <c r="J208" s="91"/>
      <c r="K208" s="48">
        <f t="shared" ref="K208:K283" si="45">ROUND(SUM(A208),0)</f>
        <v>0</v>
      </c>
      <c r="M208" s="140" t="str">
        <f t="shared" ref="M208:M283" si="46">CONCATENATE(B208,C208)</f>
        <v>5550/0060</v>
      </c>
      <c r="N208" s="70"/>
      <c r="P208" s="71"/>
      <c r="Q208" s="51"/>
      <c r="R208" s="31"/>
    </row>
    <row r="209" spans="1:18" x14ac:dyDescent="0.2">
      <c r="A209" s="238"/>
      <c r="B209" s="90" t="s">
        <v>591</v>
      </c>
      <c r="C209" s="276">
        <f>TrialBalance!C209</f>
        <v>0</v>
      </c>
      <c r="D209" s="281"/>
      <c r="E209" s="281"/>
      <c r="F209" s="79">
        <f t="shared" si="40"/>
        <v>0</v>
      </c>
      <c r="G209" s="47">
        <f>SUMIF(JournalsC!D$14:D$920,TrialBalanceC!M209,JournalsC!J$14:J$920)+SUMIF(JournalsC!E$14:E$920,TrialBalanceC!M209,JournalsC!J$14:J$920)</f>
        <v>0</v>
      </c>
      <c r="H209" s="288"/>
      <c r="I209" s="256">
        <f t="shared" si="39"/>
        <v>0</v>
      </c>
      <c r="J209" s="91"/>
      <c r="K209" s="48">
        <f t="shared" si="45"/>
        <v>0</v>
      </c>
      <c r="M209" s="140" t="str">
        <f t="shared" si="46"/>
        <v>5550/0070</v>
      </c>
      <c r="N209" s="70"/>
      <c r="P209" s="71"/>
      <c r="Q209" s="51"/>
      <c r="R209" s="31"/>
    </row>
    <row r="210" spans="1:18" x14ac:dyDescent="0.2">
      <c r="A210" s="238"/>
      <c r="B210" s="90" t="s">
        <v>592</v>
      </c>
      <c r="C210" s="276">
        <f>TrialBalance!C210</f>
        <v>0</v>
      </c>
      <c r="D210" s="281"/>
      <c r="E210" s="281"/>
      <c r="F210" s="79">
        <f t="shared" si="40"/>
        <v>0</v>
      </c>
      <c r="G210" s="47">
        <f>SUMIF(JournalsC!D$14:D$920,TrialBalanceC!M210,JournalsC!J$14:J$920)+SUMIF(JournalsC!E$14:E$920,TrialBalanceC!M210,JournalsC!J$14:J$920)</f>
        <v>0</v>
      </c>
      <c r="H210" s="288"/>
      <c r="I210" s="291">
        <f t="shared" si="39"/>
        <v>0</v>
      </c>
      <c r="J210" s="75"/>
      <c r="K210" s="48">
        <f t="shared" si="45"/>
        <v>0</v>
      </c>
      <c r="M210" s="140" t="str">
        <f t="shared" si="46"/>
        <v>5550/0080</v>
      </c>
      <c r="N210" s="70"/>
      <c r="P210" s="71"/>
      <c r="Q210" s="51"/>
      <c r="R210" s="31"/>
    </row>
    <row r="211" spans="1:18" x14ac:dyDescent="0.2">
      <c r="A211" s="238"/>
      <c r="B211" s="90" t="s">
        <v>593</v>
      </c>
      <c r="C211" s="276">
        <f>TrialBalance!C211</f>
        <v>0</v>
      </c>
      <c r="D211" s="274"/>
      <c r="E211" s="281"/>
      <c r="F211" s="79">
        <f t="shared" si="40"/>
        <v>0</v>
      </c>
      <c r="G211" s="47">
        <f>SUMIF(JournalsC!D$14:D$920,TrialBalanceC!M211,JournalsC!J$14:J$920)+SUMIF(JournalsC!E$14:E$920,TrialBalanceC!M211,JournalsC!J$14:J$920)</f>
        <v>0</v>
      </c>
      <c r="H211" s="288"/>
      <c r="I211" s="256">
        <f t="shared" si="39"/>
        <v>0</v>
      </c>
      <c r="J211" s="91"/>
      <c r="K211" s="48">
        <f t="shared" si="45"/>
        <v>0</v>
      </c>
      <c r="M211" s="140" t="str">
        <f t="shared" si="46"/>
        <v>5550/0090</v>
      </c>
      <c r="N211" s="70"/>
      <c r="P211" s="71"/>
      <c r="Q211" s="51"/>
      <c r="R211" s="31"/>
    </row>
    <row r="212" spans="1:18" x14ac:dyDescent="0.2">
      <c r="A212" s="238"/>
      <c r="B212" s="90" t="s">
        <v>613</v>
      </c>
      <c r="C212" s="276">
        <f>TrialBalance!C212</f>
        <v>0</v>
      </c>
      <c r="D212" s="287"/>
      <c r="E212" s="281"/>
      <c r="F212" s="79">
        <f t="shared" si="40"/>
        <v>0</v>
      </c>
      <c r="G212" s="47">
        <f>SUMIF(JournalsC!D$14:D$920,TrialBalanceC!M212,JournalsC!J$14:J$920)+SUMIF(JournalsC!E$14:E$920,TrialBalanceC!M212,JournalsC!J$14:J$920)</f>
        <v>0</v>
      </c>
      <c r="H212" s="288"/>
      <c r="I212" s="291">
        <f t="shared" si="39"/>
        <v>0</v>
      </c>
      <c r="J212" s="75"/>
      <c r="K212" s="48">
        <f t="shared" si="45"/>
        <v>0</v>
      </c>
      <c r="M212" s="140" t="str">
        <f t="shared" si="46"/>
        <v>5550/0100</v>
      </c>
      <c r="N212" s="70"/>
      <c r="P212" s="71"/>
      <c r="Q212" s="51"/>
      <c r="R212" s="31"/>
    </row>
    <row r="213" spans="1:18" x14ac:dyDescent="0.2">
      <c r="A213" s="238"/>
      <c r="B213" s="90" t="s">
        <v>626</v>
      </c>
      <c r="C213" s="276">
        <f>TrialBalance!C213</f>
        <v>0</v>
      </c>
      <c r="D213" s="287"/>
      <c r="E213" s="281"/>
      <c r="F213" s="79">
        <f t="shared" si="40"/>
        <v>0</v>
      </c>
      <c r="G213" s="47">
        <f>SUMIF(JournalsC!D$14:D$920,TrialBalanceC!M213,JournalsC!J$14:J$920)+SUMIF(JournalsC!E$14:E$920,TrialBalanceC!M213,JournalsC!J$14:J$920)</f>
        <v>0</v>
      </c>
      <c r="H213" s="288"/>
      <c r="I213" s="291">
        <f t="shared" si="39"/>
        <v>0</v>
      </c>
      <c r="J213" s="75"/>
      <c r="K213" s="48">
        <f t="shared" si="45"/>
        <v>0</v>
      </c>
      <c r="M213" s="140" t="str">
        <f t="shared" si="46"/>
        <v>5550/0110</v>
      </c>
      <c r="N213" s="70"/>
      <c r="P213" s="71"/>
      <c r="Q213" s="51"/>
      <c r="R213" s="31"/>
    </row>
    <row r="214" spans="1:18" x14ac:dyDescent="0.2">
      <c r="A214" s="238"/>
      <c r="B214" s="90" t="s">
        <v>627</v>
      </c>
      <c r="C214" s="276">
        <f>TrialBalance!C214</f>
        <v>0</v>
      </c>
      <c r="D214" s="287"/>
      <c r="E214" s="281"/>
      <c r="F214" s="79">
        <f t="shared" si="40"/>
        <v>0</v>
      </c>
      <c r="G214" s="47">
        <f>SUMIF(JournalsC!D$14:D$920,TrialBalanceC!M214,JournalsC!J$14:J$920)+SUMIF(JournalsC!E$14:E$920,TrialBalanceC!M214,JournalsC!J$14:J$920)</f>
        <v>0</v>
      </c>
      <c r="H214" s="288"/>
      <c r="I214" s="291">
        <f t="shared" si="39"/>
        <v>0</v>
      </c>
      <c r="J214" s="75"/>
      <c r="K214" s="48">
        <f t="shared" si="45"/>
        <v>0</v>
      </c>
      <c r="M214" s="140" t="str">
        <f t="shared" si="46"/>
        <v>5550/0120</v>
      </c>
      <c r="N214" s="70"/>
      <c r="P214" s="71"/>
      <c r="Q214" s="51"/>
      <c r="R214" s="31"/>
    </row>
    <row r="215" spans="1:18" x14ac:dyDescent="0.2">
      <c r="A215" s="238"/>
      <c r="B215" s="90" t="s">
        <v>628</v>
      </c>
      <c r="C215" s="276">
        <f>TrialBalance!C215</f>
        <v>0</v>
      </c>
      <c r="D215" s="287"/>
      <c r="E215" s="281"/>
      <c r="F215" s="79">
        <f t="shared" si="40"/>
        <v>0</v>
      </c>
      <c r="G215" s="47">
        <f>SUMIF(JournalsC!D$14:D$920,TrialBalanceC!M215,JournalsC!J$14:J$920)+SUMIF(JournalsC!E$14:E$920,TrialBalanceC!M215,JournalsC!J$14:J$920)</f>
        <v>0</v>
      </c>
      <c r="H215" s="288"/>
      <c r="I215" s="291">
        <f t="shared" si="39"/>
        <v>0</v>
      </c>
      <c r="J215" s="75"/>
      <c r="K215" s="48">
        <f t="shared" si="45"/>
        <v>0</v>
      </c>
      <c r="M215" s="140" t="str">
        <f t="shared" si="46"/>
        <v>5550/0130</v>
      </c>
      <c r="N215" s="70"/>
      <c r="P215" s="71"/>
      <c r="Q215" s="51"/>
      <c r="R215" s="31"/>
    </row>
    <row r="216" spans="1:18" x14ac:dyDescent="0.2">
      <c r="A216" s="238"/>
      <c r="B216" s="90" t="s">
        <v>629</v>
      </c>
      <c r="C216" s="276">
        <f>TrialBalance!C216</f>
        <v>0</v>
      </c>
      <c r="D216" s="283"/>
      <c r="E216" s="281"/>
      <c r="F216" s="79">
        <f t="shared" si="40"/>
        <v>0</v>
      </c>
      <c r="G216" s="47">
        <f>SUMIF(JournalsC!D$14:D$920,TrialBalanceC!M216,JournalsC!J$14:J$920)+SUMIF(JournalsC!E$14:E$920,TrialBalanceC!M216,JournalsC!J$14:J$920)</f>
        <v>0</v>
      </c>
      <c r="H216" s="288"/>
      <c r="I216" s="291">
        <f t="shared" si="39"/>
        <v>0</v>
      </c>
      <c r="J216" s="75"/>
      <c r="K216" s="48">
        <f t="shared" si="45"/>
        <v>0</v>
      </c>
      <c r="M216" s="140" t="str">
        <f t="shared" si="46"/>
        <v>5550/0140</v>
      </c>
      <c r="N216" s="70"/>
      <c r="P216" s="71"/>
      <c r="Q216" s="51"/>
      <c r="R216" s="31"/>
    </row>
    <row r="217" spans="1:18" x14ac:dyDescent="0.2">
      <c r="A217" s="238"/>
      <c r="B217" s="90" t="s">
        <v>630</v>
      </c>
      <c r="C217" s="276">
        <f>TrialBalance!C217</f>
        <v>0</v>
      </c>
      <c r="D217" s="282"/>
      <c r="E217" s="281"/>
      <c r="F217" s="79">
        <f>K217</f>
        <v>0</v>
      </c>
      <c r="G217" s="47">
        <f>SUMIF(JournalsC!D$14:D$920,TrialBalanceC!M217,JournalsC!J$14:J$920)+SUMIF(JournalsC!E$14:E$920,TrialBalanceC!M217,JournalsC!J$14:J$920)</f>
        <v>0</v>
      </c>
      <c r="H217" s="288"/>
      <c r="I217" s="291">
        <f t="shared" si="39"/>
        <v>0</v>
      </c>
      <c r="J217" s="75"/>
      <c r="K217" s="48">
        <f t="shared" si="45"/>
        <v>0</v>
      </c>
      <c r="M217" s="140" t="str">
        <f t="shared" si="46"/>
        <v>5550/0150</v>
      </c>
      <c r="N217" s="70"/>
      <c r="P217" s="71"/>
      <c r="Q217" s="51"/>
      <c r="R217" s="31"/>
    </row>
    <row r="218" spans="1:18" x14ac:dyDescent="0.2">
      <c r="A218" s="238"/>
      <c r="B218" s="90" t="s">
        <v>631</v>
      </c>
      <c r="C218" s="276">
        <f>TrialBalance!C218</f>
        <v>0</v>
      </c>
      <c r="D218" s="272"/>
      <c r="E218" s="281"/>
      <c r="F218" s="79">
        <f>K218</f>
        <v>0</v>
      </c>
      <c r="G218" s="47">
        <f>SUMIF(JournalsC!D$14:D$920,TrialBalanceC!M218,JournalsC!J$14:J$920)+SUMIF(JournalsC!E$14:E$920,TrialBalanceC!M218,JournalsC!J$14:J$920)</f>
        <v>0</v>
      </c>
      <c r="H218" s="288"/>
      <c r="I218" s="291">
        <f t="shared" si="39"/>
        <v>0</v>
      </c>
      <c r="J218" s="75"/>
      <c r="K218" s="48">
        <f t="shared" si="45"/>
        <v>0</v>
      </c>
      <c r="M218" s="140" t="str">
        <f t="shared" si="46"/>
        <v>5550/0160</v>
      </c>
      <c r="N218" s="70"/>
      <c r="P218" s="71"/>
      <c r="Q218" s="51"/>
      <c r="R218" s="31"/>
    </row>
    <row r="219" spans="1:18" x14ac:dyDescent="0.2">
      <c r="A219" s="238"/>
      <c r="B219" s="90" t="s">
        <v>632</v>
      </c>
      <c r="C219" s="276">
        <f>TrialBalance!C219</f>
        <v>0</v>
      </c>
      <c r="D219" s="274"/>
      <c r="E219" s="281"/>
      <c r="F219" s="79">
        <f>K219</f>
        <v>0</v>
      </c>
      <c r="G219" s="47">
        <f>SUMIF(JournalsC!D$14:D$920,TrialBalanceC!M219,JournalsC!J$14:J$920)+SUMIF(JournalsC!E$14:E$920,TrialBalanceC!M219,JournalsC!J$14:J$920)</f>
        <v>0</v>
      </c>
      <c r="H219" s="288"/>
      <c r="I219" s="291">
        <f t="shared" si="39"/>
        <v>0</v>
      </c>
      <c r="J219" s="75"/>
      <c r="K219" s="48">
        <f t="shared" si="45"/>
        <v>0</v>
      </c>
      <c r="M219" s="140" t="str">
        <f t="shared" si="46"/>
        <v>5550/0170</v>
      </c>
      <c r="N219" s="70"/>
      <c r="P219" s="71"/>
      <c r="Q219" s="51"/>
      <c r="R219" s="31"/>
    </row>
    <row r="220" spans="1:18" x14ac:dyDescent="0.2">
      <c r="A220" s="238"/>
      <c r="B220" s="54" t="s">
        <v>132</v>
      </c>
      <c r="C220" s="240" t="s">
        <v>178</v>
      </c>
      <c r="D220" s="282"/>
      <c r="E220" s="281"/>
      <c r="F220" s="79"/>
      <c r="G220" s="47">
        <f>SUMIF(JournalsC!D$14:D$920,TrialBalanceC!M220,JournalsC!J$14:J$920)+SUMIF(JournalsC!E$14:E$920,TrialBalanceC!M220,JournalsC!J$14:J$920)</f>
        <v>0</v>
      </c>
      <c r="H220" s="288"/>
      <c r="I220" s="291">
        <f t="shared" si="39"/>
        <v>0</v>
      </c>
      <c r="J220" s="75"/>
      <c r="K220" s="48">
        <f t="shared" si="45"/>
        <v>0</v>
      </c>
      <c r="M220" s="140" t="str">
        <f t="shared" si="46"/>
        <v>5700/000DEFERRED TAX</v>
      </c>
      <c r="N220" s="70"/>
      <c r="P220" s="71"/>
      <c r="Q220" s="51"/>
      <c r="R220" s="31"/>
    </row>
    <row r="221" spans="1:18" x14ac:dyDescent="0.2">
      <c r="A221" s="238"/>
      <c r="B221" s="54" t="s">
        <v>133</v>
      </c>
      <c r="C221" s="242" t="s">
        <v>498</v>
      </c>
      <c r="D221" s="284"/>
      <c r="E221" s="281"/>
      <c r="F221" s="79">
        <f>K221+K223+K225+K227</f>
        <v>0</v>
      </c>
      <c r="G221" s="47">
        <f>SUMIF(JournalsC!D$14:D$920,TrialBalanceC!M221,JournalsC!J$14:J$920)+SUMIF(JournalsC!E$14:E$920,TrialBalanceC!M221,JournalsC!J$14:J$920)</f>
        <v>0</v>
      </c>
      <c r="H221" s="288"/>
      <c r="I221" s="291">
        <f t="shared" si="39"/>
        <v>0</v>
      </c>
      <c r="J221" s="75"/>
      <c r="K221" s="48">
        <f t="shared" si="45"/>
        <v>0</v>
      </c>
      <c r="M221" s="140" t="str">
        <f t="shared" si="46"/>
        <v>5700/010Deferred tax balance  depreciation b/fwd</v>
      </c>
      <c r="N221" s="70"/>
      <c r="P221" s="71"/>
      <c r="Q221" s="51"/>
      <c r="R221" s="31"/>
    </row>
    <row r="222" spans="1:18" x14ac:dyDescent="0.2">
      <c r="A222" s="238"/>
      <c r="B222" s="90" t="s">
        <v>594</v>
      </c>
      <c r="C222" s="242" t="s">
        <v>499</v>
      </c>
      <c r="D222" s="284"/>
      <c r="E222" s="281"/>
      <c r="F222" s="79">
        <f>K222+K224+K226+K228</f>
        <v>0</v>
      </c>
      <c r="G222" s="47">
        <f>SUMIF(JournalsC!D$14:D$920,TrialBalanceC!M222,JournalsC!J$14:J$920)+SUMIF(JournalsC!E$14:E$920,TrialBalanceC!M222,JournalsC!J$14:J$920)</f>
        <v>0</v>
      </c>
      <c r="H222" s="288"/>
      <c r="I222" s="291">
        <f t="shared" si="39"/>
        <v>0</v>
      </c>
      <c r="J222" s="75"/>
      <c r="K222" s="48">
        <f t="shared" si="45"/>
        <v>0</v>
      </c>
      <c r="M222" s="140" t="str">
        <f t="shared" si="46"/>
        <v>5700/020Deferred tax balance  tax loss b/fwd</v>
      </c>
      <c r="N222" s="70"/>
      <c r="P222" s="71"/>
      <c r="Q222" s="51"/>
      <c r="R222" s="31"/>
    </row>
    <row r="223" spans="1:18" x14ac:dyDescent="0.2">
      <c r="A223" s="238"/>
      <c r="B223" s="90" t="s">
        <v>950</v>
      </c>
      <c r="C223" s="242" t="s">
        <v>951</v>
      </c>
      <c r="D223" s="284"/>
      <c r="E223" s="281"/>
      <c r="F223" s="79"/>
      <c r="G223" s="47">
        <f>SUMIF(JournalsC!D$14:D$920,TrialBalanceC!M223,JournalsC!J$14:J$920)+SUMIF(JournalsC!E$14:E$920,TrialBalanceC!M223,JournalsC!J$14:J$920)</f>
        <v>0</v>
      </c>
      <c r="H223" s="288"/>
      <c r="I223" s="291">
        <f t="shared" ref="I223:I224" si="47">ROUND(D223-E223+G223+F223,0)</f>
        <v>0</v>
      </c>
      <c r="J223" s="75"/>
      <c r="K223" s="48">
        <f t="shared" ref="K223:K224" si="48">ROUND(SUM(A223),0)</f>
        <v>0</v>
      </c>
      <c r="M223" s="140" t="str">
        <f t="shared" ref="M223:M224" si="49">CONCATENATE(B223,C223)</f>
        <v>5700/021Opening balance depreciation tax rate change</v>
      </c>
      <c r="N223" s="70"/>
      <c r="P223" s="71"/>
      <c r="Q223" s="51"/>
      <c r="R223" s="31"/>
    </row>
    <row r="224" spans="1:18" x14ac:dyDescent="0.2">
      <c r="A224" s="238"/>
      <c r="B224" s="90" t="s">
        <v>952</v>
      </c>
      <c r="C224" s="242" t="s">
        <v>953</v>
      </c>
      <c r="D224" s="284"/>
      <c r="E224" s="281"/>
      <c r="F224" s="79"/>
      <c r="G224" s="47">
        <f>SUMIF(JournalsC!D$14:D$920,TrialBalanceC!M224,JournalsC!J$14:J$920)+SUMIF(JournalsC!E$14:E$920,TrialBalanceC!M224,JournalsC!J$14:J$920)</f>
        <v>0</v>
      </c>
      <c r="H224" s="288"/>
      <c r="I224" s="291">
        <f t="shared" si="47"/>
        <v>0</v>
      </c>
      <c r="J224" s="75"/>
      <c r="K224" s="48">
        <f t="shared" si="48"/>
        <v>0</v>
      </c>
      <c r="M224" s="140" t="str">
        <f t="shared" si="49"/>
        <v>5700/022Opening balance tax loss tax rate change</v>
      </c>
      <c r="N224" s="70"/>
      <c r="P224" s="71"/>
      <c r="Q224" s="51"/>
      <c r="R224" s="31"/>
    </row>
    <row r="225" spans="1:18" x14ac:dyDescent="0.2">
      <c r="A225" s="238"/>
      <c r="B225" s="90" t="s">
        <v>595</v>
      </c>
      <c r="C225" s="240" t="s">
        <v>134</v>
      </c>
      <c r="D225" s="282"/>
      <c r="E225" s="281"/>
      <c r="F225" s="79"/>
      <c r="G225" s="47">
        <f>SUMIF(JournalsC!D$14:D$920,TrialBalanceC!M225,JournalsC!J$14:J$920)+SUMIF(JournalsC!E$14:E$920,TrialBalanceC!M225,JournalsC!J$14:J$920)</f>
        <v>0</v>
      </c>
      <c r="H225" s="288"/>
      <c r="I225" s="291">
        <f t="shared" si="39"/>
        <v>0</v>
      </c>
      <c r="J225" s="75"/>
      <c r="K225" s="48">
        <f t="shared" si="45"/>
        <v>0</v>
      </c>
      <c r="M225" s="140" t="str">
        <f t="shared" si="46"/>
        <v>5700/030Deferred tax on depreciation for year</v>
      </c>
      <c r="N225" s="70"/>
      <c r="P225" s="71"/>
      <c r="Q225" s="51"/>
      <c r="R225" s="31"/>
    </row>
    <row r="226" spans="1:18" x14ac:dyDescent="0.2">
      <c r="A226" s="238"/>
      <c r="B226" s="90" t="s">
        <v>596</v>
      </c>
      <c r="C226" s="240" t="s">
        <v>135</v>
      </c>
      <c r="D226" s="282"/>
      <c r="E226" s="281"/>
      <c r="F226" s="79"/>
      <c r="G226" s="47">
        <f>SUMIF(JournalsC!D$14:D$920,TrialBalanceC!M226,JournalsC!J$14:J$920)+SUMIF(JournalsC!E$14:E$920,TrialBalanceC!M226,JournalsC!J$14:J$920)</f>
        <v>0</v>
      </c>
      <c r="H226" s="288"/>
      <c r="I226" s="291">
        <f t="shared" si="39"/>
        <v>0</v>
      </c>
      <c r="J226" s="75"/>
      <c r="K226" s="48">
        <f t="shared" si="45"/>
        <v>0</v>
      </c>
      <c r="M226" s="140" t="str">
        <f t="shared" si="46"/>
        <v>5700/040Deferred tax on tax loss for year</v>
      </c>
      <c r="N226" s="70"/>
      <c r="P226" s="71"/>
      <c r="Q226" s="51"/>
      <c r="R226" s="31"/>
    </row>
    <row r="227" spans="1:18" x14ac:dyDescent="0.2">
      <c r="A227" s="238"/>
      <c r="B227" s="90" t="s">
        <v>597</v>
      </c>
      <c r="C227" s="242" t="s">
        <v>576</v>
      </c>
      <c r="D227" s="284"/>
      <c r="E227" s="281"/>
      <c r="F227" s="79"/>
      <c r="G227" s="47">
        <f>SUMIF(JournalsC!D$14:D$920,TrialBalanceC!M227,JournalsC!J$14:J$920)+SUMIF(JournalsC!E$14:E$920,TrialBalanceC!M227,JournalsC!J$14:J$920)</f>
        <v>0</v>
      </c>
      <c r="H227" s="288"/>
      <c r="I227" s="291">
        <f t="shared" si="39"/>
        <v>0</v>
      </c>
      <c r="J227" s="75"/>
      <c r="K227" s="48">
        <f t="shared" si="45"/>
        <v>0</v>
      </c>
      <c r="M227" s="140" t="str">
        <f t="shared" si="46"/>
        <v>5700/050Def tax adj  depreciation previous year</v>
      </c>
      <c r="N227" s="70"/>
      <c r="P227" s="71"/>
      <c r="Q227" s="51"/>
      <c r="R227" s="31"/>
    </row>
    <row r="228" spans="1:18" x14ac:dyDescent="0.2">
      <c r="A228" s="238"/>
      <c r="B228" s="90" t="s">
        <v>598</v>
      </c>
      <c r="C228" s="242" t="s">
        <v>577</v>
      </c>
      <c r="D228" s="284"/>
      <c r="E228" s="281"/>
      <c r="F228" s="79"/>
      <c r="G228" s="47">
        <f>SUMIF(JournalsC!D$14:D$920,TrialBalanceC!M228,JournalsC!J$14:J$920)+SUMIF(JournalsC!E$14:E$920,TrialBalanceC!M228,JournalsC!J$14:J$920)</f>
        <v>0</v>
      </c>
      <c r="H228" s="288"/>
      <c r="I228" s="291">
        <f t="shared" si="39"/>
        <v>0</v>
      </c>
      <c r="J228" s="75"/>
      <c r="K228" s="48">
        <f t="shared" si="45"/>
        <v>0</v>
      </c>
      <c r="M228" s="140" t="str">
        <f t="shared" si="46"/>
        <v>5700/060Def tax adj tax loss previous year</v>
      </c>
      <c r="N228" s="70"/>
      <c r="P228" s="71"/>
      <c r="Q228" s="51"/>
      <c r="R228" s="31"/>
    </row>
    <row r="229" spans="1:18" x14ac:dyDescent="0.2">
      <c r="A229" s="238"/>
      <c r="B229" s="54" t="s">
        <v>136</v>
      </c>
      <c r="C229" s="239" t="s">
        <v>980</v>
      </c>
      <c r="D229" s="283"/>
      <c r="E229" s="281"/>
      <c r="F229" s="79"/>
      <c r="G229" s="47">
        <f>SUMIF(JournalsC!D$14:D$920,TrialBalanceC!M229,JournalsC!J$14:J$920)+SUMIF(JournalsC!E$14:E$920,TrialBalanceC!M229,JournalsC!J$14:J$920)</f>
        <v>0</v>
      </c>
      <c r="H229" s="288"/>
      <c r="I229" s="291">
        <f t="shared" si="39"/>
        <v>0</v>
      </c>
      <c r="J229" s="75"/>
      <c r="K229" s="48">
        <f t="shared" si="45"/>
        <v>0</v>
      </c>
      <c r="M229" s="140" t="str">
        <f t="shared" si="46"/>
        <v>6100/000PROPERTY - COST</v>
      </c>
      <c r="N229" s="70"/>
      <c r="P229" s="71"/>
      <c r="Q229" s="51"/>
      <c r="R229" s="31"/>
    </row>
    <row r="230" spans="1:18" x14ac:dyDescent="0.2">
      <c r="A230" s="238"/>
      <c r="B230" s="54" t="s">
        <v>137</v>
      </c>
      <c r="C230" s="242" t="s">
        <v>975</v>
      </c>
      <c r="D230" s="282"/>
      <c r="E230" s="281"/>
      <c r="F230" s="79">
        <f>SUM(K230:K234)</f>
        <v>0</v>
      </c>
      <c r="G230" s="47">
        <f>SUMIF(JournalsC!D$14:D$920,TrialBalanceC!M230,JournalsC!J$14:J$920)+SUMIF(JournalsC!E$14:E$920,TrialBalanceC!M230,JournalsC!J$14:J$920)</f>
        <v>0</v>
      </c>
      <c r="H230" s="288"/>
      <c r="I230" s="291">
        <f t="shared" si="39"/>
        <v>0</v>
      </c>
      <c r="J230" s="75"/>
      <c r="K230" s="48">
        <f t="shared" si="45"/>
        <v>0</v>
      </c>
      <c r="M230" s="140" t="str">
        <f t="shared" si="46"/>
        <v>6100/001Property - cost b/fwd</v>
      </c>
      <c r="N230" s="70"/>
      <c r="P230" s="71"/>
      <c r="Q230" s="51"/>
      <c r="R230" s="31"/>
    </row>
    <row r="231" spans="1:18" x14ac:dyDescent="0.2">
      <c r="A231" s="238"/>
      <c r="B231" s="54" t="s">
        <v>138</v>
      </c>
      <c r="C231" s="242" t="s">
        <v>976</v>
      </c>
      <c r="D231" s="282"/>
      <c r="E231" s="281"/>
      <c r="F231" s="79"/>
      <c r="G231" s="47">
        <f>SUMIF(JournalsC!D$14:D$920,TrialBalanceC!M231,JournalsC!J$14:J$920)+SUMIF(JournalsC!E$14:E$920,TrialBalanceC!M231,JournalsC!J$14:J$920)</f>
        <v>0</v>
      </c>
      <c r="H231" s="288"/>
      <c r="I231" s="291">
        <f t="shared" si="39"/>
        <v>0</v>
      </c>
      <c r="J231" s="75"/>
      <c r="K231" s="48">
        <f t="shared" si="45"/>
        <v>0</v>
      </c>
      <c r="M231" s="140" t="str">
        <f t="shared" si="46"/>
        <v>6100/002Property - additions</v>
      </c>
      <c r="N231" s="70"/>
      <c r="P231" s="71"/>
      <c r="Q231" s="51"/>
      <c r="R231" s="31"/>
    </row>
    <row r="232" spans="1:18" x14ac:dyDescent="0.2">
      <c r="A232" s="238"/>
      <c r="B232" s="54" t="s">
        <v>139</v>
      </c>
      <c r="C232" s="242" t="s">
        <v>977</v>
      </c>
      <c r="D232" s="282"/>
      <c r="E232" s="281"/>
      <c r="F232" s="79"/>
      <c r="G232" s="47">
        <f>SUMIF(JournalsC!D$14:D$920,TrialBalanceC!M232,JournalsC!J$14:J$920)+SUMIF(JournalsC!E$14:E$920,TrialBalanceC!M232,JournalsC!J$14:J$920)</f>
        <v>0</v>
      </c>
      <c r="H232" s="288"/>
      <c r="I232" s="291">
        <f t="shared" si="39"/>
        <v>0</v>
      </c>
      <c r="J232" s="75"/>
      <c r="K232" s="48">
        <f t="shared" si="45"/>
        <v>0</v>
      </c>
      <c r="M232" s="140" t="str">
        <f t="shared" si="46"/>
        <v>6100/003Property - cost of sales</v>
      </c>
      <c r="N232" s="70"/>
      <c r="P232" s="71"/>
      <c r="Q232" s="51"/>
      <c r="R232" s="31"/>
    </row>
    <row r="233" spans="1:18" x14ac:dyDescent="0.2">
      <c r="A233" s="238"/>
      <c r="B233" s="90" t="s">
        <v>871</v>
      </c>
      <c r="C233" s="242" t="s">
        <v>978</v>
      </c>
      <c r="D233" s="282"/>
      <c r="E233" s="281"/>
      <c r="F233" s="79"/>
      <c r="G233" s="47">
        <f>SUMIF(JournalsC!D$14:D$920,TrialBalanceC!M233,JournalsC!J$14:J$920)+SUMIF(JournalsC!E$14:E$920,TrialBalanceC!M233,JournalsC!J$14:J$920)</f>
        <v>0</v>
      </c>
      <c r="H233" s="288"/>
      <c r="I233" s="291">
        <f t="shared" ref="I233" si="50">ROUND(D233-E233+G233+F233,0)</f>
        <v>0</v>
      </c>
      <c r="J233" s="75"/>
      <c r="K233" s="48">
        <f t="shared" ref="K233" si="51">ROUND(SUM(A233),0)</f>
        <v>0</v>
      </c>
      <c r="M233" s="140" t="str">
        <f t="shared" ref="M233" si="52">CONCATENATE(B233,C233)</f>
        <v>6100/004Property - transfer to investment property</v>
      </c>
      <c r="N233" s="70"/>
      <c r="P233" s="71"/>
      <c r="Q233" s="51"/>
      <c r="R233" s="31"/>
    </row>
    <row r="234" spans="1:18" x14ac:dyDescent="0.2">
      <c r="A234" s="238"/>
      <c r="B234" s="90" t="s">
        <v>939</v>
      </c>
      <c r="C234" s="242" t="s">
        <v>979</v>
      </c>
      <c r="D234" s="282"/>
      <c r="E234" s="281"/>
      <c r="F234" s="79"/>
      <c r="G234" s="47">
        <f>SUMIF(JournalsC!D$14:D$920,TrialBalanceC!M234,JournalsC!J$14:J$920)+SUMIF(JournalsC!E$14:E$920,TrialBalanceC!M234,JournalsC!J$14:J$920)</f>
        <v>0</v>
      </c>
      <c r="H234" s="288"/>
      <c r="I234" s="291">
        <f t="shared" ref="I234" si="53">ROUND(D234-E234+G234+F234,0)</f>
        <v>0</v>
      </c>
      <c r="J234" s="75"/>
      <c r="K234" s="48">
        <f t="shared" ref="K234" si="54">ROUND(SUM(A234),0)</f>
        <v>0</v>
      </c>
      <c r="M234" s="140" t="str">
        <f t="shared" ref="M234" si="55">CONCATENATE(B234,C234)</f>
        <v>6100/005Property - transfer from investment property</v>
      </c>
      <c r="N234" s="70"/>
      <c r="P234" s="71"/>
      <c r="Q234" s="51"/>
      <c r="R234" s="31"/>
    </row>
    <row r="235" spans="1:18" x14ac:dyDescent="0.2">
      <c r="A235" s="238"/>
      <c r="B235" s="54" t="s">
        <v>259</v>
      </c>
      <c r="C235" s="239" t="s">
        <v>981</v>
      </c>
      <c r="D235" s="283"/>
      <c r="E235" s="281"/>
      <c r="F235" s="79"/>
      <c r="G235" s="47">
        <f>SUMIF(JournalsC!D$14:D$920,TrialBalanceC!M235,JournalsC!J$14:J$920)+SUMIF(JournalsC!E$14:E$920,TrialBalanceC!M235,JournalsC!J$14:J$920)</f>
        <v>0</v>
      </c>
      <c r="H235" s="288"/>
      <c r="I235" s="291">
        <f t="shared" si="39"/>
        <v>0</v>
      </c>
      <c r="J235" s="75"/>
      <c r="K235" s="48">
        <f t="shared" si="45"/>
        <v>0</v>
      </c>
      <c r="M235" s="140" t="str">
        <f t="shared" si="46"/>
        <v>6100/020PROPERTY - ACC DEPR</v>
      </c>
      <c r="N235" s="70"/>
      <c r="P235" s="71"/>
      <c r="Q235" s="51"/>
      <c r="R235" s="31"/>
    </row>
    <row r="236" spans="1:18" x14ac:dyDescent="0.2">
      <c r="A236" s="238"/>
      <c r="B236" s="54" t="s">
        <v>260</v>
      </c>
      <c r="C236" s="242" t="s">
        <v>982</v>
      </c>
      <c r="D236" s="282"/>
      <c r="E236" s="281"/>
      <c r="F236" s="79">
        <f>SUM(K236:K239)</f>
        <v>0</v>
      </c>
      <c r="G236" s="47">
        <f>SUMIF(JournalsC!D$14:D$920,TrialBalanceC!M236,JournalsC!J$14:J$920)+SUMIF(JournalsC!E$14:E$920,TrialBalanceC!M236,JournalsC!J$14:J$920)</f>
        <v>0</v>
      </c>
      <c r="H236" s="288"/>
      <c r="I236" s="291">
        <f t="shared" si="39"/>
        <v>0</v>
      </c>
      <c r="J236" s="75"/>
      <c r="K236" s="48">
        <f t="shared" si="45"/>
        <v>0</v>
      </c>
      <c r="M236" s="140" t="str">
        <f t="shared" si="46"/>
        <v>6100/021Property - acc depr b/fwd</v>
      </c>
      <c r="N236" s="70"/>
      <c r="P236" s="71"/>
      <c r="Q236" s="51"/>
      <c r="R236" s="31"/>
    </row>
    <row r="237" spans="1:18" x14ac:dyDescent="0.2">
      <c r="A237" s="238"/>
      <c r="B237" s="54" t="s">
        <v>261</v>
      </c>
      <c r="C237" s="242" t="s">
        <v>983</v>
      </c>
      <c r="D237" s="282"/>
      <c r="E237" s="281"/>
      <c r="F237" s="79"/>
      <c r="G237" s="47">
        <f>SUMIF(JournalsC!D$14:D$920,TrialBalanceC!M237,JournalsC!J$14:J$920)+SUMIF(JournalsC!E$14:E$920,TrialBalanceC!M237,JournalsC!J$14:J$920)</f>
        <v>0</v>
      </c>
      <c r="H237" s="288"/>
      <c r="I237" s="291">
        <f t="shared" si="39"/>
        <v>0</v>
      </c>
      <c r="J237" s="75"/>
      <c r="K237" s="48">
        <f t="shared" si="45"/>
        <v>0</v>
      </c>
      <c r="M237" s="140" t="str">
        <f t="shared" si="46"/>
        <v>6100/022Property - depr this year</v>
      </c>
      <c r="N237" s="70"/>
      <c r="P237" s="71"/>
      <c r="Q237" s="51"/>
      <c r="R237" s="31"/>
    </row>
    <row r="238" spans="1:18" x14ac:dyDescent="0.2">
      <c r="A238" s="238"/>
      <c r="B238" s="54" t="s">
        <v>263</v>
      </c>
      <c r="C238" s="242" t="s">
        <v>984</v>
      </c>
      <c r="D238" s="282"/>
      <c r="E238" s="281"/>
      <c r="F238" s="79"/>
      <c r="G238" s="47">
        <f>SUMIF(JournalsC!D$14:D$920,TrialBalanceC!M238,JournalsC!J$14:J$920)+SUMIF(JournalsC!E$14:E$920,TrialBalanceC!M238,JournalsC!J$14:J$920)</f>
        <v>0</v>
      </c>
      <c r="H238" s="288"/>
      <c r="I238" s="291">
        <f t="shared" si="39"/>
        <v>0</v>
      </c>
      <c r="J238" s="75"/>
      <c r="K238" s="48">
        <f t="shared" si="45"/>
        <v>0</v>
      </c>
      <c r="M238" s="140" t="str">
        <f t="shared" si="46"/>
        <v>6100/023Property - acc depr on sales</v>
      </c>
      <c r="N238" s="70"/>
      <c r="P238" s="71"/>
      <c r="Q238" s="51"/>
      <c r="R238" s="31"/>
    </row>
    <row r="239" spans="1:18" x14ac:dyDescent="0.2">
      <c r="A239" s="238"/>
      <c r="B239" s="90" t="s">
        <v>931</v>
      </c>
      <c r="C239" s="242" t="s">
        <v>985</v>
      </c>
      <c r="D239" s="282"/>
      <c r="E239" s="281"/>
      <c r="F239" s="79"/>
      <c r="G239" s="47">
        <f>SUMIF(JournalsC!D$14:D$920,TrialBalanceC!M239,JournalsC!J$14:J$920)+SUMIF(JournalsC!E$14:E$920,TrialBalanceC!M239,JournalsC!J$14:J$920)</f>
        <v>0</v>
      </c>
      <c r="H239" s="288"/>
      <c r="I239" s="291">
        <f t="shared" ref="I239" si="56">ROUND(D239-E239+G239+F239,0)</f>
        <v>0</v>
      </c>
      <c r="J239" s="75"/>
      <c r="K239" s="48">
        <f t="shared" ref="K239" si="57">ROUND(SUM(A239),0)</f>
        <v>0</v>
      </c>
      <c r="M239" s="140" t="str">
        <f t="shared" ref="M239" si="58">CONCATENATE(B239,C239)</f>
        <v>6100/024Property - recoupment of depr</v>
      </c>
      <c r="N239" s="70"/>
      <c r="P239" s="71"/>
      <c r="Q239" s="51"/>
      <c r="R239" s="31"/>
    </row>
    <row r="240" spans="1:18" x14ac:dyDescent="0.2">
      <c r="A240" s="238"/>
      <c r="B240" s="90" t="s">
        <v>652</v>
      </c>
      <c r="C240" s="239" t="s">
        <v>866</v>
      </c>
      <c r="D240" s="282"/>
      <c r="E240" s="281"/>
      <c r="F240" s="79"/>
      <c r="G240" s="47">
        <f>SUMIF(JournalsC!D$14:D$920,TrialBalanceC!M240,JournalsC!J$14:J$920)+SUMIF(JournalsC!E$14:E$920,TrialBalanceC!M240,JournalsC!J$14:J$920)</f>
        <v>0</v>
      </c>
      <c r="H240" s="288"/>
      <c r="I240" s="291">
        <f t="shared" ref="I240:I244" si="59">ROUND(D240-E240+G240+F240,0)</f>
        <v>0</v>
      </c>
      <c r="J240" s="75"/>
      <c r="K240" s="48">
        <f t="shared" ref="K240:K244" si="60">ROUND(SUM(A240),0)</f>
        <v>0</v>
      </c>
      <c r="M240" s="140" t="str">
        <f t="shared" ref="M240:M244" si="61">CONCATENATE(B240,C240)</f>
        <v>6100/030INVESTMENT PROPERTY - COST</v>
      </c>
      <c r="N240" s="70"/>
      <c r="P240" s="71"/>
      <c r="Q240" s="51"/>
      <c r="R240" s="31"/>
    </row>
    <row r="241" spans="1:18" x14ac:dyDescent="0.2">
      <c r="A241" s="238"/>
      <c r="B241" s="90" t="s">
        <v>653</v>
      </c>
      <c r="C241" s="242" t="s">
        <v>867</v>
      </c>
      <c r="D241" s="282"/>
      <c r="E241" s="281"/>
      <c r="F241" s="79">
        <f>SUM(K241:K245)</f>
        <v>0</v>
      </c>
      <c r="G241" s="47">
        <f>SUMIF(JournalsC!D$14:D$920,TrialBalanceC!M241,JournalsC!J$14:J$920)+SUMIF(JournalsC!E$14:E$920,TrialBalanceC!M241,JournalsC!J$14:J$920)</f>
        <v>0</v>
      </c>
      <c r="H241" s="288"/>
      <c r="I241" s="291">
        <f t="shared" si="59"/>
        <v>0</v>
      </c>
      <c r="J241" s="75"/>
      <c r="K241" s="48">
        <f t="shared" si="60"/>
        <v>0</v>
      </c>
      <c r="M241" s="140" t="str">
        <f t="shared" si="61"/>
        <v>6100/031Investment property - cost b/fwd</v>
      </c>
      <c r="N241" s="70"/>
      <c r="P241" s="71"/>
      <c r="Q241" s="51"/>
      <c r="R241" s="31"/>
    </row>
    <row r="242" spans="1:18" x14ac:dyDescent="0.2">
      <c r="A242" s="238"/>
      <c r="B242" s="90" t="s">
        <v>654</v>
      </c>
      <c r="C242" s="242" t="s">
        <v>868</v>
      </c>
      <c r="D242" s="282"/>
      <c r="E242" s="281"/>
      <c r="F242" s="79"/>
      <c r="G242" s="47">
        <f>SUMIF(JournalsC!D$14:D$920,TrialBalanceC!M242,JournalsC!J$14:J$920)+SUMIF(JournalsC!E$14:E$920,TrialBalanceC!M242,JournalsC!J$14:J$920)</f>
        <v>0</v>
      </c>
      <c r="H242" s="288"/>
      <c r="I242" s="291">
        <f t="shared" si="59"/>
        <v>0</v>
      </c>
      <c r="J242" s="75"/>
      <c r="K242" s="48">
        <f t="shared" si="60"/>
        <v>0</v>
      </c>
      <c r="M242" s="140" t="str">
        <f t="shared" si="61"/>
        <v>6100/032Investment property - additions</v>
      </c>
      <c r="N242" s="70"/>
      <c r="P242" s="71"/>
      <c r="Q242" s="51"/>
      <c r="R242" s="31"/>
    </row>
    <row r="243" spans="1:18" x14ac:dyDescent="0.2">
      <c r="A243" s="238"/>
      <c r="B243" s="90" t="s">
        <v>655</v>
      </c>
      <c r="C243" s="242" t="s">
        <v>869</v>
      </c>
      <c r="D243" s="282"/>
      <c r="E243" s="281"/>
      <c r="F243" s="79"/>
      <c r="G243" s="47">
        <f>SUMIF(JournalsC!D$14:D$920,TrialBalanceC!M243,JournalsC!J$14:J$920)+SUMIF(JournalsC!E$14:E$920,TrialBalanceC!M243,JournalsC!J$14:J$920)</f>
        <v>0</v>
      </c>
      <c r="H243" s="288"/>
      <c r="I243" s="291">
        <f t="shared" si="59"/>
        <v>0</v>
      </c>
      <c r="J243" s="75"/>
      <c r="K243" s="48">
        <f t="shared" si="60"/>
        <v>0</v>
      </c>
      <c r="M243" s="140" t="str">
        <f t="shared" si="61"/>
        <v>6100/033Investment property - cost of sales</v>
      </c>
      <c r="N243" s="70"/>
      <c r="P243" s="71"/>
      <c r="Q243" s="51"/>
      <c r="R243" s="31"/>
    </row>
    <row r="244" spans="1:18" x14ac:dyDescent="0.2">
      <c r="A244" s="238"/>
      <c r="B244" s="90" t="s">
        <v>923</v>
      </c>
      <c r="C244" s="242" t="s">
        <v>870</v>
      </c>
      <c r="D244" s="282"/>
      <c r="E244" s="281"/>
      <c r="F244" s="79"/>
      <c r="G244" s="47">
        <f>SUMIF(JournalsC!D$14:D$920,TrialBalanceC!M244,JournalsC!J$14:J$920)+SUMIF(JournalsC!E$14:E$920,TrialBalanceC!M244,JournalsC!J$14:J$920)</f>
        <v>0</v>
      </c>
      <c r="H244" s="288"/>
      <c r="I244" s="291">
        <f t="shared" si="59"/>
        <v>0</v>
      </c>
      <c r="J244" s="75"/>
      <c r="K244" s="48">
        <f t="shared" si="60"/>
        <v>0</v>
      </c>
      <c r="M244" s="140" t="str">
        <f t="shared" si="61"/>
        <v>6100/034Investment property - transfer from property</v>
      </c>
      <c r="N244" s="70"/>
      <c r="P244" s="71"/>
      <c r="Q244" s="51"/>
      <c r="R244" s="31"/>
    </row>
    <row r="245" spans="1:18" x14ac:dyDescent="0.2">
      <c r="A245" s="238"/>
      <c r="B245" s="90" t="s">
        <v>940</v>
      </c>
      <c r="C245" s="242" t="s">
        <v>941</v>
      </c>
      <c r="D245" s="282"/>
      <c r="E245" s="281"/>
      <c r="F245" s="79"/>
      <c r="G245" s="47">
        <f>SUMIF(JournalsC!D$14:D$920,TrialBalanceC!M245,JournalsC!J$14:J$920)+SUMIF(JournalsC!E$14:E$920,TrialBalanceC!M245,JournalsC!J$14:J$920)</f>
        <v>0</v>
      </c>
      <c r="H245" s="288"/>
      <c r="I245" s="291">
        <f t="shared" ref="I245" si="62">ROUND(D245-E245+G245+F245,0)</f>
        <v>0</v>
      </c>
      <c r="J245" s="75"/>
      <c r="K245" s="48">
        <f t="shared" ref="K245" si="63">ROUND(SUM(A245),0)</f>
        <v>0</v>
      </c>
      <c r="M245" s="140" t="str">
        <f t="shared" ref="M245" si="64">CONCATENATE(B245,C245)</f>
        <v>6100/035Investment property - transfer to property</v>
      </c>
      <c r="N245" s="70"/>
      <c r="P245" s="71"/>
      <c r="Q245" s="51"/>
      <c r="R245" s="31"/>
    </row>
    <row r="246" spans="1:18" x14ac:dyDescent="0.2">
      <c r="A246" s="238"/>
      <c r="B246" s="90" t="s">
        <v>924</v>
      </c>
      <c r="C246" s="239" t="s">
        <v>928</v>
      </c>
      <c r="D246" s="282"/>
      <c r="E246" s="281"/>
      <c r="F246" s="79"/>
      <c r="G246" s="47">
        <f>SUMIF(JournalsC!D$14:D$920,TrialBalanceC!M246,JournalsC!J$14:J$920)+SUMIF(JournalsC!E$14:E$920,TrialBalanceC!M246,JournalsC!J$14:J$920)</f>
        <v>0</v>
      </c>
      <c r="H246" s="288"/>
      <c r="I246" s="291">
        <f t="shared" ref="I246:I250" si="65">ROUND(D246-E246+G246+F246,0)</f>
        <v>0</v>
      </c>
      <c r="J246" s="75"/>
      <c r="K246" s="48">
        <f t="shared" ref="K246:K250" si="66">ROUND(SUM(A246),0)</f>
        <v>0</v>
      </c>
      <c r="M246" s="140" t="str">
        <f t="shared" ref="M246:M250" si="67">CONCATENATE(B246,C246)</f>
        <v>6100/040INVESTMENT PROPERTY - VALUATION</v>
      </c>
      <c r="N246" s="70"/>
      <c r="P246" s="71"/>
      <c r="Q246" s="51"/>
      <c r="R246" s="31"/>
    </row>
    <row r="247" spans="1:18" x14ac:dyDescent="0.2">
      <c r="A247" s="238"/>
      <c r="B247" s="90" t="s">
        <v>925</v>
      </c>
      <c r="C247" s="242" t="s">
        <v>929</v>
      </c>
      <c r="D247" s="282"/>
      <c r="E247" s="281"/>
      <c r="F247" s="79">
        <f>SUM(K247:K250)</f>
        <v>0</v>
      </c>
      <c r="G247" s="47">
        <f>SUMIF(JournalsC!D$14:D$920,TrialBalanceC!M247,JournalsC!J$14:J$920)+SUMIF(JournalsC!E$14:E$920,TrialBalanceC!M247,JournalsC!J$14:J$920)</f>
        <v>0</v>
      </c>
      <c r="H247" s="288"/>
      <c r="I247" s="291">
        <f t="shared" si="65"/>
        <v>0</v>
      </c>
      <c r="J247" s="75"/>
      <c r="K247" s="48">
        <f t="shared" si="66"/>
        <v>0</v>
      </c>
      <c r="M247" s="140" t="str">
        <f t="shared" si="67"/>
        <v>6100/041Investment property - valuation b/fwd</v>
      </c>
      <c r="N247" s="70"/>
      <c r="P247" s="71"/>
      <c r="Q247" s="51"/>
      <c r="R247" s="31"/>
    </row>
    <row r="248" spans="1:18" x14ac:dyDescent="0.2">
      <c r="A248" s="238"/>
      <c r="B248" s="90" t="s">
        <v>926</v>
      </c>
      <c r="C248" s="242" t="s">
        <v>930</v>
      </c>
      <c r="D248" s="282"/>
      <c r="E248" s="281"/>
      <c r="F248" s="79"/>
      <c r="G248" s="47">
        <f>SUMIF(JournalsC!D$14:D$920,TrialBalanceC!M248,JournalsC!J$14:J$920)+SUMIF(JournalsC!E$14:E$920,TrialBalanceC!M248,JournalsC!J$14:J$920)</f>
        <v>0</v>
      </c>
      <c r="H248" s="288"/>
      <c r="I248" s="291">
        <f t="shared" si="65"/>
        <v>0</v>
      </c>
      <c r="J248" s="75"/>
      <c r="K248" s="48">
        <f t="shared" si="66"/>
        <v>0</v>
      </c>
      <c r="M248" s="140" t="str">
        <f t="shared" si="67"/>
        <v>6100/042Investment property - valuation additions</v>
      </c>
      <c r="N248" s="70"/>
      <c r="P248" s="71"/>
      <c r="Q248" s="51"/>
      <c r="R248" s="31"/>
    </row>
    <row r="249" spans="1:18" x14ac:dyDescent="0.2">
      <c r="A249" s="238"/>
      <c r="B249" s="90" t="s">
        <v>927</v>
      </c>
      <c r="C249" s="242" t="s">
        <v>942</v>
      </c>
      <c r="D249" s="282"/>
      <c r="E249" s="281"/>
      <c r="F249" s="79"/>
      <c r="G249" s="47">
        <f>SUMIF(JournalsC!D$14:D$920,TrialBalanceC!M249,JournalsC!J$14:J$920)+SUMIF(JournalsC!E$14:E$920,TrialBalanceC!M249,JournalsC!J$14:J$920)</f>
        <v>0</v>
      </c>
      <c r="H249" s="288"/>
      <c r="I249" s="291">
        <f t="shared" ref="I249" si="68">ROUND(D249-E249+G249+F249,0)</f>
        <v>0</v>
      </c>
      <c r="J249" s="75"/>
      <c r="K249" s="48">
        <f t="shared" ref="K249" si="69">ROUND(SUM(A249),0)</f>
        <v>0</v>
      </c>
      <c r="M249" s="140" t="str">
        <f t="shared" ref="M249" si="70">CONCATENATE(B249,C249)</f>
        <v>6100/043Investment property - valuation reduction on sales</v>
      </c>
      <c r="N249" s="70"/>
      <c r="P249" s="71"/>
      <c r="Q249" s="51"/>
      <c r="R249" s="31"/>
    </row>
    <row r="250" spans="1:18" x14ac:dyDescent="0.2">
      <c r="A250" s="238"/>
      <c r="B250" s="90" t="s">
        <v>943</v>
      </c>
      <c r="C250" s="242" t="s">
        <v>944</v>
      </c>
      <c r="D250" s="282"/>
      <c r="E250" s="281"/>
      <c r="F250" s="79"/>
      <c r="G250" s="47">
        <f>SUMIF(JournalsC!D$14:D$920,TrialBalanceC!M250,JournalsC!J$14:J$920)+SUMIF(JournalsC!E$14:E$920,TrialBalanceC!M250,JournalsC!J$14:J$920)</f>
        <v>0</v>
      </c>
      <c r="H250" s="288"/>
      <c r="I250" s="291">
        <f t="shared" si="65"/>
        <v>0</v>
      </c>
      <c r="J250" s="75"/>
      <c r="K250" s="48">
        <f t="shared" si="66"/>
        <v>0</v>
      </c>
      <c r="M250" s="140" t="str">
        <f t="shared" si="67"/>
        <v>6100/044Investment property - valuation reduction on transfers</v>
      </c>
      <c r="N250" s="70"/>
      <c r="P250" s="71"/>
      <c r="Q250" s="51"/>
      <c r="R250" s="31"/>
    </row>
    <row r="251" spans="1:18" x14ac:dyDescent="0.2">
      <c r="A251" s="238"/>
      <c r="B251" s="54" t="s">
        <v>264</v>
      </c>
      <c r="C251" s="239" t="s">
        <v>727</v>
      </c>
      <c r="D251" s="283"/>
      <c r="E251" s="281"/>
      <c r="F251" s="79"/>
      <c r="G251" s="47">
        <f>SUMIF(JournalsC!D$14:D$920,TrialBalanceC!M251,JournalsC!J$14:J$920)+SUMIF(JournalsC!E$14:E$920,TrialBalanceC!M251,JournalsC!J$14:J$920)</f>
        <v>0</v>
      </c>
      <c r="H251" s="288"/>
      <c r="I251" s="291">
        <f t="shared" si="39"/>
        <v>0</v>
      </c>
      <c r="J251" s="75"/>
      <c r="K251" s="48">
        <f t="shared" si="45"/>
        <v>0</v>
      </c>
      <c r="M251" s="140" t="str">
        <f t="shared" si="46"/>
        <v>6150/000PLANT AND MACHINERY - COST</v>
      </c>
      <c r="N251" s="70"/>
      <c r="P251" s="71"/>
      <c r="Q251" s="51"/>
      <c r="R251" s="31"/>
    </row>
    <row r="252" spans="1:18" x14ac:dyDescent="0.2">
      <c r="A252" s="238"/>
      <c r="B252" s="54" t="s">
        <v>39</v>
      </c>
      <c r="C252" s="242" t="s">
        <v>728</v>
      </c>
      <c r="D252" s="282"/>
      <c r="E252" s="281"/>
      <c r="F252" s="79">
        <f>SUM(K252:K254)</f>
        <v>0</v>
      </c>
      <c r="G252" s="47">
        <f>SUMIF(JournalsC!D$14:D$920,TrialBalanceC!M252,JournalsC!J$14:J$920)+SUMIF(JournalsC!E$14:E$920,TrialBalanceC!M252,JournalsC!J$14:J$920)</f>
        <v>0</v>
      </c>
      <c r="H252" s="288"/>
      <c r="I252" s="291">
        <f t="shared" si="39"/>
        <v>0</v>
      </c>
      <c r="J252" s="75"/>
      <c r="K252" s="48">
        <f t="shared" si="45"/>
        <v>0</v>
      </c>
      <c r="M252" s="140" t="str">
        <f t="shared" si="46"/>
        <v>6150/001Plant and machinery - cost b/fwd</v>
      </c>
      <c r="N252" s="70"/>
      <c r="P252" s="71"/>
      <c r="Q252" s="51"/>
      <c r="R252" s="31"/>
    </row>
    <row r="253" spans="1:18" x14ac:dyDescent="0.2">
      <c r="A253" s="238"/>
      <c r="B253" s="54" t="s">
        <v>40</v>
      </c>
      <c r="C253" s="242" t="s">
        <v>729</v>
      </c>
      <c r="D253" s="282"/>
      <c r="E253" s="281"/>
      <c r="F253" s="79"/>
      <c r="G253" s="47">
        <f>SUMIF(JournalsC!D$14:D$920,TrialBalanceC!M253,JournalsC!J$14:J$920)+SUMIF(JournalsC!E$14:E$920,TrialBalanceC!M253,JournalsC!J$14:J$920)</f>
        <v>0</v>
      </c>
      <c r="H253" s="288"/>
      <c r="I253" s="291">
        <f t="shared" si="39"/>
        <v>0</v>
      </c>
      <c r="J253" s="75"/>
      <c r="K253" s="48">
        <f t="shared" si="45"/>
        <v>0</v>
      </c>
      <c r="M253" s="140" t="str">
        <f t="shared" si="46"/>
        <v>6150/002Plant and machinery - additions</v>
      </c>
      <c r="N253" s="70"/>
      <c r="P253" s="71"/>
      <c r="Q253" s="51"/>
      <c r="R253" s="31"/>
    </row>
    <row r="254" spans="1:18" x14ac:dyDescent="0.2">
      <c r="A254" s="238"/>
      <c r="B254" s="54" t="s">
        <v>41</v>
      </c>
      <c r="C254" s="242" t="s">
        <v>730</v>
      </c>
      <c r="D254" s="282"/>
      <c r="E254" s="281"/>
      <c r="F254" s="79"/>
      <c r="G254" s="47">
        <f>SUMIF(JournalsC!D$14:D$920,TrialBalanceC!M254,JournalsC!J$14:J$920)+SUMIF(JournalsC!E$14:E$920,TrialBalanceC!M254,JournalsC!J$14:J$920)</f>
        <v>0</v>
      </c>
      <c r="H254" s="288"/>
      <c r="I254" s="291">
        <f t="shared" ref="I254:I355" si="71">ROUND(D254-E254+G254+F254,0)</f>
        <v>0</v>
      </c>
      <c r="J254" s="75"/>
      <c r="K254" s="48">
        <f t="shared" si="45"/>
        <v>0</v>
      </c>
      <c r="M254" s="140" t="str">
        <f t="shared" si="46"/>
        <v>6150/003Plant and machinery - cost of sales</v>
      </c>
      <c r="N254" s="70"/>
      <c r="P254" s="71"/>
      <c r="Q254" s="51"/>
      <c r="R254" s="31"/>
    </row>
    <row r="255" spans="1:18" x14ac:dyDescent="0.2">
      <c r="A255" s="238"/>
      <c r="B255" s="54" t="s">
        <v>16</v>
      </c>
      <c r="C255" s="239" t="s">
        <v>731</v>
      </c>
      <c r="D255" s="283"/>
      <c r="E255" s="281"/>
      <c r="F255" s="79"/>
      <c r="G255" s="47">
        <f>SUMIF(JournalsC!D$14:D$920,TrialBalanceC!M255,JournalsC!J$14:J$920)+SUMIF(JournalsC!E$14:E$920,TrialBalanceC!M255,JournalsC!J$14:J$920)</f>
        <v>0</v>
      </c>
      <c r="H255" s="288"/>
      <c r="I255" s="291">
        <f t="shared" si="71"/>
        <v>0</v>
      </c>
      <c r="J255" s="75"/>
      <c r="K255" s="48">
        <f t="shared" si="45"/>
        <v>0</v>
      </c>
      <c r="M255" s="140" t="str">
        <f t="shared" si="46"/>
        <v>6150/020PLANT AND MACHINERY - ACC DEPR</v>
      </c>
      <c r="N255" s="70"/>
      <c r="P255" s="71"/>
      <c r="Q255" s="51"/>
      <c r="R255" s="31"/>
    </row>
    <row r="256" spans="1:18" x14ac:dyDescent="0.2">
      <c r="A256" s="238"/>
      <c r="B256" s="54" t="s">
        <v>17</v>
      </c>
      <c r="C256" s="242" t="s">
        <v>732</v>
      </c>
      <c r="D256" s="282"/>
      <c r="E256" s="281"/>
      <c r="F256" s="79">
        <f>SUM(K256:K258)</f>
        <v>0</v>
      </c>
      <c r="G256" s="47">
        <f>SUMIF(JournalsC!D$14:D$920,TrialBalanceC!M256,JournalsC!J$14:J$920)+SUMIF(JournalsC!E$14:E$920,TrialBalanceC!M256,JournalsC!J$14:J$920)</f>
        <v>0</v>
      </c>
      <c r="H256" s="288"/>
      <c r="I256" s="291">
        <f t="shared" si="71"/>
        <v>0</v>
      </c>
      <c r="J256" s="75"/>
      <c r="K256" s="48">
        <f t="shared" si="45"/>
        <v>0</v>
      </c>
      <c r="M256" s="140" t="str">
        <f t="shared" si="46"/>
        <v>6150/021Plant and machinery - acc depr b/fwd</v>
      </c>
      <c r="N256" s="70"/>
      <c r="P256" s="71"/>
      <c r="Q256" s="51"/>
      <c r="R256" s="31"/>
    </row>
    <row r="257" spans="1:18" x14ac:dyDescent="0.2">
      <c r="A257" s="238"/>
      <c r="B257" s="54" t="s">
        <v>33</v>
      </c>
      <c r="C257" s="242" t="s">
        <v>733</v>
      </c>
      <c r="D257" s="282"/>
      <c r="E257" s="281"/>
      <c r="F257" s="79"/>
      <c r="G257" s="47">
        <f>SUMIF(JournalsC!D$14:D$920,TrialBalanceC!M257,JournalsC!J$14:J$920)+SUMIF(JournalsC!E$14:E$920,TrialBalanceC!M257,JournalsC!J$14:J$920)</f>
        <v>0</v>
      </c>
      <c r="H257" s="288"/>
      <c r="I257" s="291">
        <f t="shared" si="71"/>
        <v>0</v>
      </c>
      <c r="J257" s="75"/>
      <c r="K257" s="48">
        <f t="shared" si="45"/>
        <v>0</v>
      </c>
      <c r="M257" s="140" t="str">
        <f t="shared" si="46"/>
        <v>6150/022Plant and machinery - depr this year</v>
      </c>
      <c r="N257" s="70"/>
      <c r="P257" s="71"/>
      <c r="Q257" s="51"/>
      <c r="R257" s="31"/>
    </row>
    <row r="258" spans="1:18" x14ac:dyDescent="0.2">
      <c r="A258" s="238"/>
      <c r="B258" s="54" t="s">
        <v>34</v>
      </c>
      <c r="C258" s="242" t="s">
        <v>734</v>
      </c>
      <c r="D258" s="282"/>
      <c r="E258" s="281"/>
      <c r="F258" s="79"/>
      <c r="G258" s="47">
        <f>SUMIF(JournalsC!D$14:D$920,TrialBalanceC!M258,JournalsC!J$14:J$920)+SUMIF(JournalsC!E$14:E$920,TrialBalanceC!M258,JournalsC!J$14:J$920)</f>
        <v>0</v>
      </c>
      <c r="H258" s="288"/>
      <c r="I258" s="291">
        <f t="shared" si="71"/>
        <v>0</v>
      </c>
      <c r="J258" s="75"/>
      <c r="K258" s="48">
        <f t="shared" si="45"/>
        <v>0</v>
      </c>
      <c r="M258" s="140" t="str">
        <f t="shared" si="46"/>
        <v>6150/023Plant and machinery - acc depr on sales</v>
      </c>
      <c r="N258" s="70"/>
      <c r="P258" s="71"/>
      <c r="Q258" s="51"/>
      <c r="R258" s="31"/>
    </row>
    <row r="259" spans="1:18" x14ac:dyDescent="0.2">
      <c r="A259" s="238"/>
      <c r="B259" s="54" t="s">
        <v>35</v>
      </c>
      <c r="C259" s="239" t="s">
        <v>36</v>
      </c>
      <c r="D259" s="283"/>
      <c r="E259" s="281"/>
      <c r="F259" s="79"/>
      <c r="G259" s="47">
        <f>SUMIF(JournalsC!D$14:D$920,TrialBalanceC!M259,JournalsC!J$14:J$920)+SUMIF(JournalsC!E$14:E$920,TrialBalanceC!M259,JournalsC!J$14:J$920)</f>
        <v>0</v>
      </c>
      <c r="H259" s="288"/>
      <c r="I259" s="291">
        <f t="shared" si="71"/>
        <v>0</v>
      </c>
      <c r="J259" s="75"/>
      <c r="K259" s="48">
        <f t="shared" si="45"/>
        <v>0</v>
      </c>
      <c r="M259" s="140" t="str">
        <f t="shared" si="46"/>
        <v>6200/000MOTOR VEHICLES - COST</v>
      </c>
      <c r="N259" s="70"/>
      <c r="P259" s="71"/>
      <c r="Q259" s="51"/>
      <c r="R259" s="31"/>
    </row>
    <row r="260" spans="1:18" x14ac:dyDescent="0.2">
      <c r="A260" s="238"/>
      <c r="B260" s="54" t="s">
        <v>37</v>
      </c>
      <c r="C260" s="242" t="s">
        <v>735</v>
      </c>
      <c r="D260" s="282"/>
      <c r="E260" s="281"/>
      <c r="F260" s="79">
        <f>SUM(K260:K262)</f>
        <v>0</v>
      </c>
      <c r="G260" s="47">
        <f>SUMIF(JournalsC!D$14:D$920,TrialBalanceC!M260,JournalsC!J$14:J$920)+SUMIF(JournalsC!E$14:E$920,TrialBalanceC!M260,JournalsC!J$14:J$920)</f>
        <v>0</v>
      </c>
      <c r="H260" s="288"/>
      <c r="I260" s="291">
        <f t="shared" si="71"/>
        <v>0</v>
      </c>
      <c r="J260" s="75"/>
      <c r="K260" s="48">
        <f t="shared" si="45"/>
        <v>0</v>
      </c>
      <c r="M260" s="140" t="str">
        <f t="shared" si="46"/>
        <v>6200/001Motor vehicles - cost b/fwd</v>
      </c>
      <c r="N260" s="70"/>
      <c r="P260" s="71"/>
      <c r="Q260" s="51"/>
      <c r="R260" s="31"/>
    </row>
    <row r="261" spans="1:18" x14ac:dyDescent="0.2">
      <c r="A261" s="238"/>
      <c r="B261" s="54" t="s">
        <v>38</v>
      </c>
      <c r="C261" s="242" t="s">
        <v>736</v>
      </c>
      <c r="D261" s="282"/>
      <c r="E261" s="281"/>
      <c r="F261" s="79"/>
      <c r="G261" s="47">
        <f>SUMIF(JournalsC!D$14:D$920,TrialBalanceC!M261,JournalsC!J$14:J$920)+SUMIF(JournalsC!E$14:E$920,TrialBalanceC!M261,JournalsC!J$14:J$920)</f>
        <v>0</v>
      </c>
      <c r="H261" s="288"/>
      <c r="I261" s="291">
        <f t="shared" si="71"/>
        <v>0</v>
      </c>
      <c r="J261" s="75"/>
      <c r="K261" s="48">
        <f t="shared" si="45"/>
        <v>0</v>
      </c>
      <c r="M261" s="140" t="str">
        <f t="shared" si="46"/>
        <v>6200/002Motor vehicles - additions</v>
      </c>
      <c r="N261" s="70"/>
      <c r="P261" s="71"/>
      <c r="Q261" s="51"/>
      <c r="R261" s="31"/>
    </row>
    <row r="262" spans="1:18" x14ac:dyDescent="0.2">
      <c r="A262" s="238"/>
      <c r="B262" s="54" t="s">
        <v>453</v>
      </c>
      <c r="C262" s="242" t="s">
        <v>737</v>
      </c>
      <c r="D262" s="282"/>
      <c r="E262" s="281"/>
      <c r="F262" s="79"/>
      <c r="G262" s="47">
        <f>SUMIF(JournalsC!D$14:D$920,TrialBalanceC!M262,JournalsC!J$14:J$920)+SUMIF(JournalsC!E$14:E$920,TrialBalanceC!M262,JournalsC!J$14:J$920)</f>
        <v>0</v>
      </c>
      <c r="H262" s="288"/>
      <c r="I262" s="291">
        <f t="shared" si="71"/>
        <v>0</v>
      </c>
      <c r="J262" s="75"/>
      <c r="K262" s="48">
        <f t="shared" si="45"/>
        <v>0</v>
      </c>
      <c r="M262" s="140" t="str">
        <f t="shared" si="46"/>
        <v>6200/003Motor vehicles - cost of sales</v>
      </c>
      <c r="N262" s="70"/>
      <c r="P262" s="71"/>
      <c r="Q262" s="51"/>
      <c r="R262" s="31"/>
    </row>
    <row r="263" spans="1:18" x14ac:dyDescent="0.2">
      <c r="A263" s="238"/>
      <c r="B263" s="54" t="s">
        <v>0</v>
      </c>
      <c r="C263" s="239" t="s">
        <v>1</v>
      </c>
      <c r="D263" s="283"/>
      <c r="E263" s="281"/>
      <c r="F263" s="79"/>
      <c r="G263" s="47">
        <f>SUMIF(JournalsC!D$14:D$920,TrialBalanceC!M263,JournalsC!J$14:J$920)+SUMIF(JournalsC!E$14:E$920,TrialBalanceC!M263,JournalsC!J$14:J$920)</f>
        <v>0</v>
      </c>
      <c r="H263" s="288"/>
      <c r="I263" s="291">
        <f t="shared" si="71"/>
        <v>0</v>
      </c>
      <c r="J263" s="75"/>
      <c r="K263" s="48">
        <f t="shared" si="45"/>
        <v>0</v>
      </c>
      <c r="M263" s="140" t="str">
        <f t="shared" si="46"/>
        <v>6200/020MOTOR VEHICLES - ACC DEPR</v>
      </c>
      <c r="N263" s="70"/>
      <c r="P263" s="71"/>
      <c r="Q263" s="51"/>
      <c r="R263" s="31"/>
    </row>
    <row r="264" spans="1:18" x14ac:dyDescent="0.2">
      <c r="A264" s="238"/>
      <c r="B264" s="54" t="s">
        <v>2</v>
      </c>
      <c r="C264" s="242" t="s">
        <v>738</v>
      </c>
      <c r="D264" s="282"/>
      <c r="E264" s="281"/>
      <c r="F264" s="79">
        <f>SUM(K264:K266)</f>
        <v>0</v>
      </c>
      <c r="G264" s="47">
        <f>SUMIF(JournalsC!D$14:D$920,TrialBalanceC!M264,JournalsC!J$14:J$920)+SUMIF(JournalsC!E$14:E$920,TrialBalanceC!M264,JournalsC!J$14:J$920)</f>
        <v>0</v>
      </c>
      <c r="H264" s="288"/>
      <c r="I264" s="291">
        <f t="shared" si="71"/>
        <v>0</v>
      </c>
      <c r="J264" s="75"/>
      <c r="K264" s="48">
        <f t="shared" si="45"/>
        <v>0</v>
      </c>
      <c r="M264" s="140" t="str">
        <f t="shared" si="46"/>
        <v>6200/021Motor vehicles - acc depr b/fwd</v>
      </c>
      <c r="N264" s="70"/>
      <c r="P264" s="71"/>
      <c r="Q264" s="51"/>
      <c r="R264" s="31"/>
    </row>
    <row r="265" spans="1:18" x14ac:dyDescent="0.2">
      <c r="A265" s="238"/>
      <c r="B265" s="54" t="s">
        <v>3</v>
      </c>
      <c r="C265" s="242" t="s">
        <v>739</v>
      </c>
      <c r="D265" s="282"/>
      <c r="E265" s="281"/>
      <c r="F265" s="79"/>
      <c r="G265" s="47">
        <f>SUMIF(JournalsC!D$14:D$920,TrialBalanceC!M265,JournalsC!J$14:J$920)+SUMIF(JournalsC!E$14:E$920,TrialBalanceC!M265,JournalsC!J$14:J$920)</f>
        <v>0</v>
      </c>
      <c r="H265" s="288"/>
      <c r="I265" s="291">
        <f t="shared" si="71"/>
        <v>0</v>
      </c>
      <c r="J265" s="75"/>
      <c r="K265" s="48">
        <f t="shared" si="45"/>
        <v>0</v>
      </c>
      <c r="M265" s="140" t="str">
        <f t="shared" si="46"/>
        <v>6200/022Motor vehicles - depr this year</v>
      </c>
      <c r="N265" s="70"/>
      <c r="P265" s="71"/>
      <c r="Q265" s="51"/>
      <c r="R265" s="31"/>
    </row>
    <row r="266" spans="1:18" x14ac:dyDescent="0.2">
      <c r="A266" s="238"/>
      <c r="B266" s="54" t="s">
        <v>4</v>
      </c>
      <c r="C266" s="242" t="s">
        <v>740</v>
      </c>
      <c r="D266" s="282"/>
      <c r="E266" s="281"/>
      <c r="F266" s="79"/>
      <c r="G266" s="47">
        <f>SUMIF(JournalsC!D$14:D$920,TrialBalanceC!M266,JournalsC!J$14:J$920)+SUMIF(JournalsC!E$14:E$920,TrialBalanceC!M266,JournalsC!J$14:J$920)</f>
        <v>0</v>
      </c>
      <c r="H266" s="288"/>
      <c r="I266" s="291">
        <f t="shared" si="71"/>
        <v>0</v>
      </c>
      <c r="J266" s="75"/>
      <c r="K266" s="48">
        <f t="shared" si="45"/>
        <v>0</v>
      </c>
      <c r="M266" s="140" t="str">
        <f t="shared" si="46"/>
        <v>6200/023Motor vehicles - acc depr on sales</v>
      </c>
      <c r="N266" s="70"/>
      <c r="P266" s="71"/>
      <c r="Q266" s="51"/>
      <c r="R266" s="31"/>
    </row>
    <row r="267" spans="1:18" x14ac:dyDescent="0.2">
      <c r="A267" s="238"/>
      <c r="B267" s="54" t="s">
        <v>5</v>
      </c>
      <c r="C267" s="239" t="s">
        <v>108</v>
      </c>
      <c r="D267" s="283"/>
      <c r="E267" s="281"/>
      <c r="F267" s="79"/>
      <c r="G267" s="47">
        <f>SUMIF(JournalsC!D$14:D$920,TrialBalanceC!M267,JournalsC!J$14:J$920)+SUMIF(JournalsC!E$14:E$920,TrialBalanceC!M267,JournalsC!J$14:J$920)</f>
        <v>0</v>
      </c>
      <c r="H267" s="288"/>
      <c r="I267" s="291">
        <f t="shared" si="71"/>
        <v>0</v>
      </c>
      <c r="J267" s="75"/>
      <c r="K267" s="48">
        <f t="shared" si="45"/>
        <v>0</v>
      </c>
      <c r="M267" s="140" t="str">
        <f t="shared" si="46"/>
        <v>6250/000ELECTRONIC EQUIPMENT - COST</v>
      </c>
      <c r="N267" s="70"/>
      <c r="P267" s="71"/>
      <c r="Q267" s="51"/>
      <c r="R267" s="31"/>
    </row>
    <row r="268" spans="1:18" x14ac:dyDescent="0.2">
      <c r="A268" s="238"/>
      <c r="B268" s="54" t="s">
        <v>6</v>
      </c>
      <c r="C268" s="242" t="s">
        <v>741</v>
      </c>
      <c r="D268" s="282"/>
      <c r="E268" s="281"/>
      <c r="F268" s="79">
        <f>SUM(K268:K270)</f>
        <v>0</v>
      </c>
      <c r="G268" s="47">
        <f>SUMIF(JournalsC!D$14:D$920,TrialBalanceC!M268,JournalsC!J$14:J$920)+SUMIF(JournalsC!E$14:E$920,TrialBalanceC!M268,JournalsC!J$14:J$920)</f>
        <v>0</v>
      </c>
      <c r="H268" s="288"/>
      <c r="I268" s="291">
        <f t="shared" si="71"/>
        <v>0</v>
      </c>
      <c r="J268" s="75"/>
      <c r="K268" s="48">
        <f t="shared" si="45"/>
        <v>0</v>
      </c>
      <c r="M268" s="140" t="str">
        <f t="shared" si="46"/>
        <v>6250/001Electronic equipment - cost b/fwd</v>
      </c>
      <c r="N268" s="70"/>
      <c r="P268" s="71"/>
      <c r="Q268" s="51"/>
      <c r="R268" s="31"/>
    </row>
    <row r="269" spans="1:18" x14ac:dyDescent="0.2">
      <c r="A269" s="238"/>
      <c r="B269" s="54" t="s">
        <v>7</v>
      </c>
      <c r="C269" s="242" t="s">
        <v>742</v>
      </c>
      <c r="D269" s="282"/>
      <c r="E269" s="281"/>
      <c r="F269" s="79"/>
      <c r="G269" s="47">
        <f>SUMIF(JournalsC!D$14:D$920,TrialBalanceC!M269,JournalsC!J$14:J$920)+SUMIF(JournalsC!E$14:E$920,TrialBalanceC!M269,JournalsC!J$14:J$920)</f>
        <v>0</v>
      </c>
      <c r="H269" s="288"/>
      <c r="I269" s="291">
        <f t="shared" si="71"/>
        <v>0</v>
      </c>
      <c r="J269" s="75"/>
      <c r="K269" s="48">
        <f t="shared" si="45"/>
        <v>0</v>
      </c>
      <c r="M269" s="140" t="str">
        <f t="shared" si="46"/>
        <v>6250/002Electronic equipment - additions</v>
      </c>
      <c r="N269" s="70"/>
      <c r="P269" s="71"/>
      <c r="Q269" s="51"/>
      <c r="R269" s="31"/>
    </row>
    <row r="270" spans="1:18" x14ac:dyDescent="0.2">
      <c r="A270" s="238"/>
      <c r="B270" s="54" t="s">
        <v>8</v>
      </c>
      <c r="C270" s="242" t="s">
        <v>743</v>
      </c>
      <c r="D270" s="282"/>
      <c r="E270" s="281"/>
      <c r="F270" s="79"/>
      <c r="G270" s="47">
        <f>SUMIF(JournalsC!D$14:D$920,TrialBalanceC!M270,JournalsC!J$14:J$920)+SUMIF(JournalsC!E$14:E$920,TrialBalanceC!M270,JournalsC!J$14:J$920)</f>
        <v>0</v>
      </c>
      <c r="H270" s="288"/>
      <c r="I270" s="291">
        <f t="shared" si="71"/>
        <v>0</v>
      </c>
      <c r="J270" s="75"/>
      <c r="K270" s="48">
        <f t="shared" si="45"/>
        <v>0</v>
      </c>
      <c r="M270" s="140" t="str">
        <f t="shared" si="46"/>
        <v>6250/003Electronic equipment - cost of sales</v>
      </c>
      <c r="N270" s="70"/>
      <c r="P270" s="71"/>
      <c r="Q270" s="51"/>
      <c r="R270" s="31"/>
    </row>
    <row r="271" spans="1:18" x14ac:dyDescent="0.2">
      <c r="A271" s="238"/>
      <c r="B271" s="54" t="s">
        <v>9</v>
      </c>
      <c r="C271" s="239" t="s">
        <v>109</v>
      </c>
      <c r="D271" s="283"/>
      <c r="E271" s="281"/>
      <c r="F271" s="79"/>
      <c r="G271" s="47">
        <f>SUMIF(JournalsC!D$14:D$920,TrialBalanceC!M271,JournalsC!J$14:J$920)+SUMIF(JournalsC!E$14:E$920,TrialBalanceC!M271,JournalsC!J$14:J$920)</f>
        <v>0</v>
      </c>
      <c r="H271" s="288"/>
      <c r="I271" s="291">
        <f t="shared" si="71"/>
        <v>0</v>
      </c>
      <c r="J271" s="75"/>
      <c r="K271" s="48">
        <f t="shared" si="45"/>
        <v>0</v>
      </c>
      <c r="M271" s="140" t="str">
        <f t="shared" si="46"/>
        <v>6250/020ELECTRONIC EQUIPMENT - ACC DEPR</v>
      </c>
      <c r="N271" s="70"/>
      <c r="P271" s="71"/>
      <c r="Q271" s="51"/>
      <c r="R271" s="31"/>
    </row>
    <row r="272" spans="1:18" x14ac:dyDescent="0.2">
      <c r="A272" s="238"/>
      <c r="B272" s="54" t="s">
        <v>10</v>
      </c>
      <c r="C272" s="242" t="s">
        <v>744</v>
      </c>
      <c r="D272" s="282"/>
      <c r="E272" s="281"/>
      <c r="F272" s="79">
        <f>SUM(K272:K274)</f>
        <v>0</v>
      </c>
      <c r="G272" s="47">
        <f>SUMIF(JournalsC!D$14:D$920,TrialBalanceC!M272,JournalsC!J$14:J$920)+SUMIF(JournalsC!E$14:E$920,TrialBalanceC!M272,JournalsC!J$14:J$920)</f>
        <v>0</v>
      </c>
      <c r="H272" s="288"/>
      <c r="I272" s="291">
        <f t="shared" si="71"/>
        <v>0</v>
      </c>
      <c r="J272" s="75"/>
      <c r="K272" s="48">
        <f t="shared" si="45"/>
        <v>0</v>
      </c>
      <c r="M272" s="140" t="str">
        <f t="shared" si="46"/>
        <v>6250/021Electronic equipment - acc depr b/fwd</v>
      </c>
      <c r="N272" s="70"/>
      <c r="P272" s="71"/>
      <c r="Q272" s="51"/>
      <c r="R272" s="31"/>
    </row>
    <row r="273" spans="1:18" x14ac:dyDescent="0.2">
      <c r="A273" s="238"/>
      <c r="B273" s="54" t="s">
        <v>11</v>
      </c>
      <c r="C273" s="242" t="s">
        <v>745</v>
      </c>
      <c r="D273" s="282"/>
      <c r="E273" s="281"/>
      <c r="F273" s="79"/>
      <c r="G273" s="47">
        <f>SUMIF(JournalsC!D$14:D$920,TrialBalanceC!M273,JournalsC!J$14:J$920)+SUMIF(JournalsC!E$14:E$920,TrialBalanceC!M273,JournalsC!J$14:J$920)</f>
        <v>0</v>
      </c>
      <c r="H273" s="288"/>
      <c r="I273" s="291">
        <f t="shared" si="71"/>
        <v>0</v>
      </c>
      <c r="J273" s="75"/>
      <c r="K273" s="48">
        <f t="shared" si="45"/>
        <v>0</v>
      </c>
      <c r="M273" s="140" t="str">
        <f t="shared" si="46"/>
        <v>6250/022Electronic equipment - depr this year</v>
      </c>
      <c r="N273" s="70"/>
      <c r="P273" s="71"/>
      <c r="Q273" s="51"/>
      <c r="R273" s="31"/>
    </row>
    <row r="274" spans="1:18" x14ac:dyDescent="0.2">
      <c r="A274" s="238"/>
      <c r="B274" s="54" t="s">
        <v>12</v>
      </c>
      <c r="C274" s="242" t="s">
        <v>746</v>
      </c>
      <c r="D274" s="282"/>
      <c r="E274" s="281"/>
      <c r="F274" s="79"/>
      <c r="G274" s="47">
        <f>SUMIF(JournalsC!D$14:D$920,TrialBalanceC!M274,JournalsC!J$14:J$920)+SUMIF(JournalsC!E$14:E$920,TrialBalanceC!M274,JournalsC!J$14:J$920)</f>
        <v>0</v>
      </c>
      <c r="H274" s="288"/>
      <c r="I274" s="291">
        <f t="shared" si="71"/>
        <v>0</v>
      </c>
      <c r="J274" s="75"/>
      <c r="K274" s="48">
        <f t="shared" si="45"/>
        <v>0</v>
      </c>
      <c r="M274" s="140" t="str">
        <f t="shared" si="46"/>
        <v>6250/023Electronic equipment - acc depr on sales</v>
      </c>
      <c r="N274" s="70"/>
      <c r="P274" s="71"/>
      <c r="Q274" s="51"/>
      <c r="R274" s="31"/>
    </row>
    <row r="275" spans="1:18" x14ac:dyDescent="0.2">
      <c r="A275" s="238"/>
      <c r="B275" s="54" t="s">
        <v>14</v>
      </c>
      <c r="C275" s="239" t="s">
        <v>747</v>
      </c>
      <c r="D275" s="283"/>
      <c r="E275" s="281"/>
      <c r="F275" s="79"/>
      <c r="G275" s="47">
        <f>SUMIF(JournalsC!D$14:D$920,TrialBalanceC!M275,JournalsC!J$14:J$920)+SUMIF(JournalsC!E$14:E$920,TrialBalanceC!M275,JournalsC!J$14:J$920)</f>
        <v>0</v>
      </c>
      <c r="H275" s="288"/>
      <c r="I275" s="291">
        <f t="shared" si="71"/>
        <v>0</v>
      </c>
      <c r="J275" s="75"/>
      <c r="K275" s="48">
        <f t="shared" si="45"/>
        <v>0</v>
      </c>
      <c r="M275" s="140" t="str">
        <f t="shared" si="46"/>
        <v>6350/000FURNITURE AND FITTINGS - COST</v>
      </c>
      <c r="N275" s="70"/>
      <c r="P275" s="71"/>
      <c r="Q275" s="51"/>
      <c r="R275" s="31"/>
    </row>
    <row r="276" spans="1:18" x14ac:dyDescent="0.2">
      <c r="A276" s="238"/>
      <c r="B276" s="54" t="s">
        <v>15</v>
      </c>
      <c r="C276" s="242" t="s">
        <v>748</v>
      </c>
      <c r="D276" s="282"/>
      <c r="E276" s="281"/>
      <c r="F276" s="79">
        <f>SUM(K276:K278)</f>
        <v>0</v>
      </c>
      <c r="G276" s="47">
        <f>SUMIF(JournalsC!D$14:D$920,TrialBalanceC!M276,JournalsC!J$14:J$920)+SUMIF(JournalsC!E$14:E$920,TrialBalanceC!M276,JournalsC!J$14:J$920)</f>
        <v>0</v>
      </c>
      <c r="H276" s="288"/>
      <c r="I276" s="291">
        <f t="shared" si="71"/>
        <v>0</v>
      </c>
      <c r="J276" s="75"/>
      <c r="K276" s="48">
        <f t="shared" si="45"/>
        <v>0</v>
      </c>
      <c r="M276" s="140" t="str">
        <f t="shared" si="46"/>
        <v>6350/001Furniture and fittings - cost b/fwd</v>
      </c>
      <c r="N276" s="70"/>
      <c r="P276" s="71"/>
      <c r="Q276" s="51"/>
      <c r="R276" s="31"/>
    </row>
    <row r="277" spans="1:18" x14ac:dyDescent="0.2">
      <c r="A277" s="238"/>
      <c r="B277" s="54" t="s">
        <v>397</v>
      </c>
      <c r="C277" s="242" t="s">
        <v>749</v>
      </c>
      <c r="D277" s="282"/>
      <c r="E277" s="281"/>
      <c r="F277" s="79"/>
      <c r="G277" s="47">
        <f>SUMIF(JournalsC!D$14:D$920,TrialBalanceC!M277,JournalsC!J$14:J$920)+SUMIF(JournalsC!E$14:E$920,TrialBalanceC!M277,JournalsC!J$14:J$920)</f>
        <v>0</v>
      </c>
      <c r="H277" s="288"/>
      <c r="I277" s="291">
        <f t="shared" si="71"/>
        <v>0</v>
      </c>
      <c r="J277" s="75"/>
      <c r="K277" s="48">
        <f t="shared" si="45"/>
        <v>0</v>
      </c>
      <c r="M277" s="140" t="str">
        <f t="shared" si="46"/>
        <v>6350/002Furniture and fittings - additions</v>
      </c>
      <c r="N277" s="70"/>
      <c r="P277" s="71"/>
      <c r="Q277" s="51"/>
      <c r="R277" s="31"/>
    </row>
    <row r="278" spans="1:18" x14ac:dyDescent="0.2">
      <c r="A278" s="238"/>
      <c r="B278" s="54" t="s">
        <v>413</v>
      </c>
      <c r="C278" s="242" t="s">
        <v>750</v>
      </c>
      <c r="D278" s="282"/>
      <c r="E278" s="281"/>
      <c r="F278" s="79"/>
      <c r="G278" s="47">
        <f>SUMIF(JournalsC!D$14:D$920,TrialBalanceC!M278,JournalsC!J$14:J$920)+SUMIF(JournalsC!E$14:E$920,TrialBalanceC!M278,JournalsC!J$14:J$920)</f>
        <v>0</v>
      </c>
      <c r="H278" s="288"/>
      <c r="I278" s="291">
        <f t="shared" si="71"/>
        <v>0</v>
      </c>
      <c r="J278" s="75"/>
      <c r="K278" s="48">
        <f t="shared" si="45"/>
        <v>0</v>
      </c>
      <c r="M278" s="140" t="str">
        <f t="shared" si="46"/>
        <v>6350/003Furniture and fittings - cost of sales</v>
      </c>
      <c r="N278" s="70"/>
      <c r="P278" s="71"/>
      <c r="Q278" s="51"/>
      <c r="R278" s="31"/>
    </row>
    <row r="279" spans="1:18" x14ac:dyDescent="0.2">
      <c r="A279" s="238"/>
      <c r="B279" s="54" t="s">
        <v>248</v>
      </c>
      <c r="C279" s="239" t="s">
        <v>751</v>
      </c>
      <c r="D279" s="283"/>
      <c r="E279" s="281"/>
      <c r="F279" s="79"/>
      <c r="G279" s="47">
        <f>SUMIF(JournalsC!D$14:D$920,TrialBalanceC!M279,JournalsC!J$14:J$920)+SUMIF(JournalsC!E$14:E$920,TrialBalanceC!M279,JournalsC!J$14:J$920)</f>
        <v>0</v>
      </c>
      <c r="H279" s="288"/>
      <c r="I279" s="291">
        <f t="shared" si="71"/>
        <v>0</v>
      </c>
      <c r="J279" s="75"/>
      <c r="K279" s="48">
        <f t="shared" si="45"/>
        <v>0</v>
      </c>
      <c r="M279" s="140" t="str">
        <f t="shared" si="46"/>
        <v>6350/020FURNITURE AND FITTINGS - ACC DEPR</v>
      </c>
      <c r="N279" s="70"/>
      <c r="P279" s="71"/>
      <c r="Q279" s="51"/>
      <c r="R279" s="31"/>
    </row>
    <row r="280" spans="1:18" x14ac:dyDescent="0.2">
      <c r="A280" s="238"/>
      <c r="B280" s="54" t="s">
        <v>140</v>
      </c>
      <c r="C280" s="242" t="s">
        <v>752</v>
      </c>
      <c r="D280" s="282"/>
      <c r="E280" s="281"/>
      <c r="F280" s="79">
        <f>SUM(K280:K282)</f>
        <v>0</v>
      </c>
      <c r="G280" s="47">
        <f>SUMIF(JournalsC!D$14:D$920,TrialBalanceC!M280,JournalsC!J$14:J$920)+SUMIF(JournalsC!E$14:E$920,TrialBalanceC!M280,JournalsC!J$14:J$920)</f>
        <v>0</v>
      </c>
      <c r="H280" s="288"/>
      <c r="I280" s="291">
        <f t="shared" si="71"/>
        <v>0</v>
      </c>
      <c r="J280" s="75"/>
      <c r="K280" s="48">
        <f t="shared" si="45"/>
        <v>0</v>
      </c>
      <c r="M280" s="140" t="str">
        <f t="shared" si="46"/>
        <v>6350/021Furniture and fittings - acc depr b/fwd</v>
      </c>
      <c r="N280" s="70"/>
      <c r="P280" s="71"/>
      <c r="Q280" s="51"/>
      <c r="R280" s="31"/>
    </row>
    <row r="281" spans="1:18" x14ac:dyDescent="0.2">
      <c r="A281" s="238"/>
      <c r="B281" s="54" t="s">
        <v>141</v>
      </c>
      <c r="C281" s="242" t="s">
        <v>753</v>
      </c>
      <c r="D281" s="282"/>
      <c r="E281" s="281"/>
      <c r="F281" s="79"/>
      <c r="G281" s="47">
        <f>SUMIF(JournalsC!D$14:D$920,TrialBalanceC!M281,JournalsC!J$14:J$920)+SUMIF(JournalsC!E$14:E$920,TrialBalanceC!M281,JournalsC!J$14:J$920)</f>
        <v>0</v>
      </c>
      <c r="H281" s="288"/>
      <c r="I281" s="291">
        <f t="shared" si="71"/>
        <v>0</v>
      </c>
      <c r="J281" s="75"/>
      <c r="K281" s="48">
        <f t="shared" si="45"/>
        <v>0</v>
      </c>
      <c r="M281" s="140" t="str">
        <f t="shared" si="46"/>
        <v>6350/022Furniture and fittings - depr this year</v>
      </c>
      <c r="N281" s="70"/>
      <c r="P281" s="71"/>
      <c r="Q281" s="51"/>
      <c r="R281" s="31"/>
    </row>
    <row r="282" spans="1:18" x14ac:dyDescent="0.2">
      <c r="A282" s="238"/>
      <c r="B282" s="54" t="s">
        <v>228</v>
      </c>
      <c r="C282" s="242" t="s">
        <v>754</v>
      </c>
      <c r="D282" s="282"/>
      <c r="E282" s="281"/>
      <c r="F282" s="79"/>
      <c r="G282" s="47">
        <f>SUMIF(JournalsC!D$14:D$920,TrialBalanceC!M282,JournalsC!J$14:J$920)+SUMIF(JournalsC!E$14:E$920,TrialBalanceC!M282,JournalsC!J$14:J$920)</f>
        <v>0</v>
      </c>
      <c r="H282" s="288"/>
      <c r="I282" s="291">
        <f t="shared" si="71"/>
        <v>0</v>
      </c>
      <c r="J282" s="75"/>
      <c r="K282" s="48">
        <f t="shared" si="45"/>
        <v>0</v>
      </c>
      <c r="M282" s="140" t="str">
        <f t="shared" si="46"/>
        <v>6350/023Furniture and fittings - acc depr on sales</v>
      </c>
      <c r="N282" s="70"/>
      <c r="P282" s="71"/>
      <c r="Q282" s="51"/>
      <c r="R282" s="31"/>
    </row>
    <row r="283" spans="1:18" x14ac:dyDescent="0.2">
      <c r="A283" s="238"/>
      <c r="B283" s="54" t="s">
        <v>435</v>
      </c>
      <c r="C283" s="239" t="s">
        <v>43</v>
      </c>
      <c r="D283" s="283"/>
      <c r="E283" s="281"/>
      <c r="F283" s="79"/>
      <c r="G283" s="47">
        <f>SUMIF(JournalsC!D$14:D$920,TrialBalanceC!M283,JournalsC!J$14:J$920)+SUMIF(JournalsC!E$14:E$920,TrialBalanceC!M283,JournalsC!J$14:J$920)</f>
        <v>0</v>
      </c>
      <c r="H283" s="288"/>
      <c r="I283" s="291">
        <f t="shared" si="71"/>
        <v>0</v>
      </c>
      <c r="J283" s="75"/>
      <c r="K283" s="48">
        <f t="shared" si="45"/>
        <v>0</v>
      </c>
      <c r="M283" s="140" t="str">
        <f t="shared" si="46"/>
        <v>7000/000INTANGIBLE ASSETS</v>
      </c>
      <c r="N283" s="70"/>
      <c r="P283" s="71"/>
      <c r="Q283" s="51"/>
      <c r="R283" s="31"/>
    </row>
    <row r="284" spans="1:18" x14ac:dyDescent="0.2">
      <c r="A284" s="238"/>
      <c r="B284" s="90" t="s">
        <v>884</v>
      </c>
      <c r="C284" s="239" t="s">
        <v>885</v>
      </c>
      <c r="D284" s="283"/>
      <c r="E284" s="281"/>
      <c r="F284" s="79"/>
      <c r="G284" s="47">
        <f>SUMIF(JournalsC!D$14:D$920,TrialBalanceC!M284,JournalsC!J$14:J$920)+SUMIF(JournalsC!E$14:E$920,TrialBalanceC!M284,JournalsC!J$14:J$920)</f>
        <v>0</v>
      </c>
      <c r="H284" s="288"/>
      <c r="I284" s="291">
        <f t="shared" ref="I284:I301" si="72">ROUND(D284-E284+G284+F284,0)</f>
        <v>0</v>
      </c>
      <c r="J284" s="75"/>
      <c r="K284" s="48">
        <f t="shared" ref="K284:K301" si="73">ROUND(SUM(A284),0)</f>
        <v>0</v>
      </c>
      <c r="M284" s="140" t="str">
        <f t="shared" ref="M284:M301" si="74">CONCATENATE(B284,C284)</f>
        <v>7000/001GOODWILL - COST</v>
      </c>
      <c r="N284" s="70"/>
      <c r="P284" s="71"/>
      <c r="Q284" s="51"/>
      <c r="R284" s="31"/>
    </row>
    <row r="285" spans="1:18" x14ac:dyDescent="0.2">
      <c r="A285" s="238"/>
      <c r="B285" s="90" t="s">
        <v>886</v>
      </c>
      <c r="C285" s="242" t="s">
        <v>887</v>
      </c>
      <c r="D285" s="283"/>
      <c r="E285" s="281"/>
      <c r="F285" s="79">
        <f>SUM(K285:K286)</f>
        <v>0</v>
      </c>
      <c r="G285" s="47">
        <f>SUMIF(JournalsC!D$14:D$920,TrialBalanceC!M285,JournalsC!J$14:J$920)+SUMIF(JournalsC!E$14:E$920,TrialBalanceC!M285,JournalsC!J$14:J$920)</f>
        <v>0</v>
      </c>
      <c r="H285" s="288"/>
      <c r="I285" s="291">
        <f t="shared" si="72"/>
        <v>0</v>
      </c>
      <c r="J285" s="75"/>
      <c r="K285" s="48">
        <f t="shared" si="73"/>
        <v>0</v>
      </c>
      <c r="M285" s="140" t="str">
        <f t="shared" si="74"/>
        <v>7000/002Goodwill - cost b/fwd</v>
      </c>
      <c r="N285" s="70"/>
      <c r="P285" s="71"/>
      <c r="Q285" s="51"/>
      <c r="R285" s="31"/>
    </row>
    <row r="286" spans="1:18" x14ac:dyDescent="0.2">
      <c r="A286" s="238"/>
      <c r="B286" s="90" t="s">
        <v>888</v>
      </c>
      <c r="C286" s="242" t="s">
        <v>889</v>
      </c>
      <c r="D286" s="283"/>
      <c r="E286" s="281"/>
      <c r="F286" s="79"/>
      <c r="G286" s="47">
        <f>SUMIF(JournalsC!D$14:D$920,TrialBalanceC!M286,JournalsC!J$14:J$920)+SUMIF(JournalsC!E$14:E$920,TrialBalanceC!M286,JournalsC!J$14:J$920)</f>
        <v>0</v>
      </c>
      <c r="H286" s="288"/>
      <c r="I286" s="291">
        <f t="shared" si="72"/>
        <v>0</v>
      </c>
      <c r="J286" s="75"/>
      <c r="K286" s="48">
        <f t="shared" si="73"/>
        <v>0</v>
      </c>
      <c r="M286" s="140" t="str">
        <f t="shared" si="74"/>
        <v>7000/003Goodwill - additions</v>
      </c>
      <c r="N286" s="70"/>
      <c r="P286" s="71"/>
      <c r="Q286" s="51"/>
      <c r="R286" s="31"/>
    </row>
    <row r="287" spans="1:18" x14ac:dyDescent="0.2">
      <c r="A287" s="238"/>
      <c r="B287" s="90" t="s">
        <v>890</v>
      </c>
      <c r="C287" s="239" t="s">
        <v>891</v>
      </c>
      <c r="D287" s="283"/>
      <c r="E287" s="281"/>
      <c r="F287" s="79"/>
      <c r="G287" s="47">
        <f>SUMIF(JournalsC!D$14:D$920,TrialBalanceC!M287,JournalsC!J$14:J$920)+SUMIF(JournalsC!E$14:E$920,TrialBalanceC!M287,JournalsC!J$14:J$920)</f>
        <v>0</v>
      </c>
      <c r="H287" s="288"/>
      <c r="I287" s="291">
        <f t="shared" si="72"/>
        <v>0</v>
      </c>
      <c r="J287" s="75"/>
      <c r="K287" s="48">
        <f t="shared" si="73"/>
        <v>0</v>
      </c>
      <c r="M287" s="140" t="str">
        <f t="shared" si="74"/>
        <v>7000/005GOODWILL - ACC AMORTISATION</v>
      </c>
      <c r="N287" s="70"/>
      <c r="P287" s="71"/>
      <c r="Q287" s="51"/>
      <c r="R287" s="31"/>
    </row>
    <row r="288" spans="1:18" x14ac:dyDescent="0.2">
      <c r="A288" s="238"/>
      <c r="B288" s="90" t="s">
        <v>892</v>
      </c>
      <c r="C288" s="242" t="s">
        <v>893</v>
      </c>
      <c r="D288" s="283"/>
      <c r="E288" s="281"/>
      <c r="F288" s="79">
        <f>SUM(K288:K289)</f>
        <v>0</v>
      </c>
      <c r="G288" s="47">
        <f>SUMIF(JournalsC!D$14:D$920,TrialBalanceC!M288,JournalsC!J$14:J$920)+SUMIF(JournalsC!E$14:E$920,TrialBalanceC!M288,JournalsC!J$14:J$920)</f>
        <v>0</v>
      </c>
      <c r="H288" s="288"/>
      <c r="I288" s="291">
        <f t="shared" si="72"/>
        <v>0</v>
      </c>
      <c r="J288" s="75"/>
      <c r="K288" s="48">
        <f t="shared" si="73"/>
        <v>0</v>
      </c>
      <c r="M288" s="140" t="str">
        <f t="shared" si="74"/>
        <v>7000/006Goodwill - acc amortisation b/fwd</v>
      </c>
      <c r="N288" s="70"/>
      <c r="P288" s="71"/>
      <c r="Q288" s="51"/>
      <c r="R288" s="31"/>
    </row>
    <row r="289" spans="1:18" x14ac:dyDescent="0.2">
      <c r="A289" s="238"/>
      <c r="B289" s="90" t="s">
        <v>894</v>
      </c>
      <c r="C289" s="242" t="s">
        <v>895</v>
      </c>
      <c r="D289" s="283"/>
      <c r="E289" s="281"/>
      <c r="F289" s="79"/>
      <c r="G289" s="47">
        <f>SUMIF(JournalsC!D$14:D$920,TrialBalanceC!M289,JournalsC!J$14:J$920)+SUMIF(JournalsC!E$14:E$920,TrialBalanceC!M289,JournalsC!J$14:J$920)</f>
        <v>0</v>
      </c>
      <c r="H289" s="288"/>
      <c r="I289" s="291">
        <f t="shared" si="72"/>
        <v>0</v>
      </c>
      <c r="J289" s="75"/>
      <c r="K289" s="48">
        <f t="shared" si="73"/>
        <v>0</v>
      </c>
      <c r="M289" s="140" t="str">
        <f t="shared" si="74"/>
        <v>7000/007Goodwill - amortisation this year</v>
      </c>
      <c r="N289" s="70"/>
      <c r="P289" s="71"/>
      <c r="Q289" s="51"/>
      <c r="R289" s="31"/>
    </row>
    <row r="290" spans="1:18" x14ac:dyDescent="0.2">
      <c r="A290" s="238"/>
      <c r="B290" s="90" t="s">
        <v>436</v>
      </c>
      <c r="C290" s="239" t="s">
        <v>896</v>
      </c>
      <c r="D290" s="283"/>
      <c r="E290" s="281"/>
      <c r="F290" s="79"/>
      <c r="G290" s="47">
        <f>SUMIF(JournalsC!D$14:D$920,TrialBalanceC!M290,JournalsC!J$14:J$920)+SUMIF(JournalsC!E$14:E$920,TrialBalanceC!M290,JournalsC!J$14:J$920)</f>
        <v>0</v>
      </c>
      <c r="H290" s="288"/>
      <c r="I290" s="291">
        <f t="shared" si="72"/>
        <v>0</v>
      </c>
      <c r="J290" s="75"/>
      <c r="K290" s="48">
        <f t="shared" si="73"/>
        <v>0</v>
      </c>
      <c r="M290" s="140" t="str">
        <f t="shared" si="74"/>
        <v>7000/010GOODWILL - IMPAIRMENT</v>
      </c>
      <c r="N290" s="70"/>
      <c r="P290" s="71"/>
      <c r="Q290" s="51"/>
      <c r="R290" s="31"/>
    </row>
    <row r="291" spans="1:18" x14ac:dyDescent="0.2">
      <c r="A291" s="238"/>
      <c r="B291" s="90" t="s">
        <v>611</v>
      </c>
      <c r="C291" s="242" t="s">
        <v>897</v>
      </c>
      <c r="D291" s="283"/>
      <c r="E291" s="281"/>
      <c r="F291" s="79">
        <f>SUM(K291:K292)</f>
        <v>0</v>
      </c>
      <c r="G291" s="47">
        <f>SUMIF(JournalsC!D$14:D$920,TrialBalanceC!M291,JournalsC!J$14:J$920)+SUMIF(JournalsC!E$14:E$920,TrialBalanceC!M291,JournalsC!J$14:J$920)</f>
        <v>0</v>
      </c>
      <c r="H291" s="288"/>
      <c r="I291" s="291">
        <f t="shared" si="72"/>
        <v>0</v>
      </c>
      <c r="J291" s="75"/>
      <c r="K291" s="48">
        <f t="shared" si="73"/>
        <v>0</v>
      </c>
      <c r="M291" s="140" t="str">
        <f t="shared" si="74"/>
        <v>7000/011Goodwill - impairment loss b/fwd</v>
      </c>
      <c r="N291" s="70"/>
      <c r="P291" s="71"/>
      <c r="Q291" s="51"/>
      <c r="R291" s="31"/>
    </row>
    <row r="292" spans="1:18" x14ac:dyDescent="0.2">
      <c r="A292" s="238"/>
      <c r="B292" s="90" t="s">
        <v>898</v>
      </c>
      <c r="C292" s="242" t="s">
        <v>899</v>
      </c>
      <c r="D292" s="283"/>
      <c r="E292" s="281"/>
      <c r="F292" s="79"/>
      <c r="G292" s="47">
        <f>SUMIF(JournalsC!D$14:D$920,TrialBalanceC!M292,JournalsC!J$14:J$920)+SUMIF(JournalsC!E$14:E$920,TrialBalanceC!M292,JournalsC!J$14:J$920)</f>
        <v>0</v>
      </c>
      <c r="H292" s="288"/>
      <c r="I292" s="291">
        <f t="shared" si="72"/>
        <v>0</v>
      </c>
      <c r="J292" s="75"/>
      <c r="K292" s="48">
        <f t="shared" si="73"/>
        <v>0</v>
      </c>
      <c r="M292" s="140" t="str">
        <f t="shared" si="74"/>
        <v>7000/012Goodwill - impairment loss this year</v>
      </c>
      <c r="N292" s="70"/>
      <c r="P292" s="71"/>
      <c r="Q292" s="51"/>
      <c r="R292" s="31"/>
    </row>
    <row r="293" spans="1:18" x14ac:dyDescent="0.2">
      <c r="A293" s="238"/>
      <c r="B293" s="90" t="s">
        <v>900</v>
      </c>
      <c r="C293" s="239" t="s">
        <v>901</v>
      </c>
      <c r="D293" s="283"/>
      <c r="E293" s="281"/>
      <c r="F293" s="79"/>
      <c r="G293" s="47">
        <f>SUMIF(JournalsC!D$14:D$920,TrialBalanceC!M293,JournalsC!J$14:J$920)+SUMIF(JournalsC!E$14:E$920,TrialBalanceC!M293,JournalsC!J$14:J$920)</f>
        <v>0</v>
      </c>
      <c r="H293" s="288"/>
      <c r="I293" s="291">
        <f t="shared" si="72"/>
        <v>0</v>
      </c>
      <c r="J293" s="75"/>
      <c r="K293" s="48">
        <f t="shared" si="73"/>
        <v>0</v>
      </c>
      <c r="M293" s="140" t="str">
        <f t="shared" si="74"/>
        <v>7000/021PREPAID LEASE AGREEMENT - COST</v>
      </c>
      <c r="N293" s="70"/>
      <c r="P293" s="71"/>
      <c r="Q293" s="51"/>
      <c r="R293" s="31"/>
    </row>
    <row r="294" spans="1:18" x14ac:dyDescent="0.2">
      <c r="A294" s="238"/>
      <c r="B294" s="90" t="s">
        <v>902</v>
      </c>
      <c r="C294" s="242" t="s">
        <v>903</v>
      </c>
      <c r="D294" s="283"/>
      <c r="E294" s="281"/>
      <c r="F294" s="79">
        <f>SUM(K294:K295)</f>
        <v>0</v>
      </c>
      <c r="G294" s="47">
        <f>SUMIF(JournalsC!D$14:D$920,TrialBalanceC!M294,JournalsC!J$14:J$920)+SUMIF(JournalsC!E$14:E$920,TrialBalanceC!M294,JournalsC!J$14:J$920)</f>
        <v>0</v>
      </c>
      <c r="H294" s="288"/>
      <c r="I294" s="291">
        <f t="shared" si="72"/>
        <v>0</v>
      </c>
      <c r="J294" s="75"/>
      <c r="K294" s="48">
        <f t="shared" si="73"/>
        <v>0</v>
      </c>
      <c r="M294" s="140" t="str">
        <f t="shared" si="74"/>
        <v>7000/022Prepaid lease agreement - cost b/fwd</v>
      </c>
      <c r="N294" s="70"/>
      <c r="P294" s="71"/>
      <c r="Q294" s="51"/>
      <c r="R294" s="31"/>
    </row>
    <row r="295" spans="1:18" x14ac:dyDescent="0.2">
      <c r="A295" s="238"/>
      <c r="B295" s="90" t="s">
        <v>904</v>
      </c>
      <c r="C295" s="242" t="s">
        <v>905</v>
      </c>
      <c r="D295" s="283"/>
      <c r="E295" s="281"/>
      <c r="F295" s="79"/>
      <c r="G295" s="47">
        <f>SUMIF(JournalsC!D$14:D$920,TrialBalanceC!M295,JournalsC!J$14:J$920)+SUMIF(JournalsC!E$14:E$920,TrialBalanceC!M295,JournalsC!J$14:J$920)</f>
        <v>0</v>
      </c>
      <c r="H295" s="288"/>
      <c r="I295" s="291">
        <f t="shared" si="72"/>
        <v>0</v>
      </c>
      <c r="J295" s="75"/>
      <c r="K295" s="48">
        <f t="shared" si="73"/>
        <v>0</v>
      </c>
      <c r="M295" s="140" t="str">
        <f t="shared" si="74"/>
        <v>7000/023Prepaid lease agreement - additions</v>
      </c>
      <c r="N295" s="70"/>
      <c r="P295" s="71"/>
      <c r="Q295" s="51"/>
      <c r="R295" s="31"/>
    </row>
    <row r="296" spans="1:18" x14ac:dyDescent="0.2">
      <c r="A296" s="238"/>
      <c r="B296" s="90" t="s">
        <v>437</v>
      </c>
      <c r="C296" s="239" t="s">
        <v>906</v>
      </c>
      <c r="D296" s="283"/>
      <c r="E296" s="281"/>
      <c r="F296" s="79"/>
      <c r="G296" s="47">
        <f>SUMIF(JournalsC!D$14:D$920,TrialBalanceC!M296,JournalsC!J$14:J$920)+SUMIF(JournalsC!E$14:E$920,TrialBalanceC!M296,JournalsC!J$14:J$920)</f>
        <v>0</v>
      </c>
      <c r="H296" s="288"/>
      <c r="I296" s="291">
        <f t="shared" si="72"/>
        <v>0</v>
      </c>
      <c r="J296" s="75"/>
      <c r="K296" s="48">
        <f t="shared" si="73"/>
        <v>0</v>
      </c>
      <c r="M296" s="140" t="str">
        <f t="shared" si="74"/>
        <v>7000/025PREPAID LEASE AGREEMENT - ACC AMORTISATION</v>
      </c>
      <c r="N296" s="70"/>
      <c r="P296" s="71"/>
      <c r="Q296" s="51"/>
      <c r="R296" s="31"/>
    </row>
    <row r="297" spans="1:18" x14ac:dyDescent="0.2">
      <c r="A297" s="238"/>
      <c r="B297" s="90" t="s">
        <v>907</v>
      </c>
      <c r="C297" s="242" t="s">
        <v>908</v>
      </c>
      <c r="D297" s="283"/>
      <c r="E297" s="281"/>
      <c r="F297" s="79">
        <f>SUM(K297:K298)</f>
        <v>0</v>
      </c>
      <c r="G297" s="47">
        <f>SUMIF(JournalsC!D$14:D$920,TrialBalanceC!M297,JournalsC!J$14:J$920)+SUMIF(JournalsC!E$14:E$920,TrialBalanceC!M297,JournalsC!J$14:J$920)</f>
        <v>0</v>
      </c>
      <c r="H297" s="288"/>
      <c r="I297" s="291">
        <f t="shared" si="72"/>
        <v>0</v>
      </c>
      <c r="J297" s="75"/>
      <c r="K297" s="48">
        <f t="shared" si="73"/>
        <v>0</v>
      </c>
      <c r="M297" s="140" t="str">
        <f t="shared" si="74"/>
        <v>7000/026Prepaid lease agreement - acc amortisation b/fwd</v>
      </c>
      <c r="N297" s="70"/>
      <c r="P297" s="71"/>
      <c r="Q297" s="51"/>
      <c r="R297" s="31"/>
    </row>
    <row r="298" spans="1:18" x14ac:dyDescent="0.2">
      <c r="A298" s="238"/>
      <c r="B298" s="90" t="s">
        <v>909</v>
      </c>
      <c r="C298" s="242" t="s">
        <v>910</v>
      </c>
      <c r="D298" s="283"/>
      <c r="E298" s="281"/>
      <c r="F298" s="79"/>
      <c r="G298" s="47">
        <f>SUMIF(JournalsC!D$14:D$920,TrialBalanceC!M298,JournalsC!J$14:J$920)+SUMIF(JournalsC!E$14:E$920,TrialBalanceC!M298,JournalsC!J$14:J$920)</f>
        <v>0</v>
      </c>
      <c r="H298" s="288"/>
      <c r="I298" s="291">
        <f>ROUND(D298-E298+G298+F298,0)</f>
        <v>0</v>
      </c>
      <c r="J298" s="75"/>
      <c r="K298" s="48">
        <f t="shared" si="73"/>
        <v>0</v>
      </c>
      <c r="M298" s="140" t="str">
        <f t="shared" si="74"/>
        <v>7000/027Prepaid lease agreement - amortisation this year</v>
      </c>
      <c r="N298" s="70"/>
      <c r="P298" s="71"/>
      <c r="Q298" s="51"/>
      <c r="R298" s="31"/>
    </row>
    <row r="299" spans="1:18" x14ac:dyDescent="0.2">
      <c r="A299" s="238"/>
      <c r="B299" s="90" t="s">
        <v>911</v>
      </c>
      <c r="C299" s="239" t="s">
        <v>912</v>
      </c>
      <c r="D299" s="283"/>
      <c r="E299" s="281"/>
      <c r="F299" s="79"/>
      <c r="G299" s="47">
        <f>SUMIF(JournalsC!D$14:D$920,TrialBalanceC!M299,JournalsC!J$14:J$920)+SUMIF(JournalsC!E$14:E$920,TrialBalanceC!M299,JournalsC!J$14:J$920)</f>
        <v>0</v>
      </c>
      <c r="H299" s="288"/>
      <c r="I299" s="291">
        <f t="shared" si="72"/>
        <v>0</v>
      </c>
      <c r="J299" s="75"/>
      <c r="K299" s="48">
        <f t="shared" si="73"/>
        <v>0</v>
      </c>
      <c r="M299" s="140" t="str">
        <f t="shared" si="74"/>
        <v>7000/030PREPAID LEASE AGREEMENT - IMPAIRMENT</v>
      </c>
      <c r="N299" s="70"/>
      <c r="P299" s="71"/>
      <c r="Q299" s="51"/>
      <c r="R299" s="31"/>
    </row>
    <row r="300" spans="1:18" x14ac:dyDescent="0.2">
      <c r="A300" s="238"/>
      <c r="B300" s="90" t="s">
        <v>913</v>
      </c>
      <c r="C300" s="242" t="s">
        <v>914</v>
      </c>
      <c r="D300" s="283"/>
      <c r="E300" s="281"/>
      <c r="F300" s="79">
        <f>SUM(K300:K301)</f>
        <v>0</v>
      </c>
      <c r="G300" s="47">
        <f>SUMIF(JournalsC!D$14:D$920,TrialBalanceC!M300,JournalsC!J$14:J$920)+SUMIF(JournalsC!E$14:E$920,TrialBalanceC!M300,JournalsC!J$14:J$920)</f>
        <v>0</v>
      </c>
      <c r="H300" s="288"/>
      <c r="I300" s="291">
        <f t="shared" si="72"/>
        <v>0</v>
      </c>
      <c r="J300" s="75"/>
      <c r="K300" s="48">
        <f t="shared" si="73"/>
        <v>0</v>
      </c>
      <c r="M300" s="140" t="str">
        <f t="shared" si="74"/>
        <v>7000/031Prepaid lease agreement - impairment loss b/fwd</v>
      </c>
      <c r="N300" s="70"/>
      <c r="P300" s="71"/>
      <c r="Q300" s="51"/>
      <c r="R300" s="31"/>
    </row>
    <row r="301" spans="1:18" x14ac:dyDescent="0.2">
      <c r="A301" s="238"/>
      <c r="B301" s="90" t="s">
        <v>915</v>
      </c>
      <c r="C301" s="242" t="s">
        <v>916</v>
      </c>
      <c r="D301" s="283"/>
      <c r="E301" s="281"/>
      <c r="F301" s="79"/>
      <c r="G301" s="47">
        <f>SUMIF(JournalsC!D$14:D$920,TrialBalanceC!M301,JournalsC!J$14:J$920)+SUMIF(JournalsC!E$14:E$920,TrialBalanceC!M301,JournalsC!J$14:J$920)</f>
        <v>0</v>
      </c>
      <c r="H301" s="288"/>
      <c r="I301" s="291">
        <f t="shared" si="72"/>
        <v>0</v>
      </c>
      <c r="J301" s="75"/>
      <c r="K301" s="48">
        <f t="shared" si="73"/>
        <v>0</v>
      </c>
      <c r="M301" s="140" t="str">
        <f t="shared" si="74"/>
        <v>7000/032Prepaid lease agreement - impairment loss this year</v>
      </c>
      <c r="N301" s="70"/>
      <c r="P301" s="71"/>
      <c r="Q301" s="51"/>
      <c r="R301" s="31"/>
    </row>
    <row r="302" spans="1:18" x14ac:dyDescent="0.2">
      <c r="A302" s="238"/>
      <c r="B302" s="54" t="s">
        <v>438</v>
      </c>
      <c r="C302" s="239" t="s">
        <v>155</v>
      </c>
      <c r="D302" s="283"/>
      <c r="E302" s="281"/>
      <c r="F302" s="79"/>
      <c r="G302" s="47">
        <f>SUMIF(JournalsC!D$14:D$920,TrialBalanceC!M302,JournalsC!J$14:J$920)+SUMIF(JournalsC!E$14:E$920,TrialBalanceC!M302,JournalsC!J$14:J$920)</f>
        <v>0</v>
      </c>
      <c r="H302" s="288"/>
      <c r="I302" s="291">
        <f t="shared" si="71"/>
        <v>0</v>
      </c>
      <c r="J302" s="75"/>
      <c r="K302" s="48">
        <f t="shared" ref="K302:K389" si="75">ROUND(SUM(A302),0)</f>
        <v>0</v>
      </c>
      <c r="M302" s="140" t="str">
        <f t="shared" ref="M302:M389" si="76">CONCATENATE(B302,C302)</f>
        <v>7100/000INVESTMENTS</v>
      </c>
      <c r="N302" s="70"/>
      <c r="P302" s="71"/>
      <c r="Q302" s="51"/>
      <c r="R302" s="31"/>
    </row>
    <row r="303" spans="1:18" x14ac:dyDescent="0.2">
      <c r="A303" s="238"/>
      <c r="B303" s="90" t="s">
        <v>845</v>
      </c>
      <c r="C303" s="242" t="s">
        <v>846</v>
      </c>
      <c r="D303" s="283"/>
      <c r="E303" s="281"/>
      <c r="F303" s="79"/>
      <c r="G303" s="47">
        <f>SUMIF(JournalsC!D$14:D$920,TrialBalanceC!M303,JournalsC!J$14:J$920)+SUMIF(JournalsC!E$14:E$920,TrialBalanceC!M303,JournalsC!J$14:J$920)</f>
        <v>0</v>
      </c>
      <c r="H303" s="288"/>
      <c r="I303" s="291">
        <f t="shared" ref="I303:I306" si="77">ROUND(D303-E303+G303+F303,0)</f>
        <v>0</v>
      </c>
      <c r="J303" s="75"/>
      <c r="K303" s="48">
        <f t="shared" ref="K303:K306" si="78">ROUND(SUM(A303),0)</f>
        <v>0</v>
      </c>
      <c r="M303" s="140" t="str">
        <f t="shared" ref="M303:M306" si="79">CONCATENATE(B303,C303)</f>
        <v>7100/050INVESTMENTS IN ASSOCIATES</v>
      </c>
      <c r="N303" s="70"/>
      <c r="P303" s="71"/>
      <c r="Q303" s="51"/>
      <c r="R303" s="31"/>
    </row>
    <row r="304" spans="1:18" x14ac:dyDescent="0.2">
      <c r="A304" s="238"/>
      <c r="B304" s="90" t="s">
        <v>847</v>
      </c>
      <c r="C304" s="276" t="str">
        <f>TrialBalance!C304</f>
        <v>30 Shares in ABC Company (Pty) Ltd - 30% interest</v>
      </c>
      <c r="D304" s="250"/>
      <c r="E304" s="251"/>
      <c r="F304" s="79">
        <f>K304</f>
        <v>0</v>
      </c>
      <c r="G304" s="47">
        <f>SUMIF(JournalsC!D$14:D$920,TrialBalanceC!M304,JournalsC!J$14:J$920)+SUMIF(JournalsC!E$14:E$920,TrialBalanceC!M304,JournalsC!J$14:J$920)</f>
        <v>0</v>
      </c>
      <c r="H304" s="288"/>
      <c r="I304" s="291">
        <f t="shared" si="77"/>
        <v>0</v>
      </c>
      <c r="J304" s="75"/>
      <c r="K304" s="48">
        <f t="shared" si="78"/>
        <v>0</v>
      </c>
      <c r="M304" s="140" t="str">
        <f t="shared" si="79"/>
        <v>7100/05130 Shares in ABC Company (Pty) Ltd - 30% interest</v>
      </c>
      <c r="N304" s="70"/>
      <c r="P304" s="71"/>
      <c r="Q304" s="51"/>
      <c r="R304" s="31"/>
    </row>
    <row r="305" spans="1:18" x14ac:dyDescent="0.2">
      <c r="A305" s="238"/>
      <c r="B305" s="90" t="s">
        <v>848</v>
      </c>
      <c r="C305" s="276">
        <f>TrialBalance!C305</f>
        <v>0</v>
      </c>
      <c r="D305" s="250"/>
      <c r="E305" s="251"/>
      <c r="F305" s="79">
        <f>K305</f>
        <v>0</v>
      </c>
      <c r="G305" s="47">
        <f>SUMIF(JournalsC!D$14:D$920,TrialBalanceC!M305,JournalsC!J$14:J$920)+SUMIF(JournalsC!E$14:E$920,TrialBalanceC!M305,JournalsC!J$14:J$920)</f>
        <v>0</v>
      </c>
      <c r="H305" s="288"/>
      <c r="I305" s="291">
        <f t="shared" si="77"/>
        <v>0</v>
      </c>
      <c r="J305" s="75"/>
      <c r="K305" s="48">
        <f t="shared" si="78"/>
        <v>0</v>
      </c>
      <c r="M305" s="140" t="str">
        <f t="shared" si="79"/>
        <v>7100/0520</v>
      </c>
      <c r="N305" s="70"/>
      <c r="P305" s="71"/>
      <c r="Q305" s="51"/>
      <c r="R305" s="31"/>
    </row>
    <row r="306" spans="1:18" x14ac:dyDescent="0.2">
      <c r="A306" s="238"/>
      <c r="B306" s="90" t="s">
        <v>849</v>
      </c>
      <c r="C306" s="276">
        <f>TrialBalance!C306</f>
        <v>0</v>
      </c>
      <c r="D306" s="250"/>
      <c r="E306" s="251"/>
      <c r="F306" s="79">
        <f>K306</f>
        <v>0</v>
      </c>
      <c r="G306" s="47">
        <f>SUMIF(JournalsC!D$14:D$920,TrialBalanceC!M306,JournalsC!J$14:J$920)+SUMIF(JournalsC!E$14:E$920,TrialBalanceC!M306,JournalsC!J$14:J$920)</f>
        <v>0</v>
      </c>
      <c r="H306" s="288"/>
      <c r="I306" s="291">
        <f t="shared" si="77"/>
        <v>0</v>
      </c>
      <c r="J306" s="75"/>
      <c r="K306" s="48">
        <f t="shared" si="78"/>
        <v>0</v>
      </c>
      <c r="M306" s="140" t="str">
        <f t="shared" si="79"/>
        <v>7100/0530</v>
      </c>
      <c r="N306" s="70"/>
      <c r="P306" s="71"/>
      <c r="Q306" s="51"/>
      <c r="R306" s="31"/>
    </row>
    <row r="307" spans="1:18" x14ac:dyDescent="0.2">
      <c r="A307" s="238"/>
      <c r="B307" s="54" t="s">
        <v>439</v>
      </c>
      <c r="C307" s="240" t="s">
        <v>440</v>
      </c>
      <c r="D307" s="282"/>
      <c r="E307" s="281"/>
      <c r="F307" s="79"/>
      <c r="G307" s="47">
        <f>SUMIF(JournalsC!D$14:D$920,TrialBalanceC!M307,JournalsC!J$14:J$920)+SUMIF(JournalsC!E$14:E$920,TrialBalanceC!M307,JournalsC!J$14:J$920)</f>
        <v>0</v>
      </c>
      <c r="H307" s="288"/>
      <c r="I307" s="291">
        <f t="shared" si="71"/>
        <v>0</v>
      </c>
      <c r="J307" s="75"/>
      <c r="K307" s="48">
        <f t="shared" si="75"/>
        <v>0</v>
      </c>
      <c r="M307" s="140" t="str">
        <f t="shared" si="76"/>
        <v>7100/100LISTED INVESTMENTS</v>
      </c>
      <c r="N307" s="70"/>
      <c r="P307" s="71"/>
      <c r="Q307" s="51"/>
      <c r="R307" s="31"/>
    </row>
    <row r="308" spans="1:18" x14ac:dyDescent="0.2">
      <c r="A308" s="238"/>
      <c r="B308" s="54" t="s">
        <v>441</v>
      </c>
      <c r="C308" s="276">
        <f>TrialBalance!C308</f>
        <v>0</v>
      </c>
      <c r="D308" s="282"/>
      <c r="E308" s="281"/>
      <c r="F308" s="79">
        <f>K308</f>
        <v>0</v>
      </c>
      <c r="G308" s="47">
        <f>SUMIF(JournalsC!D$14:D$920,TrialBalanceC!M308,JournalsC!J$14:J$920)+SUMIF(JournalsC!E$14:E$920,TrialBalanceC!M308,JournalsC!J$14:J$920)</f>
        <v>0</v>
      </c>
      <c r="H308" s="288"/>
      <c r="I308" s="291">
        <f t="shared" si="71"/>
        <v>0</v>
      </c>
      <c r="J308" s="75"/>
      <c r="K308" s="48">
        <f t="shared" si="75"/>
        <v>0</v>
      </c>
      <c r="M308" s="140" t="str">
        <f t="shared" si="76"/>
        <v>7100/1010</v>
      </c>
      <c r="N308" s="70"/>
      <c r="P308" s="71"/>
      <c r="Q308" s="51"/>
      <c r="R308" s="31"/>
    </row>
    <row r="309" spans="1:18" x14ac:dyDescent="0.2">
      <c r="A309" s="238"/>
      <c r="B309" s="54" t="s">
        <v>442</v>
      </c>
      <c r="C309" s="276">
        <f>TrialBalance!C309</f>
        <v>0</v>
      </c>
      <c r="D309" s="282"/>
      <c r="E309" s="281"/>
      <c r="F309" s="79">
        <f t="shared" ref="F309:F377" si="80">K309</f>
        <v>0</v>
      </c>
      <c r="G309" s="47">
        <f>SUMIF(JournalsC!D$14:D$920,TrialBalanceC!M309,JournalsC!J$14:J$920)+SUMIF(JournalsC!E$14:E$920,TrialBalanceC!M309,JournalsC!J$14:J$920)</f>
        <v>0</v>
      </c>
      <c r="H309" s="288"/>
      <c r="I309" s="291">
        <f t="shared" si="71"/>
        <v>0</v>
      </c>
      <c r="J309" s="75"/>
      <c r="K309" s="48">
        <f t="shared" si="75"/>
        <v>0</v>
      </c>
      <c r="M309" s="140" t="str">
        <f t="shared" si="76"/>
        <v>7100/1020</v>
      </c>
      <c r="N309" s="70"/>
      <c r="P309" s="71"/>
      <c r="Q309" s="51"/>
      <c r="R309" s="31"/>
    </row>
    <row r="310" spans="1:18" x14ac:dyDescent="0.2">
      <c r="A310" s="238"/>
      <c r="B310" s="54" t="s">
        <v>443</v>
      </c>
      <c r="C310" s="276">
        <f>TrialBalance!C310</f>
        <v>0</v>
      </c>
      <c r="D310" s="282"/>
      <c r="E310" s="281"/>
      <c r="F310" s="79">
        <f t="shared" si="80"/>
        <v>0</v>
      </c>
      <c r="G310" s="47">
        <f>SUMIF(JournalsC!D$14:D$920,TrialBalanceC!M310,JournalsC!J$14:J$920)+SUMIF(JournalsC!E$14:E$920,TrialBalanceC!M310,JournalsC!J$14:J$920)</f>
        <v>0</v>
      </c>
      <c r="H310" s="288"/>
      <c r="I310" s="291">
        <f t="shared" si="71"/>
        <v>0</v>
      </c>
      <c r="J310" s="75"/>
      <c r="K310" s="48">
        <f t="shared" si="75"/>
        <v>0</v>
      </c>
      <c r="M310" s="140" t="str">
        <f t="shared" si="76"/>
        <v>7100/1030</v>
      </c>
      <c r="N310" s="70"/>
      <c r="P310" s="71"/>
      <c r="Q310" s="51"/>
      <c r="R310" s="31"/>
    </row>
    <row r="311" spans="1:18" x14ac:dyDescent="0.2">
      <c r="A311" s="238"/>
      <c r="B311" s="54" t="s">
        <v>444</v>
      </c>
      <c r="C311" s="276">
        <f>TrialBalance!C311</f>
        <v>0</v>
      </c>
      <c r="D311" s="282"/>
      <c r="E311" s="281"/>
      <c r="F311" s="79">
        <f t="shared" si="80"/>
        <v>0</v>
      </c>
      <c r="G311" s="47">
        <f>SUMIF(JournalsC!D$14:D$920,TrialBalanceC!M311,JournalsC!J$14:J$920)+SUMIF(JournalsC!E$14:E$920,TrialBalanceC!M311,JournalsC!J$14:J$920)</f>
        <v>0</v>
      </c>
      <c r="H311" s="288"/>
      <c r="I311" s="291">
        <f t="shared" si="71"/>
        <v>0</v>
      </c>
      <c r="J311" s="75"/>
      <c r="K311" s="48">
        <f t="shared" si="75"/>
        <v>0</v>
      </c>
      <c r="M311" s="140" t="str">
        <f t="shared" si="76"/>
        <v>7100/1040</v>
      </c>
      <c r="N311" s="70"/>
      <c r="P311" s="71"/>
      <c r="Q311" s="51"/>
      <c r="R311" s="31"/>
    </row>
    <row r="312" spans="1:18" x14ac:dyDescent="0.2">
      <c r="A312" s="238"/>
      <c r="B312" s="54" t="s">
        <v>445</v>
      </c>
      <c r="C312" s="276">
        <f>TrialBalance!C312</f>
        <v>0</v>
      </c>
      <c r="D312" s="282"/>
      <c r="E312" s="281"/>
      <c r="F312" s="79">
        <f t="shared" si="80"/>
        <v>0</v>
      </c>
      <c r="G312" s="47">
        <f>SUMIF(JournalsC!D$14:D$920,TrialBalanceC!M312,JournalsC!J$14:J$920)+SUMIF(JournalsC!E$14:E$920,TrialBalanceC!M312,JournalsC!J$14:J$920)</f>
        <v>0</v>
      </c>
      <c r="H312" s="288"/>
      <c r="I312" s="291">
        <f t="shared" si="71"/>
        <v>0</v>
      </c>
      <c r="J312" s="75"/>
      <c r="K312" s="48">
        <f t="shared" si="75"/>
        <v>0</v>
      </c>
      <c r="M312" s="140" t="str">
        <f t="shared" si="76"/>
        <v>7100/1050</v>
      </c>
      <c r="N312" s="70"/>
      <c r="P312" s="71"/>
      <c r="Q312" s="51"/>
      <c r="R312" s="31"/>
    </row>
    <row r="313" spans="1:18" x14ac:dyDescent="0.2">
      <c r="A313" s="238"/>
      <c r="B313" s="54" t="s">
        <v>446</v>
      </c>
      <c r="C313" s="239" t="s">
        <v>347</v>
      </c>
      <c r="D313" s="283"/>
      <c r="E313" s="281"/>
      <c r="F313" s="79"/>
      <c r="G313" s="47">
        <f>SUMIF(JournalsC!D$14:D$920,TrialBalanceC!M313,JournalsC!J$14:J$920)+SUMIF(JournalsC!E$14:E$920,TrialBalanceC!M313,JournalsC!J$14:J$920)</f>
        <v>0</v>
      </c>
      <c r="H313" s="288"/>
      <c r="I313" s="291">
        <f t="shared" si="71"/>
        <v>0</v>
      </c>
      <c r="J313" s="75"/>
      <c r="K313" s="48">
        <f t="shared" si="75"/>
        <v>0</v>
      </c>
      <c r="M313" s="140" t="str">
        <f t="shared" si="76"/>
        <v>7100/200OTHER INVESTMENTS</v>
      </c>
      <c r="N313" s="70"/>
      <c r="P313" s="71"/>
      <c r="Q313" s="51"/>
      <c r="R313" s="31"/>
    </row>
    <row r="314" spans="1:18" x14ac:dyDescent="0.2">
      <c r="A314" s="238"/>
      <c r="B314" s="54" t="s">
        <v>447</v>
      </c>
      <c r="C314" s="276">
        <f>TrialBalance!C314</f>
        <v>0</v>
      </c>
      <c r="D314" s="284"/>
      <c r="E314" s="281"/>
      <c r="F314" s="79">
        <f t="shared" si="80"/>
        <v>0</v>
      </c>
      <c r="G314" s="47">
        <f>SUMIF(JournalsC!D$14:D$920,TrialBalanceC!M314,JournalsC!J$14:J$920)+SUMIF(JournalsC!E$14:E$920,TrialBalanceC!M314,JournalsC!J$14:J$920)</f>
        <v>0</v>
      </c>
      <c r="H314" s="288"/>
      <c r="I314" s="291">
        <f t="shared" si="71"/>
        <v>0</v>
      </c>
      <c r="J314" s="75"/>
      <c r="K314" s="48">
        <f t="shared" si="75"/>
        <v>0</v>
      </c>
      <c r="M314" s="140" t="str">
        <f t="shared" si="76"/>
        <v>7100/2010</v>
      </c>
      <c r="N314" s="70"/>
      <c r="P314" s="71"/>
      <c r="Q314" s="51"/>
      <c r="R314" s="31"/>
    </row>
    <row r="315" spans="1:18" x14ac:dyDescent="0.2">
      <c r="A315" s="238"/>
      <c r="B315" s="54" t="s">
        <v>448</v>
      </c>
      <c r="C315" s="276">
        <f>TrialBalance!C315</f>
        <v>0</v>
      </c>
      <c r="D315" s="284"/>
      <c r="E315" s="281"/>
      <c r="F315" s="79">
        <f t="shared" si="80"/>
        <v>0</v>
      </c>
      <c r="G315" s="47">
        <f>SUMIF(JournalsC!D$14:D$920,TrialBalanceC!M315,JournalsC!J$14:J$920)+SUMIF(JournalsC!E$14:E$920,TrialBalanceC!M315,JournalsC!J$14:J$920)</f>
        <v>0</v>
      </c>
      <c r="H315" s="288"/>
      <c r="I315" s="291">
        <f t="shared" si="71"/>
        <v>0</v>
      </c>
      <c r="J315" s="75"/>
      <c r="K315" s="48">
        <f t="shared" si="75"/>
        <v>0</v>
      </c>
      <c r="M315" s="140" t="str">
        <f t="shared" si="76"/>
        <v>7100/2020</v>
      </c>
      <c r="N315" s="70"/>
      <c r="P315" s="71"/>
      <c r="Q315" s="51"/>
      <c r="R315" s="31"/>
    </row>
    <row r="316" spans="1:18" x14ac:dyDescent="0.2">
      <c r="A316" s="238"/>
      <c r="B316" s="54" t="s">
        <v>449</v>
      </c>
      <c r="C316" s="276">
        <f>TrialBalance!C316</f>
        <v>0</v>
      </c>
      <c r="D316" s="282"/>
      <c r="E316" s="281"/>
      <c r="F316" s="79">
        <f t="shared" si="80"/>
        <v>0</v>
      </c>
      <c r="G316" s="47">
        <f>SUMIF(JournalsC!D$14:D$920,TrialBalanceC!M316,JournalsC!J$14:J$920)+SUMIF(JournalsC!E$14:E$920,TrialBalanceC!M316,JournalsC!J$14:J$920)</f>
        <v>0</v>
      </c>
      <c r="H316" s="288"/>
      <c r="I316" s="291">
        <f t="shared" si="71"/>
        <v>0</v>
      </c>
      <c r="J316" s="75"/>
      <c r="K316" s="48">
        <f t="shared" si="75"/>
        <v>0</v>
      </c>
      <c r="M316" s="140" t="str">
        <f t="shared" si="76"/>
        <v>7100/2030</v>
      </c>
      <c r="N316" s="70"/>
      <c r="P316" s="71"/>
      <c r="Q316" s="51"/>
      <c r="R316" s="31"/>
    </row>
    <row r="317" spans="1:18" x14ac:dyDescent="0.2">
      <c r="A317" s="238"/>
      <c r="B317" s="54" t="s">
        <v>450</v>
      </c>
      <c r="C317" s="276">
        <f>TrialBalance!C317</f>
        <v>0</v>
      </c>
      <c r="D317" s="282"/>
      <c r="E317" s="281"/>
      <c r="F317" s="79">
        <f t="shared" si="80"/>
        <v>0</v>
      </c>
      <c r="G317" s="47">
        <f>SUMIF(JournalsC!D$14:D$920,TrialBalanceC!M317,JournalsC!J$14:J$920)+SUMIF(JournalsC!E$14:E$920,TrialBalanceC!M317,JournalsC!J$14:J$920)</f>
        <v>0</v>
      </c>
      <c r="H317" s="288"/>
      <c r="I317" s="291">
        <f t="shared" si="71"/>
        <v>0</v>
      </c>
      <c r="J317" s="75"/>
      <c r="K317" s="48">
        <f t="shared" si="75"/>
        <v>0</v>
      </c>
      <c r="M317" s="140" t="str">
        <f t="shared" si="76"/>
        <v>7100/2040</v>
      </c>
      <c r="N317" s="70"/>
      <c r="P317" s="71"/>
      <c r="Q317" s="51"/>
      <c r="R317" s="31"/>
    </row>
    <row r="318" spans="1:18" x14ac:dyDescent="0.2">
      <c r="A318" s="238"/>
      <c r="B318" s="54" t="s">
        <v>142</v>
      </c>
      <c r="C318" s="276">
        <f>TrialBalance!C318</f>
        <v>0</v>
      </c>
      <c r="D318" s="282"/>
      <c r="E318" s="281"/>
      <c r="F318" s="79">
        <f t="shared" si="80"/>
        <v>0</v>
      </c>
      <c r="G318" s="47">
        <f>SUMIF(JournalsC!D$14:D$920,TrialBalanceC!M318,JournalsC!J$14:J$920)+SUMIF(JournalsC!E$14:E$920,TrialBalanceC!M318,JournalsC!J$14:J$920)</f>
        <v>0</v>
      </c>
      <c r="H318" s="288"/>
      <c r="I318" s="291">
        <f t="shared" si="71"/>
        <v>0</v>
      </c>
      <c r="J318" s="75"/>
      <c r="K318" s="48">
        <f t="shared" si="75"/>
        <v>0</v>
      </c>
      <c r="M318" s="140" t="str">
        <f t="shared" si="76"/>
        <v>7100/2050</v>
      </c>
      <c r="N318" s="70"/>
      <c r="P318" s="71"/>
      <c r="Q318" s="51"/>
      <c r="R318" s="31"/>
    </row>
    <row r="319" spans="1:18" x14ac:dyDescent="0.2">
      <c r="A319" s="238"/>
      <c r="B319" s="54" t="s">
        <v>143</v>
      </c>
      <c r="C319" s="242" t="s">
        <v>687</v>
      </c>
      <c r="D319" s="282"/>
      <c r="E319" s="281"/>
      <c r="F319" s="79"/>
      <c r="G319" s="47">
        <f>SUMIF(JournalsC!D$14:D$920,TrialBalanceC!M319,JournalsC!J$14:J$920)+SUMIF(JournalsC!E$14:E$920,TrialBalanceC!M319,JournalsC!J$14:J$920)</f>
        <v>0</v>
      </c>
      <c r="H319" s="288"/>
      <c r="I319" s="291">
        <f t="shared" si="71"/>
        <v>0</v>
      </c>
      <c r="J319" s="75"/>
      <c r="K319" s="48">
        <f t="shared" si="75"/>
        <v>0</v>
      </c>
      <c r="M319" s="140" t="str">
        <f t="shared" si="76"/>
        <v>7450/000CONNECTED ENTITIES LOANS</v>
      </c>
      <c r="N319" s="70"/>
      <c r="P319" s="71"/>
      <c r="Q319" s="51"/>
      <c r="R319" s="31"/>
    </row>
    <row r="320" spans="1:18" x14ac:dyDescent="0.2">
      <c r="A320" s="238"/>
      <c r="B320" s="54" t="s">
        <v>143</v>
      </c>
      <c r="C320" s="242" t="s">
        <v>637</v>
      </c>
      <c r="D320" s="282"/>
      <c r="E320" s="281"/>
      <c r="F320" s="79"/>
      <c r="G320" s="47">
        <f>SUMIF(JournalsC!D$14:D$920,TrialBalanceC!M320,JournalsC!J$14:J$920)+SUMIF(JournalsC!E$14:E$920,TrialBalanceC!M320,JournalsC!J$14:J$920)</f>
        <v>0</v>
      </c>
      <c r="H320" s="288"/>
      <c r="I320" s="291">
        <f t="shared" ref="I320" si="81">ROUND(D320-E320+G320+F320,0)</f>
        <v>0</v>
      </c>
      <c r="J320" s="75"/>
      <c r="K320" s="48">
        <f t="shared" ref="K320" si="82">ROUND(SUM(A320),0)</f>
        <v>0</v>
      </c>
      <c r="M320" s="140" t="str">
        <f t="shared" ref="M320" si="83">CONCATENATE(B320,C320)</f>
        <v>7450/000Interest bearing</v>
      </c>
      <c r="N320" s="70"/>
      <c r="P320" s="71"/>
      <c r="Q320" s="51"/>
      <c r="R320" s="31"/>
    </row>
    <row r="321" spans="1:18" x14ac:dyDescent="0.2">
      <c r="A321" s="238"/>
      <c r="B321" s="54" t="s">
        <v>144</v>
      </c>
      <c r="C321" s="276">
        <f>TrialBalance!C321</f>
        <v>0</v>
      </c>
      <c r="D321" s="284"/>
      <c r="E321" s="281"/>
      <c r="F321" s="79">
        <f t="shared" si="80"/>
        <v>0</v>
      </c>
      <c r="G321" s="47">
        <f>SUMIF(JournalsC!D$14:D$920,TrialBalanceC!M321,JournalsC!J$14:J$920)+SUMIF(JournalsC!E$14:E$920,TrialBalanceC!M321,JournalsC!J$14:J$920)</f>
        <v>0</v>
      </c>
      <c r="H321" s="288"/>
      <c r="I321" s="291">
        <f t="shared" si="71"/>
        <v>0</v>
      </c>
      <c r="J321" s="75"/>
      <c r="K321" s="48">
        <f t="shared" si="75"/>
        <v>0</v>
      </c>
      <c r="M321" s="140" t="str">
        <f t="shared" si="76"/>
        <v>7450/0010</v>
      </c>
      <c r="N321" s="70"/>
      <c r="P321" s="71"/>
      <c r="Q321" s="51"/>
      <c r="R321" s="31"/>
    </row>
    <row r="322" spans="1:18" x14ac:dyDescent="0.2">
      <c r="A322" s="238"/>
      <c r="B322" s="54" t="s">
        <v>145</v>
      </c>
      <c r="C322" s="276">
        <f>TrialBalance!C322</f>
        <v>0</v>
      </c>
      <c r="D322" s="284"/>
      <c r="E322" s="281"/>
      <c r="F322" s="79">
        <f t="shared" ref="F322:F323" si="84">K322</f>
        <v>0</v>
      </c>
      <c r="G322" s="47">
        <f>SUMIF(JournalsC!D$14:D$920,TrialBalanceC!M322,JournalsC!J$14:J$920)+SUMIF(JournalsC!E$14:E$920,TrialBalanceC!M322,JournalsC!J$14:J$920)</f>
        <v>0</v>
      </c>
      <c r="H322" s="288"/>
      <c r="I322" s="291">
        <f t="shared" ref="I322:I323" si="85">ROUND(D322-E322+G322+F322,0)</f>
        <v>0</v>
      </c>
      <c r="J322" s="75"/>
      <c r="K322" s="48">
        <f t="shared" ref="K322:K323" si="86">ROUND(SUM(A322),0)</f>
        <v>0</v>
      </c>
      <c r="M322" s="140" t="str">
        <f t="shared" ref="M322:M323" si="87">CONCATENATE(B322,C322)</f>
        <v>7450/0020</v>
      </c>
      <c r="N322" s="70"/>
      <c r="P322" s="71"/>
      <c r="Q322" s="51"/>
      <c r="R322" s="31"/>
    </row>
    <row r="323" spans="1:18" x14ac:dyDescent="0.2">
      <c r="A323" s="238"/>
      <c r="B323" s="90" t="s">
        <v>146</v>
      </c>
      <c r="C323" s="276">
        <f>TrialBalance!C323</f>
        <v>0</v>
      </c>
      <c r="D323" s="284"/>
      <c r="E323" s="281"/>
      <c r="F323" s="79">
        <f t="shared" si="84"/>
        <v>0</v>
      </c>
      <c r="G323" s="47">
        <f>SUMIF(JournalsC!D$14:D$920,TrialBalanceC!M323,JournalsC!J$14:J$920)+SUMIF(JournalsC!E$14:E$920,TrialBalanceC!M323,JournalsC!J$14:J$920)</f>
        <v>0</v>
      </c>
      <c r="H323" s="288"/>
      <c r="I323" s="291">
        <f t="shared" si="85"/>
        <v>0</v>
      </c>
      <c r="J323" s="75"/>
      <c r="K323" s="48">
        <f t="shared" si="86"/>
        <v>0</v>
      </c>
      <c r="M323" s="140" t="str">
        <f t="shared" si="87"/>
        <v>7450/0030</v>
      </c>
      <c r="N323" s="70"/>
      <c r="P323" s="71"/>
      <c r="Q323" s="51"/>
      <c r="R323" s="31"/>
    </row>
    <row r="324" spans="1:18" x14ac:dyDescent="0.2">
      <c r="A324" s="238"/>
      <c r="B324" s="90" t="s">
        <v>396</v>
      </c>
      <c r="C324" s="276">
        <f>TrialBalance!C324</f>
        <v>0</v>
      </c>
      <c r="D324" s="284"/>
      <c r="E324" s="281"/>
      <c r="F324" s="79">
        <f t="shared" ref="F324:F329" si="88">K324</f>
        <v>0</v>
      </c>
      <c r="G324" s="47">
        <f>SUMIF(JournalsC!D$14:D$920,TrialBalanceC!M324,JournalsC!J$14:J$920)+SUMIF(JournalsC!E$14:E$920,TrialBalanceC!M324,JournalsC!J$14:J$920)</f>
        <v>0</v>
      </c>
      <c r="H324" s="288"/>
      <c r="I324" s="291">
        <f t="shared" ref="I324:I329" si="89">ROUND(D324-E324+G324+F324,0)</f>
        <v>0</v>
      </c>
      <c r="J324" s="75"/>
      <c r="K324" s="48">
        <f t="shared" ref="K324:K329" si="90">ROUND(SUM(A324),0)</f>
        <v>0</v>
      </c>
      <c r="M324" s="140" t="str">
        <f t="shared" ref="M324:M329" si="91">CONCATENATE(B324,C324)</f>
        <v>7450/0040</v>
      </c>
      <c r="N324" s="70"/>
      <c r="P324" s="71"/>
      <c r="Q324" s="51"/>
      <c r="R324" s="31"/>
    </row>
    <row r="325" spans="1:18" x14ac:dyDescent="0.2">
      <c r="A325" s="238"/>
      <c r="B325" s="90" t="s">
        <v>265</v>
      </c>
      <c r="C325" s="276">
        <f>TrialBalance!C325</f>
        <v>0</v>
      </c>
      <c r="D325" s="284"/>
      <c r="E325" s="281"/>
      <c r="F325" s="79">
        <f t="shared" si="88"/>
        <v>0</v>
      </c>
      <c r="G325" s="47">
        <f>SUMIF(JournalsC!D$14:D$920,TrialBalanceC!M325,JournalsC!J$14:J$920)+SUMIF(JournalsC!E$14:E$920,TrialBalanceC!M325,JournalsC!J$14:J$920)</f>
        <v>0</v>
      </c>
      <c r="H325" s="288"/>
      <c r="I325" s="291">
        <f t="shared" si="89"/>
        <v>0</v>
      </c>
      <c r="J325" s="75"/>
      <c r="K325" s="48">
        <f t="shared" si="90"/>
        <v>0</v>
      </c>
      <c r="M325" s="140" t="str">
        <f t="shared" si="91"/>
        <v>7450/0050</v>
      </c>
      <c r="N325" s="70"/>
      <c r="P325" s="71"/>
      <c r="Q325" s="51"/>
      <c r="R325" s="31"/>
    </row>
    <row r="326" spans="1:18" x14ac:dyDescent="0.2">
      <c r="A326" s="238"/>
      <c r="B326" s="90" t="s">
        <v>707</v>
      </c>
      <c r="C326" s="276">
        <f>TrialBalance!C326</f>
        <v>0</v>
      </c>
      <c r="D326" s="284"/>
      <c r="E326" s="281"/>
      <c r="F326" s="79">
        <f t="shared" si="88"/>
        <v>0</v>
      </c>
      <c r="G326" s="47">
        <f>SUMIF(JournalsC!D$14:D$920,TrialBalanceC!M326,JournalsC!J$14:J$920)+SUMIF(JournalsC!E$14:E$920,TrialBalanceC!M326,JournalsC!J$14:J$920)</f>
        <v>0</v>
      </c>
      <c r="H326" s="288"/>
      <c r="I326" s="291">
        <f t="shared" si="89"/>
        <v>0</v>
      </c>
      <c r="J326" s="75"/>
      <c r="K326" s="48">
        <f t="shared" si="90"/>
        <v>0</v>
      </c>
      <c r="M326" s="140" t="str">
        <f t="shared" si="91"/>
        <v>7450/0060</v>
      </c>
      <c r="N326" s="70"/>
      <c r="P326" s="71"/>
      <c r="Q326" s="51"/>
      <c r="R326" s="31"/>
    </row>
    <row r="327" spans="1:18" x14ac:dyDescent="0.2">
      <c r="A327" s="238"/>
      <c r="B327" s="90" t="s">
        <v>795</v>
      </c>
      <c r="C327" s="276">
        <f>TrialBalance!C327</f>
        <v>0</v>
      </c>
      <c r="D327" s="284"/>
      <c r="E327" s="281"/>
      <c r="F327" s="79">
        <f t="shared" si="88"/>
        <v>0</v>
      </c>
      <c r="G327" s="47">
        <f>SUMIF(JournalsC!D$14:D$920,TrialBalanceC!M327,JournalsC!J$14:J$920)+SUMIF(JournalsC!E$14:E$920,TrialBalanceC!M327,JournalsC!J$14:J$920)</f>
        <v>0</v>
      </c>
      <c r="H327" s="288"/>
      <c r="I327" s="291">
        <f t="shared" si="89"/>
        <v>0</v>
      </c>
      <c r="J327" s="75"/>
      <c r="K327" s="48">
        <f t="shared" si="90"/>
        <v>0</v>
      </c>
      <c r="M327" s="140" t="str">
        <f t="shared" si="91"/>
        <v>7450/0070</v>
      </c>
      <c r="N327" s="70"/>
      <c r="P327" s="71"/>
      <c r="Q327" s="51"/>
      <c r="R327" s="31"/>
    </row>
    <row r="328" spans="1:18" x14ac:dyDescent="0.2">
      <c r="A328" s="238"/>
      <c r="B328" s="90" t="s">
        <v>796</v>
      </c>
      <c r="C328" s="276">
        <f>TrialBalance!C328</f>
        <v>0</v>
      </c>
      <c r="D328" s="284"/>
      <c r="E328" s="281"/>
      <c r="F328" s="79">
        <f t="shared" si="88"/>
        <v>0</v>
      </c>
      <c r="G328" s="47">
        <f>SUMIF(JournalsC!D$14:D$920,TrialBalanceC!M328,JournalsC!J$14:J$920)+SUMIF(JournalsC!E$14:E$920,TrialBalanceC!M328,JournalsC!J$14:J$920)</f>
        <v>0</v>
      </c>
      <c r="H328" s="288"/>
      <c r="I328" s="291">
        <f t="shared" si="89"/>
        <v>0</v>
      </c>
      <c r="J328" s="75"/>
      <c r="K328" s="48">
        <f t="shared" si="90"/>
        <v>0</v>
      </c>
      <c r="M328" s="140" t="str">
        <f t="shared" si="91"/>
        <v>7450/0080</v>
      </c>
      <c r="N328" s="70"/>
      <c r="P328" s="71"/>
      <c r="Q328" s="51"/>
      <c r="R328" s="31"/>
    </row>
    <row r="329" spans="1:18" x14ac:dyDescent="0.2">
      <c r="A329" s="238"/>
      <c r="B329" s="90" t="s">
        <v>797</v>
      </c>
      <c r="C329" s="276">
        <f>TrialBalance!C329</f>
        <v>0</v>
      </c>
      <c r="D329" s="284"/>
      <c r="E329" s="281"/>
      <c r="F329" s="79">
        <f t="shared" si="88"/>
        <v>0</v>
      </c>
      <c r="G329" s="47">
        <f>SUMIF(JournalsC!D$14:D$920,TrialBalanceC!M329,JournalsC!J$14:J$920)+SUMIF(JournalsC!E$14:E$920,TrialBalanceC!M329,JournalsC!J$14:J$920)</f>
        <v>0</v>
      </c>
      <c r="H329" s="288"/>
      <c r="I329" s="291">
        <f t="shared" si="89"/>
        <v>0</v>
      </c>
      <c r="J329" s="75"/>
      <c r="K329" s="48">
        <f t="shared" si="90"/>
        <v>0</v>
      </c>
      <c r="M329" s="140" t="str">
        <f t="shared" si="91"/>
        <v>7450/0090</v>
      </c>
      <c r="N329" s="70"/>
      <c r="P329" s="71"/>
      <c r="Q329" s="51"/>
      <c r="R329" s="31"/>
    </row>
    <row r="330" spans="1:18" x14ac:dyDescent="0.2">
      <c r="A330" s="238"/>
      <c r="B330" s="90" t="s">
        <v>798</v>
      </c>
      <c r="C330" s="276">
        <f>TrialBalance!C330</f>
        <v>0</v>
      </c>
      <c r="D330" s="282"/>
      <c r="E330" s="281"/>
      <c r="F330" s="79">
        <f t="shared" si="80"/>
        <v>0</v>
      </c>
      <c r="G330" s="47">
        <f>SUMIF(JournalsC!D$14:D$920,TrialBalanceC!M330,JournalsC!J$14:J$920)+SUMIF(JournalsC!E$14:E$920,TrialBalanceC!M330,JournalsC!J$14:J$920)</f>
        <v>0</v>
      </c>
      <c r="H330" s="288"/>
      <c r="I330" s="291">
        <f t="shared" si="71"/>
        <v>0</v>
      </c>
      <c r="J330" s="75"/>
      <c r="K330" s="48">
        <f t="shared" si="75"/>
        <v>0</v>
      </c>
      <c r="M330" s="140" t="str">
        <f t="shared" si="76"/>
        <v>7450/0100</v>
      </c>
      <c r="N330" s="70"/>
      <c r="P330" s="71"/>
      <c r="Q330" s="51"/>
      <c r="R330" s="31"/>
    </row>
    <row r="331" spans="1:18" x14ac:dyDescent="0.2">
      <c r="A331" s="238"/>
      <c r="B331" s="90" t="s">
        <v>799</v>
      </c>
      <c r="C331" s="242" t="s">
        <v>636</v>
      </c>
      <c r="D331" s="282"/>
      <c r="E331" s="281"/>
      <c r="F331" s="79"/>
      <c r="G331" s="47">
        <f>SUMIF(JournalsC!D$14:D$920,TrialBalanceC!M331,JournalsC!J$14:J$920)+SUMIF(JournalsC!E$14:E$920,TrialBalanceC!M331,JournalsC!J$14:J$920)</f>
        <v>0</v>
      </c>
      <c r="H331" s="288"/>
      <c r="I331" s="291">
        <f t="shared" ref="I331" si="92">ROUND(D331-E331+G331+F331,0)</f>
        <v>0</v>
      </c>
      <c r="J331" s="75"/>
      <c r="K331" s="48">
        <f t="shared" ref="K331" si="93">ROUND(SUM(A331),0)</f>
        <v>0</v>
      </c>
      <c r="M331" s="140" t="str">
        <f t="shared" ref="M331" si="94">CONCATENATE(B331,C331)</f>
        <v>7455/000Interest free</v>
      </c>
      <c r="N331" s="70"/>
      <c r="P331" s="71"/>
      <c r="Q331" s="51"/>
      <c r="R331" s="31"/>
    </row>
    <row r="332" spans="1:18" x14ac:dyDescent="0.2">
      <c r="A332" s="238"/>
      <c r="B332" s="90" t="s">
        <v>800</v>
      </c>
      <c r="C332" s="276">
        <f>TrialBalance!C332</f>
        <v>0</v>
      </c>
      <c r="D332" s="282"/>
      <c r="E332" s="281"/>
      <c r="F332" s="79">
        <f t="shared" si="80"/>
        <v>0</v>
      </c>
      <c r="G332" s="47">
        <f>SUMIF(JournalsC!D$14:D$920,TrialBalanceC!M332,JournalsC!J$14:J$920)+SUMIF(JournalsC!E$14:E$920,TrialBalanceC!M332,JournalsC!J$14:J$920)</f>
        <v>0</v>
      </c>
      <c r="H332" s="288"/>
      <c r="I332" s="291">
        <f t="shared" si="71"/>
        <v>0</v>
      </c>
      <c r="J332" s="75"/>
      <c r="K332" s="48">
        <f t="shared" si="75"/>
        <v>0</v>
      </c>
      <c r="M332" s="140" t="str">
        <f t="shared" si="76"/>
        <v>7455/0010</v>
      </c>
      <c r="N332" s="70"/>
      <c r="P332" s="71"/>
      <c r="Q332" s="51"/>
      <c r="R332" s="31"/>
    </row>
    <row r="333" spans="1:18" x14ac:dyDescent="0.2">
      <c r="A333" s="238"/>
      <c r="B333" s="90" t="s">
        <v>801</v>
      </c>
      <c r="C333" s="276">
        <f>TrialBalance!C333</f>
        <v>0</v>
      </c>
      <c r="D333" s="282"/>
      <c r="E333" s="281"/>
      <c r="F333" s="79">
        <f t="shared" ref="F333" si="95">K333</f>
        <v>0</v>
      </c>
      <c r="G333" s="47">
        <f>SUMIF(JournalsC!D$14:D$920,TrialBalanceC!M333,JournalsC!J$14:J$920)+SUMIF(JournalsC!E$14:E$920,TrialBalanceC!M333,JournalsC!J$14:J$920)</f>
        <v>0</v>
      </c>
      <c r="H333" s="288"/>
      <c r="I333" s="291">
        <f t="shared" ref="I333" si="96">ROUND(D333-E333+G333+F333,0)</f>
        <v>0</v>
      </c>
      <c r="J333" s="75"/>
      <c r="K333" s="48">
        <f t="shared" ref="K333" si="97">ROUND(SUM(A333),0)</f>
        <v>0</v>
      </c>
      <c r="M333" s="140" t="str">
        <f t="shared" ref="M333" si="98">CONCATENATE(B333,C333)</f>
        <v>7455/0020</v>
      </c>
      <c r="N333" s="70"/>
      <c r="P333" s="71"/>
      <c r="Q333" s="51"/>
      <c r="R333" s="31"/>
    </row>
    <row r="334" spans="1:18" x14ac:dyDescent="0.2">
      <c r="A334" s="238"/>
      <c r="B334" s="90" t="s">
        <v>802</v>
      </c>
      <c r="C334" s="276">
        <f>TrialBalance!C334</f>
        <v>0</v>
      </c>
      <c r="D334" s="282"/>
      <c r="E334" s="281"/>
      <c r="F334" s="79">
        <f t="shared" si="80"/>
        <v>0</v>
      </c>
      <c r="G334" s="47">
        <f>SUMIF(JournalsC!D$14:D$920,TrialBalanceC!M334,JournalsC!J$14:J$920)+SUMIF(JournalsC!E$14:E$920,TrialBalanceC!M334,JournalsC!J$14:J$920)</f>
        <v>0</v>
      </c>
      <c r="H334" s="288"/>
      <c r="I334" s="291">
        <f t="shared" si="71"/>
        <v>0</v>
      </c>
      <c r="J334" s="75"/>
      <c r="K334" s="48">
        <f t="shared" si="75"/>
        <v>0</v>
      </c>
      <c r="M334" s="140" t="str">
        <f t="shared" si="76"/>
        <v>7455/0030</v>
      </c>
      <c r="N334" s="70"/>
      <c r="P334" s="71"/>
      <c r="Q334" s="51"/>
      <c r="R334" s="31"/>
    </row>
    <row r="335" spans="1:18" x14ac:dyDescent="0.2">
      <c r="A335" s="238"/>
      <c r="B335" s="90" t="s">
        <v>803</v>
      </c>
      <c r="C335" s="276">
        <f>TrialBalance!C335</f>
        <v>0</v>
      </c>
      <c r="D335" s="282"/>
      <c r="E335" s="281"/>
      <c r="F335" s="79">
        <f t="shared" ref="F335:F340" si="99">K335</f>
        <v>0</v>
      </c>
      <c r="G335" s="47">
        <f>SUMIF(JournalsC!D$14:D$920,TrialBalanceC!M335,JournalsC!J$14:J$920)+SUMIF(JournalsC!E$14:E$920,TrialBalanceC!M335,JournalsC!J$14:J$920)</f>
        <v>0</v>
      </c>
      <c r="H335" s="288"/>
      <c r="I335" s="291">
        <f t="shared" ref="I335:I340" si="100">ROUND(D335-E335+G335+F335,0)</f>
        <v>0</v>
      </c>
      <c r="J335" s="75"/>
      <c r="K335" s="48">
        <f t="shared" ref="K335:K340" si="101">ROUND(SUM(A335),0)</f>
        <v>0</v>
      </c>
      <c r="M335" s="140" t="str">
        <f t="shared" ref="M335:M340" si="102">CONCATENATE(B335,C335)</f>
        <v>7455/0040</v>
      </c>
      <c r="N335" s="70"/>
      <c r="P335" s="71"/>
      <c r="Q335" s="51"/>
      <c r="R335" s="31"/>
    </row>
    <row r="336" spans="1:18" x14ac:dyDescent="0.2">
      <c r="A336" s="238"/>
      <c r="B336" s="90" t="s">
        <v>804</v>
      </c>
      <c r="C336" s="276">
        <f>TrialBalance!C336</f>
        <v>0</v>
      </c>
      <c r="D336" s="282"/>
      <c r="E336" s="281"/>
      <c r="F336" s="79">
        <f t="shared" si="99"/>
        <v>0</v>
      </c>
      <c r="G336" s="47">
        <f>SUMIF(JournalsC!D$14:D$920,TrialBalanceC!M336,JournalsC!J$14:J$920)+SUMIF(JournalsC!E$14:E$920,TrialBalanceC!M336,JournalsC!J$14:J$920)</f>
        <v>0</v>
      </c>
      <c r="H336" s="288"/>
      <c r="I336" s="291">
        <f t="shared" si="100"/>
        <v>0</v>
      </c>
      <c r="J336" s="75"/>
      <c r="K336" s="48">
        <f t="shared" si="101"/>
        <v>0</v>
      </c>
      <c r="M336" s="140" t="str">
        <f t="shared" si="102"/>
        <v>7455/0050</v>
      </c>
      <c r="N336" s="70"/>
      <c r="P336" s="71"/>
      <c r="Q336" s="51"/>
      <c r="R336" s="31"/>
    </row>
    <row r="337" spans="1:18" x14ac:dyDescent="0.2">
      <c r="A337" s="238"/>
      <c r="B337" s="90" t="s">
        <v>805</v>
      </c>
      <c r="C337" s="276">
        <f>TrialBalance!C337</f>
        <v>0</v>
      </c>
      <c r="D337" s="282"/>
      <c r="E337" s="281"/>
      <c r="F337" s="79">
        <f t="shared" si="99"/>
        <v>0</v>
      </c>
      <c r="G337" s="47">
        <f>SUMIF(JournalsC!D$14:D$920,TrialBalanceC!M337,JournalsC!J$14:J$920)+SUMIF(JournalsC!E$14:E$920,TrialBalanceC!M337,JournalsC!J$14:J$920)</f>
        <v>0</v>
      </c>
      <c r="H337" s="288"/>
      <c r="I337" s="291">
        <f t="shared" si="100"/>
        <v>0</v>
      </c>
      <c r="J337" s="75"/>
      <c r="K337" s="48">
        <f t="shared" si="101"/>
        <v>0</v>
      </c>
      <c r="M337" s="140" t="str">
        <f t="shared" si="102"/>
        <v>7455/0060</v>
      </c>
      <c r="N337" s="70"/>
      <c r="P337" s="71"/>
      <c r="Q337" s="51"/>
      <c r="R337" s="31"/>
    </row>
    <row r="338" spans="1:18" x14ac:dyDescent="0.2">
      <c r="A338" s="238"/>
      <c r="B338" s="90" t="s">
        <v>806</v>
      </c>
      <c r="C338" s="276">
        <f>TrialBalance!C338</f>
        <v>0</v>
      </c>
      <c r="D338" s="282"/>
      <c r="E338" s="281"/>
      <c r="F338" s="79">
        <f t="shared" si="99"/>
        <v>0</v>
      </c>
      <c r="G338" s="47">
        <f>SUMIF(JournalsC!D$14:D$920,TrialBalanceC!M338,JournalsC!J$14:J$920)+SUMIF(JournalsC!E$14:E$920,TrialBalanceC!M338,JournalsC!J$14:J$920)</f>
        <v>0</v>
      </c>
      <c r="H338" s="288"/>
      <c r="I338" s="291">
        <f t="shared" si="100"/>
        <v>0</v>
      </c>
      <c r="J338" s="75"/>
      <c r="K338" s="48">
        <f t="shared" si="101"/>
        <v>0</v>
      </c>
      <c r="M338" s="140" t="str">
        <f t="shared" si="102"/>
        <v>7455/0070</v>
      </c>
      <c r="N338" s="70"/>
      <c r="P338" s="71"/>
      <c r="Q338" s="51"/>
      <c r="R338" s="31"/>
    </row>
    <row r="339" spans="1:18" x14ac:dyDescent="0.2">
      <c r="A339" s="238"/>
      <c r="B339" s="90" t="s">
        <v>807</v>
      </c>
      <c r="C339" s="276">
        <f>TrialBalance!C339</f>
        <v>0</v>
      </c>
      <c r="D339" s="282"/>
      <c r="E339" s="281"/>
      <c r="F339" s="79">
        <f t="shared" si="99"/>
        <v>0</v>
      </c>
      <c r="G339" s="47">
        <f>SUMIF(JournalsC!D$14:D$920,TrialBalanceC!M339,JournalsC!J$14:J$920)+SUMIF(JournalsC!E$14:E$920,TrialBalanceC!M339,JournalsC!J$14:J$920)</f>
        <v>0</v>
      </c>
      <c r="H339" s="288"/>
      <c r="I339" s="291">
        <f t="shared" si="100"/>
        <v>0</v>
      </c>
      <c r="J339" s="75"/>
      <c r="K339" s="48">
        <f t="shared" si="101"/>
        <v>0</v>
      </c>
      <c r="M339" s="140" t="str">
        <f t="shared" si="102"/>
        <v>7455/0080</v>
      </c>
      <c r="N339" s="70"/>
      <c r="P339" s="71"/>
      <c r="Q339" s="51"/>
      <c r="R339" s="31"/>
    </row>
    <row r="340" spans="1:18" x14ac:dyDescent="0.2">
      <c r="A340" s="238"/>
      <c r="B340" s="90" t="s">
        <v>808</v>
      </c>
      <c r="C340" s="276">
        <f>TrialBalance!C340</f>
        <v>0</v>
      </c>
      <c r="D340" s="282"/>
      <c r="E340" s="281"/>
      <c r="F340" s="79">
        <f t="shared" si="99"/>
        <v>0</v>
      </c>
      <c r="G340" s="47">
        <f>SUMIF(JournalsC!D$14:D$920,TrialBalanceC!M340,JournalsC!J$14:J$920)+SUMIF(JournalsC!E$14:E$920,TrialBalanceC!M340,JournalsC!J$14:J$920)</f>
        <v>0</v>
      </c>
      <c r="H340" s="288"/>
      <c r="I340" s="291">
        <f t="shared" si="100"/>
        <v>0</v>
      </c>
      <c r="J340" s="75"/>
      <c r="K340" s="48">
        <f t="shared" si="101"/>
        <v>0</v>
      </c>
      <c r="M340" s="140" t="str">
        <f t="shared" si="102"/>
        <v>7455/0090</v>
      </c>
      <c r="N340" s="70"/>
      <c r="P340" s="71"/>
      <c r="Q340" s="51"/>
      <c r="R340" s="31"/>
    </row>
    <row r="341" spans="1:18" x14ac:dyDescent="0.2">
      <c r="A341" s="238"/>
      <c r="B341" s="90" t="s">
        <v>809</v>
      </c>
      <c r="C341" s="276">
        <f>TrialBalance!C341</f>
        <v>0</v>
      </c>
      <c r="D341" s="282"/>
      <c r="E341" s="281"/>
      <c r="F341" s="79">
        <f t="shared" si="80"/>
        <v>0</v>
      </c>
      <c r="G341" s="47">
        <f>SUMIF(JournalsC!D$14:D$920,TrialBalanceC!M341,JournalsC!J$14:J$920)+SUMIF(JournalsC!E$14:E$920,TrialBalanceC!M341,JournalsC!J$14:J$920)</f>
        <v>0</v>
      </c>
      <c r="H341" s="288"/>
      <c r="I341" s="291">
        <f t="shared" si="71"/>
        <v>0</v>
      </c>
      <c r="J341" s="75"/>
      <c r="K341" s="48">
        <f t="shared" si="75"/>
        <v>0</v>
      </c>
      <c r="M341" s="140" t="str">
        <f t="shared" si="76"/>
        <v>7455/0100</v>
      </c>
      <c r="N341" s="70"/>
      <c r="P341" s="71"/>
      <c r="Q341" s="51"/>
      <c r="R341" s="31"/>
    </row>
    <row r="342" spans="1:18" x14ac:dyDescent="0.2">
      <c r="A342" s="238"/>
      <c r="B342" s="54" t="s">
        <v>266</v>
      </c>
      <c r="C342" s="241" t="s">
        <v>676</v>
      </c>
      <c r="D342" s="272"/>
      <c r="E342" s="281"/>
      <c r="F342" s="79"/>
      <c r="G342" s="47">
        <f>SUMIF(JournalsC!D$14:D$920,TrialBalanceC!M342,JournalsC!J$14:J$920)+SUMIF(JournalsC!E$14:E$920,TrialBalanceC!M342,JournalsC!J$14:J$920)</f>
        <v>0</v>
      </c>
      <c r="H342" s="288"/>
      <c r="I342" s="291">
        <f t="shared" si="71"/>
        <v>0</v>
      </c>
      <c r="J342" s="75"/>
      <c r="K342" s="48">
        <f t="shared" si="75"/>
        <v>0</v>
      </c>
      <c r="M342" s="140" t="str">
        <f t="shared" si="76"/>
        <v>7460/000OTHER NON - CURRENT RECEIVABLES</v>
      </c>
      <c r="N342" s="70"/>
      <c r="P342" s="71"/>
      <c r="Q342" s="51"/>
      <c r="R342" s="31"/>
    </row>
    <row r="343" spans="1:18" x14ac:dyDescent="0.2">
      <c r="A343" s="238"/>
      <c r="B343" s="54" t="s">
        <v>266</v>
      </c>
      <c r="C343" s="241" t="s">
        <v>637</v>
      </c>
      <c r="D343" s="272"/>
      <c r="E343" s="281"/>
      <c r="F343" s="79"/>
      <c r="G343" s="47">
        <f>SUMIF(JournalsC!D$14:D$920,TrialBalanceC!M343,JournalsC!J$14:J$920)+SUMIF(JournalsC!E$14:E$920,TrialBalanceC!M343,JournalsC!J$14:J$920)</f>
        <v>0</v>
      </c>
      <c r="H343" s="288"/>
      <c r="I343" s="291">
        <f t="shared" ref="I343" si="103">ROUND(D343-E343+G343+F343,0)</f>
        <v>0</v>
      </c>
      <c r="J343" s="75"/>
      <c r="K343" s="48">
        <f t="shared" ref="K343" si="104">ROUND(SUM(A343),0)</f>
        <v>0</v>
      </c>
      <c r="M343" s="140" t="str">
        <f t="shared" ref="M343" si="105">CONCATENATE(B343,C343)</f>
        <v>7460/000Interest bearing</v>
      </c>
      <c r="N343" s="70"/>
      <c r="P343" s="71"/>
      <c r="Q343" s="51"/>
      <c r="R343" s="31"/>
    </row>
    <row r="344" spans="1:18" x14ac:dyDescent="0.2">
      <c r="A344" s="238"/>
      <c r="B344" s="54" t="s">
        <v>268</v>
      </c>
      <c r="C344" s="276">
        <f>TrialBalance!C344</f>
        <v>0</v>
      </c>
      <c r="D344" s="281"/>
      <c r="E344" s="281"/>
      <c r="F344" s="79">
        <f t="shared" si="80"/>
        <v>0</v>
      </c>
      <c r="G344" s="47">
        <f>SUMIF(JournalsC!D$14:D$920,TrialBalanceC!M344,JournalsC!J$14:J$920)+SUMIF(JournalsC!E$14:E$920,TrialBalanceC!M344,JournalsC!J$14:J$920)</f>
        <v>0</v>
      </c>
      <c r="H344" s="288"/>
      <c r="I344" s="291">
        <f t="shared" si="71"/>
        <v>0</v>
      </c>
      <c r="J344" s="75"/>
      <c r="K344" s="48">
        <f t="shared" si="75"/>
        <v>0</v>
      </c>
      <c r="M344" s="140" t="str">
        <f t="shared" si="76"/>
        <v>7460/0010</v>
      </c>
      <c r="N344" s="70"/>
      <c r="P344" s="71"/>
      <c r="Q344" s="51"/>
      <c r="R344" s="31"/>
    </row>
    <row r="345" spans="1:18" x14ac:dyDescent="0.2">
      <c r="A345" s="238"/>
      <c r="B345" s="54" t="s">
        <v>269</v>
      </c>
      <c r="C345" s="276">
        <f>TrialBalance!C345</f>
        <v>0</v>
      </c>
      <c r="D345" s="281"/>
      <c r="E345" s="281"/>
      <c r="F345" s="79">
        <f t="shared" ref="F345" si="106">K345</f>
        <v>0</v>
      </c>
      <c r="G345" s="47">
        <f>SUMIF(JournalsC!D$14:D$920,TrialBalanceC!M345,JournalsC!J$14:J$920)+SUMIF(JournalsC!E$14:E$920,TrialBalanceC!M345,JournalsC!J$14:J$920)</f>
        <v>0</v>
      </c>
      <c r="H345" s="288"/>
      <c r="I345" s="291">
        <f t="shared" ref="I345" si="107">ROUND(D345-E345+G345+F345,0)</f>
        <v>0</v>
      </c>
      <c r="J345" s="75"/>
      <c r="K345" s="48">
        <f t="shared" ref="K345" si="108">ROUND(SUM(A345),0)</f>
        <v>0</v>
      </c>
      <c r="M345" s="140" t="str">
        <f t="shared" ref="M345" si="109">CONCATENATE(B345,C345)</f>
        <v>7460/0020</v>
      </c>
      <c r="N345" s="70"/>
      <c r="P345" s="71"/>
      <c r="Q345" s="51"/>
      <c r="R345" s="31"/>
    </row>
    <row r="346" spans="1:18" x14ac:dyDescent="0.2">
      <c r="A346" s="238"/>
      <c r="B346" s="54" t="s">
        <v>270</v>
      </c>
      <c r="C346" s="276">
        <f>TrialBalance!C346</f>
        <v>0</v>
      </c>
      <c r="D346" s="282"/>
      <c r="E346" s="281"/>
      <c r="F346" s="79">
        <f t="shared" si="80"/>
        <v>0</v>
      </c>
      <c r="G346" s="47">
        <f>SUMIF(JournalsC!D$14:D$920,TrialBalanceC!M346,JournalsC!J$14:J$920)+SUMIF(JournalsC!E$14:E$920,TrialBalanceC!M346,JournalsC!J$14:J$920)</f>
        <v>0</v>
      </c>
      <c r="H346" s="288"/>
      <c r="I346" s="291">
        <f t="shared" si="71"/>
        <v>0</v>
      </c>
      <c r="J346" s="75"/>
      <c r="K346" s="48">
        <f t="shared" si="75"/>
        <v>0</v>
      </c>
      <c r="M346" s="140" t="str">
        <f t="shared" si="76"/>
        <v>7460/0030</v>
      </c>
      <c r="N346" s="70"/>
      <c r="P346" s="71"/>
      <c r="Q346" s="51"/>
      <c r="R346" s="31"/>
    </row>
    <row r="347" spans="1:18" x14ac:dyDescent="0.2">
      <c r="A347" s="238"/>
      <c r="B347" s="90" t="s">
        <v>599</v>
      </c>
      <c r="C347" s="276">
        <f>TrialBalance!C347</f>
        <v>0</v>
      </c>
      <c r="D347" s="282"/>
      <c r="E347" s="281"/>
      <c r="F347" s="79">
        <f t="shared" si="80"/>
        <v>0</v>
      </c>
      <c r="G347" s="47">
        <f>SUMIF(JournalsC!D$14:D$920,TrialBalanceC!M347,JournalsC!J$14:J$920)+SUMIF(JournalsC!E$14:E$920,TrialBalanceC!M347,JournalsC!J$14:J$920)</f>
        <v>0</v>
      </c>
      <c r="H347" s="288"/>
      <c r="I347" s="291">
        <f t="shared" si="71"/>
        <v>0</v>
      </c>
      <c r="J347" s="75"/>
      <c r="K347" s="48">
        <f t="shared" si="75"/>
        <v>0</v>
      </c>
      <c r="M347" s="140" t="str">
        <f t="shared" si="76"/>
        <v>7460/0040</v>
      </c>
      <c r="N347" s="70"/>
      <c r="P347" s="71"/>
      <c r="Q347" s="51"/>
      <c r="R347" s="31"/>
    </row>
    <row r="348" spans="1:18" x14ac:dyDescent="0.2">
      <c r="A348" s="238"/>
      <c r="B348" s="54" t="s">
        <v>266</v>
      </c>
      <c r="C348" s="242" t="s">
        <v>636</v>
      </c>
      <c r="D348" s="282"/>
      <c r="E348" s="281"/>
      <c r="F348" s="79"/>
      <c r="G348" s="47">
        <f>SUMIF(JournalsC!D$14:D$920,TrialBalanceC!M348,JournalsC!J$14:J$920)+SUMIF(JournalsC!E$14:E$920,TrialBalanceC!M348,JournalsC!J$14:J$920)</f>
        <v>0</v>
      </c>
      <c r="H348" s="288"/>
      <c r="I348" s="291">
        <f t="shared" ref="I348" si="110">ROUND(D348-E348+G348+F348,0)</f>
        <v>0</v>
      </c>
      <c r="J348" s="75"/>
      <c r="K348" s="48">
        <f t="shared" ref="K348" si="111">ROUND(SUM(A348),0)</f>
        <v>0</v>
      </c>
      <c r="M348" s="140" t="str">
        <f t="shared" ref="M348" si="112">CONCATENATE(B348,C348)</f>
        <v>7460/000Interest free</v>
      </c>
      <c r="N348" s="70"/>
      <c r="P348" s="71"/>
      <c r="Q348" s="51"/>
      <c r="R348" s="31"/>
    </row>
    <row r="349" spans="1:18" x14ac:dyDescent="0.2">
      <c r="A349" s="238"/>
      <c r="B349" s="90" t="s">
        <v>599</v>
      </c>
      <c r="C349" s="276">
        <f>TrialBalance!C349</f>
        <v>0</v>
      </c>
      <c r="D349" s="282"/>
      <c r="E349" s="281"/>
      <c r="F349" s="79">
        <f t="shared" si="80"/>
        <v>0</v>
      </c>
      <c r="G349" s="47">
        <f>SUMIF(JournalsC!D$14:D$920,TrialBalanceC!M349,JournalsC!J$14:J$920)+SUMIF(JournalsC!E$14:E$920,TrialBalanceC!M349,JournalsC!J$14:J$920)</f>
        <v>0</v>
      </c>
      <c r="H349" s="288"/>
      <c r="I349" s="291">
        <f t="shared" si="71"/>
        <v>0</v>
      </c>
      <c r="J349" s="75"/>
      <c r="K349" s="48">
        <f t="shared" si="75"/>
        <v>0</v>
      </c>
      <c r="M349" s="140" t="str">
        <f t="shared" si="76"/>
        <v>7460/0040</v>
      </c>
      <c r="N349" s="70"/>
      <c r="P349" s="71"/>
      <c r="Q349" s="51"/>
      <c r="R349" s="31"/>
    </row>
    <row r="350" spans="1:18" x14ac:dyDescent="0.2">
      <c r="A350" s="238"/>
      <c r="B350" s="90" t="s">
        <v>600</v>
      </c>
      <c r="C350" s="276">
        <f>TrialBalance!C350</f>
        <v>0</v>
      </c>
      <c r="D350" s="282"/>
      <c r="E350" s="281"/>
      <c r="F350" s="79">
        <f t="shared" si="80"/>
        <v>0</v>
      </c>
      <c r="G350" s="47">
        <f>SUMIF(JournalsC!D$14:D$920,TrialBalanceC!M350,JournalsC!J$14:J$920)+SUMIF(JournalsC!E$14:E$920,TrialBalanceC!M350,JournalsC!J$14:J$920)</f>
        <v>0</v>
      </c>
      <c r="H350" s="288"/>
      <c r="I350" s="291">
        <f t="shared" si="71"/>
        <v>0</v>
      </c>
      <c r="J350" s="75"/>
      <c r="K350" s="48">
        <f t="shared" si="75"/>
        <v>0</v>
      </c>
      <c r="M350" s="140" t="str">
        <f t="shared" si="76"/>
        <v>7460/0050</v>
      </c>
      <c r="N350" s="70"/>
      <c r="P350" s="71"/>
      <c r="Q350" s="51"/>
      <c r="R350" s="31"/>
    </row>
    <row r="351" spans="1:18" x14ac:dyDescent="0.2">
      <c r="A351" s="238"/>
      <c r="B351" s="90" t="s">
        <v>271</v>
      </c>
      <c r="C351" s="276">
        <f>TrialBalance!C351</f>
        <v>0</v>
      </c>
      <c r="D351" s="282"/>
      <c r="E351" s="281"/>
      <c r="F351" s="79">
        <f>K351</f>
        <v>0</v>
      </c>
      <c r="G351" s="47">
        <f>SUMIF(JournalsC!D$14:D$920,TrialBalanceC!M351,JournalsC!J$14:J$920)+SUMIF(JournalsC!E$14:E$920,TrialBalanceC!M351,JournalsC!J$14:J$920)</f>
        <v>0</v>
      </c>
      <c r="H351" s="288"/>
      <c r="I351" s="291">
        <f t="shared" si="71"/>
        <v>0</v>
      </c>
      <c r="J351" s="75"/>
      <c r="K351" s="48">
        <f t="shared" si="75"/>
        <v>0</v>
      </c>
      <c r="M351" s="140" t="str">
        <f t="shared" si="76"/>
        <v>7460/0060</v>
      </c>
      <c r="N351" s="70"/>
      <c r="P351" s="71"/>
      <c r="Q351" s="51"/>
      <c r="R351" s="31"/>
    </row>
    <row r="352" spans="1:18" x14ac:dyDescent="0.2">
      <c r="A352" s="238"/>
      <c r="B352" s="90" t="s">
        <v>272</v>
      </c>
      <c r="C352" s="276">
        <f>TrialBalance!C352</f>
        <v>0</v>
      </c>
      <c r="D352" s="282"/>
      <c r="E352" s="281"/>
      <c r="F352" s="79">
        <f>K352</f>
        <v>0</v>
      </c>
      <c r="G352" s="47">
        <f>SUMIF(JournalsC!D$14:D$920,TrialBalanceC!M352,JournalsC!J$14:J$920)+SUMIF(JournalsC!E$14:E$920,TrialBalanceC!M352,JournalsC!J$14:J$920)</f>
        <v>0</v>
      </c>
      <c r="H352" s="288"/>
      <c r="I352" s="291">
        <f t="shared" si="71"/>
        <v>0</v>
      </c>
      <c r="J352" s="75"/>
      <c r="K352" s="48">
        <f t="shared" si="75"/>
        <v>0</v>
      </c>
      <c r="M352" s="140" t="str">
        <f t="shared" si="76"/>
        <v>7460/0070</v>
      </c>
      <c r="N352" s="70"/>
      <c r="P352" s="71"/>
      <c r="Q352" s="51"/>
      <c r="R352" s="31"/>
    </row>
    <row r="353" spans="1:18" x14ac:dyDescent="0.2">
      <c r="A353" s="238"/>
      <c r="B353" s="90" t="s">
        <v>480</v>
      </c>
      <c r="C353" s="276">
        <f>TrialBalance!C353</f>
        <v>0</v>
      </c>
      <c r="D353" s="282"/>
      <c r="E353" s="281"/>
      <c r="F353" s="79">
        <f>K353</f>
        <v>0</v>
      </c>
      <c r="G353" s="47">
        <f>SUMIF(JournalsC!D$14:D$920,TrialBalanceC!M353,JournalsC!J$14:J$920)+SUMIF(JournalsC!E$14:E$920,TrialBalanceC!M353,JournalsC!J$14:J$920)</f>
        <v>0</v>
      </c>
      <c r="H353" s="288"/>
      <c r="I353" s="291">
        <f t="shared" si="71"/>
        <v>0</v>
      </c>
      <c r="J353" s="75"/>
      <c r="K353" s="48">
        <f t="shared" si="75"/>
        <v>0</v>
      </c>
      <c r="M353" s="140" t="str">
        <f t="shared" si="76"/>
        <v>7460/0080</v>
      </c>
      <c r="N353" s="70"/>
      <c r="P353" s="71"/>
      <c r="Q353" s="51"/>
      <c r="R353" s="31"/>
    </row>
    <row r="354" spans="1:18" x14ac:dyDescent="0.2">
      <c r="A354" s="238"/>
      <c r="B354" s="54" t="s">
        <v>391</v>
      </c>
      <c r="C354" s="239" t="s">
        <v>44</v>
      </c>
      <c r="D354" s="283"/>
      <c r="E354" s="281"/>
      <c r="F354" s="79"/>
      <c r="G354" s="47">
        <f>SUMIF(JournalsC!D$14:D$920,TrialBalanceC!M354,JournalsC!J$14:J$920)+SUMIF(JournalsC!E$14:E$920,TrialBalanceC!M354,JournalsC!J$14:J$920)</f>
        <v>0</v>
      </c>
      <c r="H354" s="288"/>
      <c r="I354" s="291">
        <f t="shared" si="71"/>
        <v>0</v>
      </c>
      <c r="J354" s="75"/>
      <c r="K354" s="48">
        <f t="shared" si="75"/>
        <v>0</v>
      </c>
      <c r="M354" s="140" t="str">
        <f t="shared" si="76"/>
        <v>7500/000INVENTORY</v>
      </c>
      <c r="N354" s="70"/>
      <c r="P354" s="71"/>
      <c r="Q354" s="51"/>
      <c r="R354" s="31"/>
    </row>
    <row r="355" spans="1:18" x14ac:dyDescent="0.2">
      <c r="A355" s="238"/>
      <c r="B355" s="54" t="s">
        <v>392</v>
      </c>
      <c r="C355" s="240" t="s">
        <v>393</v>
      </c>
      <c r="D355" s="282"/>
      <c r="E355" s="281"/>
      <c r="F355" s="79">
        <f t="shared" si="80"/>
        <v>0</v>
      </c>
      <c r="G355" s="47">
        <f>SUMIF(JournalsC!D$14:D$920,TrialBalanceC!M355,JournalsC!J$14:J$920)+SUMIF(JournalsC!E$14:E$920,TrialBalanceC!M355,JournalsC!J$14:J$920)</f>
        <v>0</v>
      </c>
      <c r="H355" s="288"/>
      <c r="I355" s="291">
        <f t="shared" si="71"/>
        <v>0</v>
      </c>
      <c r="J355" s="75"/>
      <c r="K355" s="48">
        <f t="shared" si="75"/>
        <v>0</v>
      </c>
      <c r="M355" s="140" t="str">
        <f t="shared" si="76"/>
        <v>7500/001Raw materials</v>
      </c>
      <c r="N355" s="70"/>
      <c r="P355" s="71"/>
      <c r="Q355" s="51"/>
      <c r="R355" s="31"/>
    </row>
    <row r="356" spans="1:18" x14ac:dyDescent="0.2">
      <c r="A356" s="238"/>
      <c r="B356" s="54" t="s">
        <v>19</v>
      </c>
      <c r="C356" s="240" t="s">
        <v>20</v>
      </c>
      <c r="D356" s="282"/>
      <c r="E356" s="281"/>
      <c r="F356" s="79">
        <f t="shared" si="80"/>
        <v>0</v>
      </c>
      <c r="G356" s="47">
        <f>SUMIF(JournalsC!D$14:D$920,TrialBalanceC!M356,JournalsC!J$14:J$920)+SUMIF(JournalsC!E$14:E$920,TrialBalanceC!M356,JournalsC!J$14:J$920)</f>
        <v>0</v>
      </c>
      <c r="H356" s="288"/>
      <c r="I356" s="291">
        <f t="shared" ref="I356:I401" si="113">ROUND(D356-E356+G356+F356,0)</f>
        <v>0</v>
      </c>
      <c r="J356" s="75"/>
      <c r="K356" s="48">
        <f t="shared" si="75"/>
        <v>0</v>
      </c>
      <c r="M356" s="140" t="str">
        <f t="shared" si="76"/>
        <v>7500/002Work in progress</v>
      </c>
      <c r="N356" s="70"/>
      <c r="P356" s="71"/>
      <c r="Q356" s="51"/>
      <c r="R356" s="31"/>
    </row>
    <row r="357" spans="1:18" x14ac:dyDescent="0.2">
      <c r="A357" s="238"/>
      <c r="B357" s="54" t="s">
        <v>21</v>
      </c>
      <c r="C357" s="240" t="s">
        <v>22</v>
      </c>
      <c r="D357" s="282"/>
      <c r="E357" s="281"/>
      <c r="F357" s="79">
        <f t="shared" si="80"/>
        <v>0</v>
      </c>
      <c r="G357" s="47">
        <f>SUMIF(JournalsC!D$14:D$920,TrialBalanceC!M357,JournalsC!J$14:J$920)+SUMIF(JournalsC!E$14:E$920,TrialBalanceC!M357,JournalsC!J$14:J$920)</f>
        <v>0</v>
      </c>
      <c r="H357" s="288"/>
      <c r="I357" s="291">
        <f t="shared" si="113"/>
        <v>0</v>
      </c>
      <c r="J357" s="75"/>
      <c r="K357" s="48">
        <f t="shared" si="75"/>
        <v>0</v>
      </c>
      <c r="M357" s="140" t="str">
        <f t="shared" si="76"/>
        <v>7500/003Finished goods</v>
      </c>
      <c r="N357" s="70"/>
      <c r="P357" s="71"/>
      <c r="Q357" s="51"/>
      <c r="R357" s="31"/>
    </row>
    <row r="358" spans="1:18" x14ac:dyDescent="0.2">
      <c r="A358" s="238"/>
      <c r="B358" s="54" t="s">
        <v>25</v>
      </c>
      <c r="C358" s="240" t="s">
        <v>26</v>
      </c>
      <c r="D358" s="282"/>
      <c r="E358" s="281"/>
      <c r="F358" s="79">
        <f t="shared" si="80"/>
        <v>0</v>
      </c>
      <c r="G358" s="47">
        <f>SUMIF(JournalsC!D$14:D$920,TrialBalanceC!M358,JournalsC!J$14:J$920)+SUMIF(JournalsC!E$14:E$920,TrialBalanceC!M358,JournalsC!J$14:J$920)</f>
        <v>0</v>
      </c>
      <c r="H358" s="288"/>
      <c r="I358" s="291">
        <f t="shared" si="113"/>
        <v>0</v>
      </c>
      <c r="J358" s="75"/>
      <c r="K358" s="48">
        <f t="shared" si="75"/>
        <v>0</v>
      </c>
      <c r="M358" s="140" t="str">
        <f t="shared" si="76"/>
        <v>7500/004Trading stock</v>
      </c>
      <c r="N358" s="70"/>
      <c r="P358" s="71"/>
      <c r="Q358" s="51"/>
      <c r="R358" s="31"/>
    </row>
    <row r="359" spans="1:18" x14ac:dyDescent="0.2">
      <c r="A359" s="238"/>
      <c r="B359" s="54" t="s">
        <v>28</v>
      </c>
      <c r="C359" s="239" t="s">
        <v>29</v>
      </c>
      <c r="D359" s="283"/>
      <c r="E359" s="281"/>
      <c r="F359" s="79"/>
      <c r="G359" s="47">
        <f>SUMIF(JournalsC!D$14:D$920,TrialBalanceC!M359,JournalsC!J$14:J$920)+SUMIF(JournalsC!E$14:E$920,TrialBalanceC!M359,JournalsC!J$14:J$920)</f>
        <v>0</v>
      </c>
      <c r="H359" s="288"/>
      <c r="I359" s="291">
        <f t="shared" si="113"/>
        <v>0</v>
      </c>
      <c r="J359" s="75"/>
      <c r="K359" s="48">
        <f t="shared" si="75"/>
        <v>0</v>
      </c>
      <c r="M359" s="140" t="str">
        <f t="shared" si="76"/>
        <v>8000/000DEBTORS</v>
      </c>
      <c r="N359" s="70"/>
      <c r="P359" s="71"/>
      <c r="Q359" s="51"/>
      <c r="R359" s="31"/>
    </row>
    <row r="360" spans="1:18" x14ac:dyDescent="0.2">
      <c r="A360" s="238"/>
      <c r="B360" s="54" t="s">
        <v>30</v>
      </c>
      <c r="C360" s="240" t="s">
        <v>31</v>
      </c>
      <c r="D360" s="282"/>
      <c r="E360" s="281"/>
      <c r="F360" s="79">
        <f t="shared" si="80"/>
        <v>0</v>
      </c>
      <c r="G360" s="47">
        <f>SUMIF(JournalsC!D$14:D$920,TrialBalanceC!M360,JournalsC!J$14:J$920)+SUMIF(JournalsC!E$14:E$920,TrialBalanceC!M360,JournalsC!J$14:J$920)</f>
        <v>0</v>
      </c>
      <c r="H360" s="288"/>
      <c r="I360" s="291">
        <f t="shared" si="113"/>
        <v>0</v>
      </c>
      <c r="J360" s="75"/>
      <c r="K360" s="48">
        <f t="shared" si="75"/>
        <v>0</v>
      </c>
      <c r="M360" s="140" t="str">
        <f t="shared" si="76"/>
        <v>8010/000Trade debtors</v>
      </c>
      <c r="N360" s="70"/>
      <c r="P360" s="71"/>
      <c r="Q360" s="51"/>
      <c r="R360" s="31"/>
    </row>
    <row r="361" spans="1:18" x14ac:dyDescent="0.2">
      <c r="A361" s="238"/>
      <c r="B361" s="90" t="s">
        <v>32</v>
      </c>
      <c r="C361" s="242" t="s">
        <v>548</v>
      </c>
      <c r="D361" s="282"/>
      <c r="E361" s="281"/>
      <c r="F361" s="79">
        <f t="shared" si="80"/>
        <v>0</v>
      </c>
      <c r="G361" s="47">
        <f>SUMIF(JournalsC!D$14:D$920,TrialBalanceC!M361,JournalsC!J$14:J$920)+SUMIF(JournalsC!E$14:E$920,TrialBalanceC!M361,JournalsC!J$14:J$920)</f>
        <v>0</v>
      </c>
      <c r="H361" s="288"/>
      <c r="I361" s="291">
        <f t="shared" si="113"/>
        <v>0</v>
      </c>
      <c r="J361" s="75"/>
      <c r="K361" s="48">
        <f t="shared" si="75"/>
        <v>0</v>
      </c>
      <c r="M361" s="140" t="str">
        <f t="shared" si="76"/>
        <v>8020/000Less: Provision for doubtful debts</v>
      </c>
      <c r="N361" s="70"/>
      <c r="P361" s="71"/>
      <c r="Q361" s="51"/>
      <c r="R361" s="31"/>
    </row>
    <row r="362" spans="1:18" x14ac:dyDescent="0.2">
      <c r="A362" s="238"/>
      <c r="B362" s="90" t="s">
        <v>550</v>
      </c>
      <c r="C362" s="240" t="s">
        <v>307</v>
      </c>
      <c r="D362" s="282"/>
      <c r="E362" s="281"/>
      <c r="F362" s="79">
        <f t="shared" si="80"/>
        <v>0</v>
      </c>
      <c r="G362" s="47">
        <f>SUMIF(JournalsC!D$14:D$920,TrialBalanceC!M362,JournalsC!J$14:J$920)+SUMIF(JournalsC!E$14:E$920,TrialBalanceC!M362,JournalsC!J$14:J$920)</f>
        <v>0</v>
      </c>
      <c r="H362" s="288"/>
      <c r="I362" s="291">
        <f t="shared" si="113"/>
        <v>0</v>
      </c>
      <c r="J362" s="75"/>
      <c r="K362" s="48">
        <f t="shared" si="75"/>
        <v>0</v>
      </c>
      <c r="M362" s="140" t="str">
        <f t="shared" si="76"/>
        <v>8030/000Service deposits</v>
      </c>
      <c r="N362" s="70"/>
      <c r="P362" s="71"/>
      <c r="Q362" s="51"/>
      <c r="R362" s="31"/>
    </row>
    <row r="363" spans="1:18" x14ac:dyDescent="0.2">
      <c r="A363" s="238"/>
      <c r="B363" s="54" t="s">
        <v>451</v>
      </c>
      <c r="C363" s="242" t="s">
        <v>755</v>
      </c>
      <c r="D363" s="282"/>
      <c r="E363" s="281"/>
      <c r="F363" s="79">
        <f t="shared" si="80"/>
        <v>0</v>
      </c>
      <c r="G363" s="47">
        <f>SUMIF(JournalsC!D$14:D$920,TrialBalanceC!M363,JournalsC!J$14:J$920)+SUMIF(JournalsC!E$14:E$920,TrialBalanceC!M363,JournalsC!J$14:J$920)</f>
        <v>0</v>
      </c>
      <c r="H363" s="288"/>
      <c r="I363" s="291">
        <f t="shared" si="113"/>
        <v>0</v>
      </c>
      <c r="J363" s="75"/>
      <c r="K363" s="48">
        <f t="shared" si="75"/>
        <v>0</v>
      </c>
      <c r="M363" s="140" t="str">
        <f t="shared" si="76"/>
        <v>8200/000Sundry customers</v>
      </c>
      <c r="N363" s="70"/>
      <c r="P363" s="71"/>
      <c r="Q363" s="51"/>
      <c r="R363" s="31"/>
    </row>
    <row r="364" spans="1:18" x14ac:dyDescent="0.2">
      <c r="A364" s="238"/>
      <c r="B364" s="54" t="s">
        <v>452</v>
      </c>
      <c r="C364" s="240" t="s">
        <v>350</v>
      </c>
      <c r="D364" s="282"/>
      <c r="E364" s="281"/>
      <c r="F364" s="79">
        <f t="shared" si="80"/>
        <v>0</v>
      </c>
      <c r="G364" s="47">
        <f>SUMIF(JournalsC!D$14:D$920,TrialBalanceC!M364,JournalsC!J$14:J$920)+SUMIF(JournalsC!E$14:E$920,TrialBalanceC!M364,JournalsC!J$14:J$920)</f>
        <v>0</v>
      </c>
      <c r="H364" s="288"/>
      <c r="I364" s="291">
        <f t="shared" si="113"/>
        <v>0</v>
      </c>
      <c r="J364" s="75"/>
      <c r="K364" s="48">
        <f t="shared" si="75"/>
        <v>0</v>
      </c>
      <c r="M364" s="140" t="str">
        <f t="shared" si="76"/>
        <v>8200/010Prepayments</v>
      </c>
      <c r="N364" s="70"/>
      <c r="P364" s="71"/>
      <c r="Q364" s="51"/>
      <c r="R364" s="31"/>
    </row>
    <row r="365" spans="1:18" x14ac:dyDescent="0.2">
      <c r="A365" s="238"/>
      <c r="B365" s="54" t="s">
        <v>221</v>
      </c>
      <c r="C365" s="241" t="s">
        <v>523</v>
      </c>
      <c r="D365" s="272"/>
      <c r="E365" s="281"/>
      <c r="F365" s="79">
        <f t="shared" si="80"/>
        <v>0</v>
      </c>
      <c r="G365" s="47">
        <f>SUMIF(JournalsC!D$14:D$920,TrialBalanceC!M365,JournalsC!J$14:J$920)+SUMIF(JournalsC!E$14:E$920,TrialBalanceC!M365,JournalsC!J$14:J$920)</f>
        <v>0</v>
      </c>
      <c r="H365" s="288"/>
      <c r="I365" s="291">
        <f t="shared" si="113"/>
        <v>0</v>
      </c>
      <c r="J365" s="75"/>
      <c r="K365" s="48">
        <f t="shared" si="75"/>
        <v>0</v>
      </c>
      <c r="M365" s="140" t="str">
        <f t="shared" si="76"/>
        <v>8200/020Staff loans</v>
      </c>
      <c r="N365" s="70"/>
      <c r="P365" s="71"/>
      <c r="Q365" s="51"/>
      <c r="R365" s="31"/>
    </row>
    <row r="366" spans="1:18" x14ac:dyDescent="0.2">
      <c r="A366" s="238"/>
      <c r="B366" s="54" t="s">
        <v>222</v>
      </c>
      <c r="C366" s="244" t="s">
        <v>112</v>
      </c>
      <c r="D366" s="270"/>
      <c r="E366" s="281"/>
      <c r="F366" s="79"/>
      <c r="G366" s="47">
        <f>SUMIF(JournalsC!D$14:D$920,TrialBalanceC!M366,JournalsC!J$14:J$920)+SUMIF(JournalsC!E$14:E$920,TrialBalanceC!M366,JournalsC!J$14:J$920)</f>
        <v>0</v>
      </c>
      <c r="H366" s="288"/>
      <c r="I366" s="291">
        <f t="shared" si="113"/>
        <v>0</v>
      </c>
      <c r="J366" s="75"/>
      <c r="K366" s="48">
        <f t="shared" si="75"/>
        <v>0</v>
      </c>
      <c r="M366" s="140" t="str">
        <f t="shared" si="76"/>
        <v>8400/000BANK ACCOUNTS</v>
      </c>
      <c r="N366" s="70"/>
      <c r="P366" s="71"/>
      <c r="Q366" s="51"/>
      <c r="R366" s="31"/>
    </row>
    <row r="367" spans="1:18" x14ac:dyDescent="0.2">
      <c r="A367" s="238"/>
      <c r="B367" s="54" t="s">
        <v>223</v>
      </c>
      <c r="C367" s="276">
        <f>TrialBalance!C367</f>
        <v>0</v>
      </c>
      <c r="D367" s="281"/>
      <c r="E367" s="281"/>
      <c r="F367" s="79">
        <f t="shared" si="80"/>
        <v>0</v>
      </c>
      <c r="G367" s="47">
        <f>SUMIF(JournalsC!D$14:D$920,TrialBalanceC!M367,JournalsC!J$14:J$920)+SUMIF(JournalsC!E$14:E$920,TrialBalanceC!M367,JournalsC!J$14:J$920)</f>
        <v>0</v>
      </c>
      <c r="H367" s="288"/>
      <c r="I367" s="291">
        <f t="shared" si="113"/>
        <v>0</v>
      </c>
      <c r="J367" s="75"/>
      <c r="K367" s="48">
        <f t="shared" si="75"/>
        <v>0</v>
      </c>
      <c r="M367" s="140" t="str">
        <f t="shared" si="76"/>
        <v>8410/0000</v>
      </c>
      <c r="N367" s="70"/>
      <c r="P367" s="71"/>
      <c r="Q367" s="51"/>
      <c r="R367" s="31"/>
    </row>
    <row r="368" spans="1:18" x14ac:dyDescent="0.2">
      <c r="A368" s="238"/>
      <c r="B368" s="54" t="s">
        <v>224</v>
      </c>
      <c r="C368" s="276">
        <f>TrialBalance!C368</f>
        <v>0</v>
      </c>
      <c r="D368" s="281"/>
      <c r="E368" s="281"/>
      <c r="F368" s="79">
        <f t="shared" si="80"/>
        <v>0</v>
      </c>
      <c r="G368" s="47">
        <f>SUMIF(JournalsC!D$14:D$920,TrialBalanceC!M368,JournalsC!J$14:J$920)+SUMIF(JournalsC!E$14:E$920,TrialBalanceC!M368,JournalsC!J$14:J$920)</f>
        <v>0</v>
      </c>
      <c r="H368" s="288"/>
      <c r="I368" s="291">
        <f t="shared" si="113"/>
        <v>0</v>
      </c>
      <c r="J368" s="75"/>
      <c r="K368" s="48">
        <f t="shared" si="75"/>
        <v>0</v>
      </c>
      <c r="M368" s="140" t="str">
        <f t="shared" si="76"/>
        <v>8420/0000</v>
      </c>
      <c r="N368" s="70"/>
      <c r="P368" s="71"/>
      <c r="Q368" s="51"/>
      <c r="R368" s="31"/>
    </row>
    <row r="369" spans="1:18" x14ac:dyDescent="0.2">
      <c r="A369" s="238"/>
      <c r="B369" s="54" t="s">
        <v>225</v>
      </c>
      <c r="C369" s="276">
        <f>TrialBalance!C369</f>
        <v>0</v>
      </c>
      <c r="D369" s="272"/>
      <c r="E369" s="281"/>
      <c r="F369" s="79">
        <f t="shared" si="80"/>
        <v>0</v>
      </c>
      <c r="G369" s="47">
        <f>SUMIF(JournalsC!D$14:D$920,TrialBalanceC!M369,JournalsC!J$14:J$920)+SUMIF(JournalsC!E$14:E$920,TrialBalanceC!M369,JournalsC!J$14:J$920)</f>
        <v>0</v>
      </c>
      <c r="H369" s="288"/>
      <c r="I369" s="291">
        <f t="shared" si="113"/>
        <v>0</v>
      </c>
      <c r="J369" s="75"/>
      <c r="K369" s="48">
        <f t="shared" si="75"/>
        <v>0</v>
      </c>
      <c r="M369" s="140" t="str">
        <f t="shared" si="76"/>
        <v>8430/0000</v>
      </c>
      <c r="N369" s="70"/>
      <c r="P369" s="71"/>
      <c r="Q369" s="51"/>
      <c r="R369" s="31"/>
    </row>
    <row r="370" spans="1:18" x14ac:dyDescent="0.2">
      <c r="A370" s="238"/>
      <c r="B370" s="54" t="s">
        <v>226</v>
      </c>
      <c r="C370" s="276">
        <f>TrialBalance!C370</f>
        <v>0</v>
      </c>
      <c r="D370" s="282"/>
      <c r="E370" s="281"/>
      <c r="F370" s="79">
        <f t="shared" si="80"/>
        <v>0</v>
      </c>
      <c r="G370" s="47">
        <f>SUMIF(JournalsC!D$14:D$920,TrialBalanceC!M370,JournalsC!J$14:J$920)+SUMIF(JournalsC!E$14:E$920,TrialBalanceC!M370,JournalsC!J$14:J$920)</f>
        <v>0</v>
      </c>
      <c r="H370" s="288"/>
      <c r="I370" s="291">
        <f t="shared" si="113"/>
        <v>0</v>
      </c>
      <c r="J370" s="75"/>
      <c r="K370" s="48">
        <f t="shared" si="75"/>
        <v>0</v>
      </c>
      <c r="M370" s="140" t="str">
        <f t="shared" si="76"/>
        <v>8440/0000</v>
      </c>
      <c r="N370" s="70"/>
      <c r="P370" s="71"/>
      <c r="Q370" s="51"/>
      <c r="R370" s="31"/>
    </row>
    <row r="371" spans="1:18" x14ac:dyDescent="0.2">
      <c r="A371" s="238"/>
      <c r="B371" s="54" t="s">
        <v>227</v>
      </c>
      <c r="C371" s="276">
        <f>TrialBalance!C371</f>
        <v>0</v>
      </c>
      <c r="D371" s="282"/>
      <c r="E371" s="281"/>
      <c r="F371" s="79">
        <f t="shared" si="80"/>
        <v>0</v>
      </c>
      <c r="G371" s="47">
        <f>SUMIF(JournalsC!D$14:D$920,TrialBalanceC!M371,JournalsC!J$14:J$920)+SUMIF(JournalsC!E$14:E$920,TrialBalanceC!M371,JournalsC!J$14:J$920)</f>
        <v>0</v>
      </c>
      <c r="H371" s="288"/>
      <c r="I371" s="291">
        <f t="shared" si="113"/>
        <v>0</v>
      </c>
      <c r="J371" s="75"/>
      <c r="K371" s="48">
        <f t="shared" si="75"/>
        <v>0</v>
      </c>
      <c r="M371" s="140" t="str">
        <f t="shared" si="76"/>
        <v>8450/0000</v>
      </c>
      <c r="N371" s="70"/>
      <c r="P371" s="71"/>
      <c r="Q371" s="51"/>
      <c r="R371" s="31"/>
    </row>
    <row r="372" spans="1:18" x14ac:dyDescent="0.2">
      <c r="A372" s="238"/>
      <c r="B372" s="54" t="s">
        <v>113</v>
      </c>
      <c r="C372" s="276">
        <f>TrialBalance!C372</f>
        <v>0</v>
      </c>
      <c r="D372" s="282"/>
      <c r="E372" s="281"/>
      <c r="F372" s="79">
        <f t="shared" si="80"/>
        <v>0</v>
      </c>
      <c r="G372" s="47">
        <f>SUMIF(JournalsC!D$14:D$920,TrialBalanceC!M372,JournalsC!J$14:J$920)+SUMIF(JournalsC!E$14:E$920,TrialBalanceC!M372,JournalsC!J$14:J$920)</f>
        <v>0</v>
      </c>
      <c r="H372" s="288"/>
      <c r="I372" s="291">
        <f t="shared" si="113"/>
        <v>0</v>
      </c>
      <c r="J372" s="75"/>
      <c r="K372" s="48">
        <f t="shared" si="75"/>
        <v>0</v>
      </c>
      <c r="M372" s="140" t="str">
        <f t="shared" si="76"/>
        <v>8460/0000</v>
      </c>
      <c r="N372" s="70"/>
      <c r="P372" s="71"/>
      <c r="Q372" s="51"/>
      <c r="R372" s="31"/>
    </row>
    <row r="373" spans="1:18" x14ac:dyDescent="0.2">
      <c r="A373" s="238"/>
      <c r="B373" s="54" t="s">
        <v>398</v>
      </c>
      <c r="C373" s="246" t="s">
        <v>399</v>
      </c>
      <c r="D373" s="272"/>
      <c r="E373" s="281"/>
      <c r="F373" s="79">
        <f t="shared" si="80"/>
        <v>0</v>
      </c>
      <c r="G373" s="47">
        <f>SUMIF(JournalsC!D$14:D$920,TrialBalanceC!M373,JournalsC!J$14:J$920)+SUMIF(JournalsC!E$14:E$920,TrialBalanceC!M373,JournalsC!J$14:J$920)</f>
        <v>0</v>
      </c>
      <c r="H373" s="288"/>
      <c r="I373" s="291">
        <f t="shared" si="113"/>
        <v>0</v>
      </c>
      <c r="J373" s="75"/>
      <c r="K373" s="48">
        <f t="shared" si="75"/>
        <v>0</v>
      </c>
      <c r="M373" s="140" t="str">
        <f t="shared" si="76"/>
        <v>8500/000Cash on hand</v>
      </c>
      <c r="N373" s="70"/>
      <c r="P373" s="71"/>
      <c r="Q373" s="51"/>
      <c r="R373" s="31"/>
    </row>
    <row r="374" spans="1:18" x14ac:dyDescent="0.2">
      <c r="A374" s="238"/>
      <c r="B374" s="54" t="s">
        <v>400</v>
      </c>
      <c r="C374" s="244" t="s">
        <v>262</v>
      </c>
      <c r="D374" s="270"/>
      <c r="E374" s="281"/>
      <c r="F374" s="79"/>
      <c r="G374" s="47">
        <f>SUMIF(JournalsC!D$14:D$920,TrialBalanceC!M374,JournalsC!J$14:J$920)+SUMIF(JournalsC!E$14:E$920,TrialBalanceC!M374,JournalsC!J$14:J$920)</f>
        <v>0</v>
      </c>
      <c r="H374" s="288"/>
      <c r="I374" s="291">
        <f t="shared" si="113"/>
        <v>0</v>
      </c>
      <c r="J374" s="75"/>
      <c r="K374" s="48">
        <f t="shared" si="75"/>
        <v>0</v>
      </c>
      <c r="M374" s="140" t="str">
        <f t="shared" si="76"/>
        <v>8900/000SHORT TERM LOANS</v>
      </c>
      <c r="N374" s="70"/>
      <c r="P374" s="71"/>
      <c r="Q374" s="51"/>
      <c r="R374" s="31"/>
    </row>
    <row r="375" spans="1:18" x14ac:dyDescent="0.2">
      <c r="A375" s="238"/>
      <c r="B375" s="54" t="s">
        <v>401</v>
      </c>
      <c r="C375" s="276">
        <f>TrialBalance!C375</f>
        <v>0</v>
      </c>
      <c r="D375" s="272"/>
      <c r="E375" s="281"/>
      <c r="F375" s="79">
        <f t="shared" si="80"/>
        <v>0</v>
      </c>
      <c r="G375" s="47">
        <f>SUMIF(JournalsC!D$14:D$920,TrialBalanceC!M375,JournalsC!J$14:J$920)+SUMIF(JournalsC!E$14:E$920,TrialBalanceC!M375,JournalsC!J$14:J$920)</f>
        <v>0</v>
      </c>
      <c r="H375" s="288"/>
      <c r="I375" s="291">
        <f t="shared" si="113"/>
        <v>0</v>
      </c>
      <c r="J375" s="75"/>
      <c r="K375" s="48">
        <f t="shared" si="75"/>
        <v>0</v>
      </c>
      <c r="M375" s="140" t="str">
        <f t="shared" si="76"/>
        <v>8900/0010</v>
      </c>
      <c r="N375" s="70"/>
      <c r="P375" s="71"/>
      <c r="Q375" s="51"/>
      <c r="R375" s="31"/>
    </row>
    <row r="376" spans="1:18" x14ac:dyDescent="0.2">
      <c r="A376" s="238"/>
      <c r="B376" s="54" t="s">
        <v>402</v>
      </c>
      <c r="C376" s="276">
        <f>TrialBalance!C376</f>
        <v>0</v>
      </c>
      <c r="D376" s="282"/>
      <c r="E376" s="281"/>
      <c r="F376" s="79">
        <f t="shared" si="80"/>
        <v>0</v>
      </c>
      <c r="G376" s="47">
        <f>SUMIF(JournalsC!D$14:D$920,TrialBalanceC!M376,JournalsC!J$14:J$920)+SUMIF(JournalsC!E$14:E$920,TrialBalanceC!M376,JournalsC!J$14:J$920)</f>
        <v>0</v>
      </c>
      <c r="H376" s="288"/>
      <c r="I376" s="291">
        <f t="shared" si="113"/>
        <v>0</v>
      </c>
      <c r="J376" s="75"/>
      <c r="K376" s="48">
        <f t="shared" si="75"/>
        <v>0</v>
      </c>
      <c r="M376" s="140" t="str">
        <f t="shared" si="76"/>
        <v>8900/0020</v>
      </c>
      <c r="N376" s="70"/>
      <c r="P376" s="71"/>
      <c r="Q376" s="51"/>
      <c r="R376" s="31"/>
    </row>
    <row r="377" spans="1:18" x14ac:dyDescent="0.2">
      <c r="A377" s="238"/>
      <c r="B377" s="54" t="s">
        <v>403</v>
      </c>
      <c r="C377" s="276">
        <f>TrialBalance!C377</f>
        <v>0</v>
      </c>
      <c r="D377" s="282"/>
      <c r="E377" s="281"/>
      <c r="F377" s="79">
        <f t="shared" si="80"/>
        <v>0</v>
      </c>
      <c r="G377" s="47">
        <f>SUMIF(JournalsC!D$14:D$920,TrialBalanceC!M377,JournalsC!J$14:J$920)+SUMIF(JournalsC!E$14:E$920,TrialBalanceC!M377,JournalsC!J$14:J$920)</f>
        <v>0</v>
      </c>
      <c r="H377" s="288"/>
      <c r="I377" s="291">
        <f t="shared" si="113"/>
        <v>0</v>
      </c>
      <c r="J377" s="75"/>
      <c r="K377" s="48">
        <f t="shared" si="75"/>
        <v>0</v>
      </c>
      <c r="M377" s="140" t="str">
        <f t="shared" si="76"/>
        <v>8900/0030</v>
      </c>
      <c r="N377" s="70"/>
      <c r="P377" s="71"/>
      <c r="Q377" s="51"/>
      <c r="R377" s="31"/>
    </row>
    <row r="378" spans="1:18" x14ac:dyDescent="0.2">
      <c r="A378" s="238"/>
      <c r="B378" s="54" t="s">
        <v>404</v>
      </c>
      <c r="C378" s="239" t="s">
        <v>237</v>
      </c>
      <c r="D378" s="283"/>
      <c r="E378" s="281"/>
      <c r="F378" s="79"/>
      <c r="G378" s="47">
        <f>SUMIF(JournalsC!D$14:D$920,TrialBalanceC!M378,JournalsC!J$14:J$920)+SUMIF(JournalsC!E$14:E$920,TrialBalanceC!M378,JournalsC!J$14:J$920)</f>
        <v>0</v>
      </c>
      <c r="H378" s="288"/>
      <c r="I378" s="291">
        <f t="shared" si="113"/>
        <v>0</v>
      </c>
      <c r="J378" s="75"/>
      <c r="K378" s="48">
        <f t="shared" si="75"/>
        <v>0</v>
      </c>
      <c r="M378" s="140" t="str">
        <f t="shared" si="76"/>
        <v>8900/004Short term portion of long term loans</v>
      </c>
      <c r="N378" s="70"/>
      <c r="P378" s="71"/>
      <c r="Q378" s="51"/>
      <c r="R378" s="31"/>
    </row>
    <row r="379" spans="1:18" x14ac:dyDescent="0.2">
      <c r="A379" s="238"/>
      <c r="B379" s="54" t="s">
        <v>405</v>
      </c>
      <c r="C379" s="239" t="s">
        <v>406</v>
      </c>
      <c r="D379" s="283"/>
      <c r="E379" s="281"/>
      <c r="F379" s="79"/>
      <c r="G379" s="47">
        <f>SUMIF(JournalsC!D$14:D$920,TrialBalanceC!M379,JournalsC!J$14:J$920)+SUMIF(JournalsC!E$14:E$920,TrialBalanceC!M379,JournalsC!J$14:J$920)</f>
        <v>0</v>
      </c>
      <c r="H379" s="288"/>
      <c r="I379" s="291">
        <f t="shared" si="113"/>
        <v>0</v>
      </c>
      <c r="J379" s="75"/>
      <c r="K379" s="48">
        <f t="shared" si="75"/>
        <v>0</v>
      </c>
      <c r="M379" s="140" t="str">
        <f t="shared" si="76"/>
        <v>9000/000CREDITORS</v>
      </c>
      <c r="N379" s="70"/>
      <c r="P379" s="71"/>
      <c r="Q379" s="51"/>
      <c r="R379" s="31"/>
    </row>
    <row r="380" spans="1:18" x14ac:dyDescent="0.2">
      <c r="A380" s="238"/>
      <c r="B380" s="54" t="s">
        <v>407</v>
      </c>
      <c r="C380" s="240" t="s">
        <v>408</v>
      </c>
      <c r="D380" s="282"/>
      <c r="E380" s="281"/>
      <c r="F380" s="79">
        <f>K380</f>
        <v>0</v>
      </c>
      <c r="G380" s="47">
        <f>SUMIF(JournalsC!D$14:D$920,TrialBalanceC!M380,JournalsC!J$14:J$920)+SUMIF(JournalsC!E$14:E$920,TrialBalanceC!M380,JournalsC!J$14:J$920)</f>
        <v>0</v>
      </c>
      <c r="H380" s="288"/>
      <c r="I380" s="291">
        <f t="shared" si="113"/>
        <v>0</v>
      </c>
      <c r="J380" s="75"/>
      <c r="K380" s="48">
        <f t="shared" si="75"/>
        <v>0</v>
      </c>
      <c r="M380" s="140" t="str">
        <f t="shared" si="76"/>
        <v>9010/000Trade creditors</v>
      </c>
      <c r="N380" s="70"/>
      <c r="P380" s="71"/>
      <c r="Q380" s="51"/>
      <c r="R380" s="31"/>
    </row>
    <row r="381" spans="1:18" x14ac:dyDescent="0.2">
      <c r="A381" s="238"/>
      <c r="B381" s="54" t="s">
        <v>409</v>
      </c>
      <c r="C381" s="242" t="s">
        <v>538</v>
      </c>
      <c r="D381" s="282"/>
      <c r="E381" s="281"/>
      <c r="F381" s="79">
        <f>K381</f>
        <v>0</v>
      </c>
      <c r="G381" s="47">
        <f>SUMIF(JournalsC!D$14:D$920,TrialBalanceC!M381,JournalsC!J$14:J$920)+SUMIF(JournalsC!E$14:E$920,TrialBalanceC!M381,JournalsC!J$14:J$920)</f>
        <v>0</v>
      </c>
      <c r="H381" s="288"/>
      <c r="I381" s="291">
        <f t="shared" si="113"/>
        <v>0</v>
      </c>
      <c r="J381" s="75"/>
      <c r="K381" s="48">
        <f t="shared" si="75"/>
        <v>0</v>
      </c>
      <c r="M381" s="140" t="str">
        <f t="shared" si="76"/>
        <v>9200/000Sundry suppliers</v>
      </c>
      <c r="N381" s="70"/>
      <c r="P381" s="71"/>
      <c r="Q381" s="51"/>
      <c r="R381" s="31"/>
    </row>
    <row r="382" spans="1:18" x14ac:dyDescent="0.2">
      <c r="A382" s="238"/>
      <c r="B382" s="54" t="s">
        <v>410</v>
      </c>
      <c r="C382" s="242" t="s">
        <v>705</v>
      </c>
      <c r="D382" s="284"/>
      <c r="E382" s="281"/>
      <c r="F382" s="79">
        <f>K382</f>
        <v>0</v>
      </c>
      <c r="G382" s="47">
        <f>SUMIF(JournalsC!D$14:D$920,TrialBalanceC!M382,JournalsC!J$14:J$920)+SUMIF(JournalsC!E$14:E$920,TrialBalanceC!M382,JournalsC!J$14:J$920)</f>
        <v>0</v>
      </c>
      <c r="H382" s="288"/>
      <c r="I382" s="291">
        <f t="shared" si="113"/>
        <v>0</v>
      </c>
      <c r="J382" s="75"/>
      <c r="K382" s="48">
        <f t="shared" si="75"/>
        <v>0</v>
      </c>
      <c r="M382" s="140" t="str">
        <f t="shared" si="76"/>
        <v>9200/010Audit and accounting fee accrual</v>
      </c>
      <c r="N382" s="70"/>
      <c r="P382" s="71"/>
      <c r="Q382" s="51"/>
      <c r="R382" s="31"/>
    </row>
    <row r="383" spans="1:18" x14ac:dyDescent="0.2">
      <c r="A383" s="238"/>
      <c r="B383" s="54" t="s">
        <v>411</v>
      </c>
      <c r="C383" s="242" t="s">
        <v>539</v>
      </c>
      <c r="D383" s="282"/>
      <c r="E383" s="281"/>
      <c r="F383" s="79">
        <f>K383</f>
        <v>0</v>
      </c>
      <c r="G383" s="47">
        <f>SUMIF(JournalsC!D$14:D$920,TrialBalanceC!M383,JournalsC!J$14:J$920)+SUMIF(JournalsC!E$14:E$920,TrialBalanceC!M383,JournalsC!J$14:J$920)</f>
        <v>0</v>
      </c>
      <c r="H383" s="288"/>
      <c r="I383" s="291">
        <f t="shared" si="113"/>
        <v>0</v>
      </c>
      <c r="J383" s="75"/>
      <c r="K383" s="48">
        <f t="shared" si="75"/>
        <v>0</v>
      </c>
      <c r="M383" s="140" t="str">
        <f t="shared" si="76"/>
        <v>9200/020Other accruals</v>
      </c>
      <c r="N383" s="70"/>
      <c r="P383" s="71"/>
      <c r="Q383" s="51"/>
      <c r="R383" s="31"/>
    </row>
    <row r="384" spans="1:18" x14ac:dyDescent="0.2">
      <c r="A384" s="238"/>
      <c r="B384" s="54" t="s">
        <v>412</v>
      </c>
      <c r="C384" s="242" t="s">
        <v>701</v>
      </c>
      <c r="D384" s="282"/>
      <c r="E384" s="281"/>
      <c r="F384" s="79">
        <f>K384</f>
        <v>0</v>
      </c>
      <c r="G384" s="47">
        <f>SUMIF(JournalsC!D$14:D$920,TrialBalanceC!M384,JournalsC!J$14:J$920)+SUMIF(JournalsC!E$14:E$920,TrialBalanceC!M384,JournalsC!J$14:J$920)</f>
        <v>0</v>
      </c>
      <c r="H384" s="288"/>
      <c r="I384" s="291">
        <f t="shared" si="113"/>
        <v>0</v>
      </c>
      <c r="J384" s="75"/>
      <c r="K384" s="48">
        <f t="shared" si="75"/>
        <v>0</v>
      </c>
      <c r="M384" s="140" t="str">
        <f t="shared" si="76"/>
        <v>9250/000Salary and wages control</v>
      </c>
      <c r="N384" s="70"/>
      <c r="P384" s="71"/>
      <c r="Q384" s="51"/>
      <c r="R384" s="31"/>
    </row>
    <row r="385" spans="1:18" x14ac:dyDescent="0.2">
      <c r="A385" s="238"/>
      <c r="B385" s="54" t="s">
        <v>313</v>
      </c>
      <c r="C385" s="239" t="s">
        <v>104</v>
      </c>
      <c r="D385" s="283"/>
      <c r="E385" s="281"/>
      <c r="F385" s="79"/>
      <c r="G385" s="47">
        <f>SUMIF(JournalsC!D$14:D$920,TrialBalanceC!M385,JournalsC!J$14:J$920)+SUMIF(JournalsC!E$14:E$920,TrialBalanceC!M385,JournalsC!J$14:J$920)</f>
        <v>0</v>
      </c>
      <c r="H385" s="288"/>
      <c r="I385" s="291">
        <f t="shared" si="113"/>
        <v>0</v>
      </c>
      <c r="J385" s="75"/>
      <c r="K385" s="48">
        <f t="shared" si="75"/>
        <v>0</v>
      </c>
      <c r="M385" s="140" t="str">
        <f t="shared" si="76"/>
        <v>9300/000TAXATION</v>
      </c>
      <c r="N385" s="70"/>
      <c r="P385" s="71"/>
      <c r="Q385" s="51"/>
      <c r="R385" s="31"/>
    </row>
    <row r="386" spans="1:18" x14ac:dyDescent="0.2">
      <c r="A386" s="238"/>
      <c r="B386" s="54" t="s">
        <v>423</v>
      </c>
      <c r="C386" s="240" t="s">
        <v>78</v>
      </c>
      <c r="D386" s="282"/>
      <c r="E386" s="281"/>
      <c r="F386" s="79">
        <f>SUM(K386:K393)</f>
        <v>0</v>
      </c>
      <c r="G386" s="47">
        <f>SUMIF(JournalsC!D$14:D$920,TrialBalanceC!M386,JournalsC!J$14:J$920)+SUMIF(JournalsC!E$14:E$920,TrialBalanceC!M386,JournalsC!J$14:J$920)</f>
        <v>0</v>
      </c>
      <c r="H386" s="288"/>
      <c r="I386" s="291">
        <f t="shared" si="113"/>
        <v>0</v>
      </c>
      <c r="J386" s="75"/>
      <c r="K386" s="48">
        <f t="shared" si="75"/>
        <v>0</v>
      </c>
      <c r="M386" s="140" t="str">
        <f t="shared" si="76"/>
        <v>9300/010Balance b/fwd</v>
      </c>
      <c r="N386" s="70"/>
      <c r="P386" s="71"/>
      <c r="Q386" s="51"/>
      <c r="R386" s="31"/>
    </row>
    <row r="387" spans="1:18" x14ac:dyDescent="0.2">
      <c r="A387" s="238"/>
      <c r="B387" s="54" t="s">
        <v>424</v>
      </c>
      <c r="C387" s="246" t="s">
        <v>110</v>
      </c>
      <c r="D387" s="272"/>
      <c r="E387" s="281"/>
      <c r="F387" s="79"/>
      <c r="G387" s="47">
        <f>SUMIF(JournalsC!D$14:D$920,TrialBalanceC!M387,JournalsC!J$14:J$920)+SUMIF(JournalsC!E$14:E$920,TrialBalanceC!M387,JournalsC!J$14:J$920)</f>
        <v>0</v>
      </c>
      <c r="H387" s="288"/>
      <c r="I387" s="291">
        <f t="shared" si="113"/>
        <v>0</v>
      </c>
      <c r="J387" s="75"/>
      <c r="K387" s="48">
        <f t="shared" si="75"/>
        <v>0</v>
      </c>
      <c r="M387" s="140" t="str">
        <f t="shared" si="76"/>
        <v>9300/020Tax provision this year</v>
      </c>
      <c r="N387" s="70"/>
      <c r="P387" s="71"/>
      <c r="Q387" s="51"/>
      <c r="R387" s="31"/>
    </row>
    <row r="388" spans="1:18" x14ac:dyDescent="0.2">
      <c r="A388" s="238"/>
      <c r="B388" s="54" t="s">
        <v>425</v>
      </c>
      <c r="C388" s="242" t="s">
        <v>784</v>
      </c>
      <c r="D388" s="282"/>
      <c r="E388" s="281"/>
      <c r="F388" s="79"/>
      <c r="G388" s="47">
        <f>SUMIF(JournalsC!D$14:D$920,TrialBalanceC!M388,JournalsC!J$14:J$920)+SUMIF(JournalsC!E$14:E$920,TrialBalanceC!M388,JournalsC!J$14:J$920)</f>
        <v>0</v>
      </c>
      <c r="H388" s="288"/>
      <c r="I388" s="291">
        <f t="shared" si="113"/>
        <v>0</v>
      </c>
      <c r="J388" s="75"/>
      <c r="K388" s="48">
        <f t="shared" si="75"/>
        <v>0</v>
      </c>
      <c r="M388" s="140" t="str">
        <f t="shared" si="76"/>
        <v>9300/030Over-/(Under) provision previous year</v>
      </c>
      <c r="N388" s="70"/>
      <c r="P388" s="71"/>
      <c r="Q388" s="51"/>
      <c r="R388" s="31"/>
    </row>
    <row r="389" spans="1:18" x14ac:dyDescent="0.2">
      <c r="A389" s="238"/>
      <c r="B389" s="54" t="s">
        <v>426</v>
      </c>
      <c r="C389" s="242" t="s">
        <v>785</v>
      </c>
      <c r="D389" s="282"/>
      <c r="E389" s="281"/>
      <c r="F389" s="79"/>
      <c r="G389" s="47">
        <f>SUMIF(JournalsC!D$14:D$920,TrialBalanceC!M389,JournalsC!J$14:J$920)+SUMIF(JournalsC!E$14:E$920,TrialBalanceC!M389,JournalsC!J$14:J$920)</f>
        <v>0</v>
      </c>
      <c r="H389" s="288"/>
      <c r="I389" s="291">
        <f t="shared" si="113"/>
        <v>0</v>
      </c>
      <c r="J389" s="75"/>
      <c r="K389" s="48">
        <f t="shared" si="75"/>
        <v>0</v>
      </c>
      <c r="M389" s="140" t="str">
        <f t="shared" si="76"/>
        <v>9300/040Tax paid/(refund) for previous year provisions</v>
      </c>
      <c r="N389" s="70"/>
      <c r="P389" s="71"/>
      <c r="Q389" s="51"/>
      <c r="R389" s="31"/>
    </row>
    <row r="390" spans="1:18" x14ac:dyDescent="0.2">
      <c r="A390" s="238"/>
      <c r="B390" s="54" t="s">
        <v>427</v>
      </c>
      <c r="C390" s="242" t="s">
        <v>756</v>
      </c>
      <c r="D390" s="282"/>
      <c r="E390" s="281"/>
      <c r="F390" s="79"/>
      <c r="G390" s="47">
        <f>SUMIF(JournalsC!D$14:D$920,TrialBalanceC!M390,JournalsC!J$14:J$920)+SUMIF(JournalsC!E$14:E$920,TrialBalanceC!M390,JournalsC!J$14:J$920)</f>
        <v>0</v>
      </c>
      <c r="H390" s="288"/>
      <c r="I390" s="291">
        <f t="shared" si="113"/>
        <v>0</v>
      </c>
      <c r="J390" s="75"/>
      <c r="K390" s="48">
        <f t="shared" ref="K390:K401" si="114">ROUND(SUM(A390),0)</f>
        <v>0</v>
      </c>
      <c r="M390" s="140" t="str">
        <f t="shared" ref="M390:M401" si="115">CONCATENATE(B390,C390)</f>
        <v>9300/0501st Provisional paid</v>
      </c>
      <c r="N390" s="70"/>
      <c r="P390" s="71"/>
      <c r="Q390" s="51"/>
      <c r="R390" s="31"/>
    </row>
    <row r="391" spans="1:18" x14ac:dyDescent="0.2">
      <c r="A391" s="238"/>
      <c r="B391" s="54" t="s">
        <v>428</v>
      </c>
      <c r="C391" s="242" t="s">
        <v>757</v>
      </c>
      <c r="D391" s="282"/>
      <c r="E391" s="281"/>
      <c r="F391" s="79"/>
      <c r="G391" s="47">
        <f>SUMIF(JournalsC!D$14:D$920,TrialBalanceC!M391,JournalsC!J$14:J$920)+SUMIF(JournalsC!E$14:E$920,TrialBalanceC!M391,JournalsC!J$14:J$920)</f>
        <v>0</v>
      </c>
      <c r="H391" s="288"/>
      <c r="I391" s="291">
        <f t="shared" si="113"/>
        <v>0</v>
      </c>
      <c r="J391" s="75"/>
      <c r="K391" s="48">
        <f t="shared" si="114"/>
        <v>0</v>
      </c>
      <c r="M391" s="140" t="str">
        <f t="shared" si="115"/>
        <v>9300/0602nd Provisional paid</v>
      </c>
      <c r="N391" s="70"/>
      <c r="P391" s="71"/>
      <c r="Q391" s="51"/>
      <c r="R391" s="31"/>
    </row>
    <row r="392" spans="1:18" x14ac:dyDescent="0.2">
      <c r="A392" s="238"/>
      <c r="B392" s="54" t="s">
        <v>429</v>
      </c>
      <c r="C392" s="240" t="s">
        <v>111</v>
      </c>
      <c r="D392" s="282"/>
      <c r="E392" s="281"/>
      <c r="F392" s="79"/>
      <c r="G392" s="47">
        <f>SUMIF(JournalsC!D$14:D$920,TrialBalanceC!M392,JournalsC!J$14:J$920)+SUMIF(JournalsC!E$14:E$920,TrialBalanceC!M392,JournalsC!J$14:J$920)</f>
        <v>0</v>
      </c>
      <c r="H392" s="288"/>
      <c r="I392" s="291">
        <f t="shared" si="113"/>
        <v>0</v>
      </c>
      <c r="J392" s="75"/>
      <c r="K392" s="48">
        <f t="shared" si="114"/>
        <v>0</v>
      </c>
      <c r="M392" s="140" t="str">
        <f t="shared" si="115"/>
        <v>9300/0703rd Provisional paid</v>
      </c>
      <c r="N392" s="70"/>
      <c r="P392" s="71"/>
      <c r="Q392" s="51"/>
      <c r="R392" s="31"/>
    </row>
    <row r="393" spans="1:18" x14ac:dyDescent="0.2">
      <c r="A393" s="238"/>
      <c r="B393" s="54" t="s">
        <v>430</v>
      </c>
      <c r="C393" s="242" t="s">
        <v>787</v>
      </c>
      <c r="D393" s="282"/>
      <c r="E393" s="281"/>
      <c r="F393" s="79"/>
      <c r="G393" s="47">
        <f>SUMIF(JournalsC!D$14:D$920,TrialBalanceC!M393,JournalsC!J$14:J$920)+SUMIF(JournalsC!E$14:E$920,TrialBalanceC!M393,JournalsC!J$14:J$920)</f>
        <v>0</v>
      </c>
      <c r="H393" s="288"/>
      <c r="I393" s="291">
        <f t="shared" si="113"/>
        <v>0</v>
      </c>
      <c r="J393" s="75"/>
      <c r="K393" s="48">
        <f t="shared" si="114"/>
        <v>0</v>
      </c>
      <c r="M393" s="140" t="str">
        <f t="shared" si="115"/>
        <v>9300/090Dividends tax provision</v>
      </c>
      <c r="N393" s="70"/>
      <c r="P393" s="71"/>
      <c r="Q393" s="51"/>
      <c r="R393" s="31"/>
    </row>
    <row r="394" spans="1:18" x14ac:dyDescent="0.2">
      <c r="A394" s="238"/>
      <c r="B394" s="54" t="s">
        <v>314</v>
      </c>
      <c r="C394" s="242" t="s">
        <v>525</v>
      </c>
      <c r="D394" s="282"/>
      <c r="E394" s="281"/>
      <c r="F394" s="79">
        <f>K394</f>
        <v>0</v>
      </c>
      <c r="G394" s="47">
        <f>SUMIF(JournalsC!D$14:D$920,TrialBalanceC!M394,JournalsC!J$14:J$920)+SUMIF(JournalsC!E$14:E$920,TrialBalanceC!M394,JournalsC!J$14:J$920)</f>
        <v>0</v>
      </c>
      <c r="H394" s="288"/>
      <c r="I394" s="291">
        <f t="shared" si="113"/>
        <v>0</v>
      </c>
      <c r="J394" s="75"/>
      <c r="K394" s="48">
        <f t="shared" si="114"/>
        <v>0</v>
      </c>
      <c r="M394" s="140" t="str">
        <f t="shared" si="115"/>
        <v>9350/000Dividends payable</v>
      </c>
      <c r="N394" s="70"/>
      <c r="P394" s="71"/>
      <c r="Q394" s="51"/>
      <c r="R394" s="31"/>
    </row>
    <row r="395" spans="1:18" x14ac:dyDescent="0.2">
      <c r="A395" s="238"/>
      <c r="B395" s="54" t="s">
        <v>315</v>
      </c>
      <c r="C395" s="242" t="s">
        <v>526</v>
      </c>
      <c r="D395" s="282"/>
      <c r="E395" s="281"/>
      <c r="F395" s="79">
        <f>K395</f>
        <v>0</v>
      </c>
      <c r="G395" s="47">
        <f>SUMIF(JournalsC!D$14:D$920,TrialBalanceC!M395,JournalsC!J$14:J$920)+SUMIF(JournalsC!E$14:E$920,TrialBalanceC!M395,JournalsC!J$14:J$920)</f>
        <v>0</v>
      </c>
      <c r="H395" s="288"/>
      <c r="I395" s="291">
        <f t="shared" si="113"/>
        <v>0</v>
      </c>
      <c r="J395" s="75"/>
      <c r="K395" s="48">
        <f t="shared" si="114"/>
        <v>0</v>
      </c>
      <c r="M395" s="140" t="str">
        <f t="shared" si="115"/>
        <v>9400/000Provision for future expenses</v>
      </c>
      <c r="N395" s="70"/>
      <c r="P395" s="71"/>
      <c r="Q395" s="51"/>
      <c r="R395" s="31"/>
    </row>
    <row r="396" spans="1:18" x14ac:dyDescent="0.2">
      <c r="A396" s="238"/>
      <c r="B396" s="54" t="s">
        <v>316</v>
      </c>
      <c r="C396" s="242" t="s">
        <v>527</v>
      </c>
      <c r="D396" s="282"/>
      <c r="E396" s="281"/>
      <c r="F396" s="79">
        <f>K396</f>
        <v>0</v>
      </c>
      <c r="G396" s="47">
        <f>SUMIF(JournalsC!D$14:D$920,TrialBalanceC!M396,JournalsC!J$14:J$920)+SUMIF(JournalsC!E$14:E$920,TrialBalanceC!M396,JournalsC!J$14:J$920)</f>
        <v>0</v>
      </c>
      <c r="H396" s="288"/>
      <c r="I396" s="291">
        <f t="shared" si="113"/>
        <v>0</v>
      </c>
      <c r="J396" s="75"/>
      <c r="K396" s="48">
        <f t="shared" si="114"/>
        <v>0</v>
      </c>
      <c r="M396" s="140" t="str">
        <f t="shared" si="115"/>
        <v>9400/010Provision for insurance</v>
      </c>
      <c r="N396" s="70"/>
      <c r="P396" s="71"/>
      <c r="Q396" s="51"/>
      <c r="R396" s="31"/>
    </row>
    <row r="397" spans="1:18" x14ac:dyDescent="0.2">
      <c r="A397" s="238"/>
      <c r="B397" s="54" t="s">
        <v>317</v>
      </c>
      <c r="C397" s="242" t="s">
        <v>528</v>
      </c>
      <c r="D397" s="282"/>
      <c r="E397" s="281"/>
      <c r="F397" s="79">
        <f>K397</f>
        <v>0</v>
      </c>
      <c r="G397" s="47">
        <f>SUMIF(JournalsC!D$14:D$920,TrialBalanceC!M397,JournalsC!J$14:J$920)+SUMIF(JournalsC!E$14:E$920,TrialBalanceC!M397,JournalsC!J$14:J$920)</f>
        <v>0</v>
      </c>
      <c r="H397" s="288"/>
      <c r="I397" s="291">
        <f t="shared" si="113"/>
        <v>0</v>
      </c>
      <c r="J397" s="75"/>
      <c r="K397" s="48">
        <f t="shared" si="114"/>
        <v>0</v>
      </c>
      <c r="M397" s="140" t="str">
        <f t="shared" si="115"/>
        <v>9400/020Provision for salary bonus</v>
      </c>
      <c r="N397" s="70"/>
      <c r="P397" s="71"/>
      <c r="Q397" s="51"/>
      <c r="R397" s="31"/>
    </row>
    <row r="398" spans="1:18" x14ac:dyDescent="0.2">
      <c r="A398" s="238"/>
      <c r="B398" s="54" t="s">
        <v>318</v>
      </c>
      <c r="C398" s="239" t="s">
        <v>319</v>
      </c>
      <c r="D398" s="283"/>
      <c r="E398" s="281"/>
      <c r="F398" s="79"/>
      <c r="G398" s="47">
        <f>SUMIF(JournalsC!D$14:D$920,TrialBalanceC!M398,JournalsC!J$14:J$920)+SUMIF(JournalsC!E$14:E$920,TrialBalanceC!M398,JournalsC!J$14:J$920)</f>
        <v>0</v>
      </c>
      <c r="H398" s="288"/>
      <c r="I398" s="291">
        <f t="shared" si="113"/>
        <v>0</v>
      </c>
      <c r="J398" s="75"/>
      <c r="K398" s="48">
        <f t="shared" si="114"/>
        <v>0</v>
      </c>
      <c r="M398" s="140" t="str">
        <f t="shared" si="115"/>
        <v>9500/000VALUE ADDED TAX</v>
      </c>
      <c r="N398" s="70"/>
      <c r="P398" s="71"/>
      <c r="Q398" s="51"/>
      <c r="R398" s="31"/>
    </row>
    <row r="399" spans="1:18" x14ac:dyDescent="0.2">
      <c r="A399" s="238"/>
      <c r="B399" s="54" t="s">
        <v>320</v>
      </c>
      <c r="C399" s="240" t="s">
        <v>321</v>
      </c>
      <c r="D399" s="282"/>
      <c r="E399" s="281"/>
      <c r="F399" s="79">
        <f>K399</f>
        <v>0</v>
      </c>
      <c r="G399" s="47">
        <f>SUMIF(JournalsC!D$14:D$920,TrialBalanceC!M399,JournalsC!J$14:J$920)+SUMIF(JournalsC!E$14:E$920,TrialBalanceC!M399,JournalsC!J$14:J$920)</f>
        <v>0</v>
      </c>
      <c r="H399" s="288"/>
      <c r="I399" s="291">
        <f t="shared" si="113"/>
        <v>0</v>
      </c>
      <c r="J399" s="75"/>
      <c r="K399" s="48">
        <f t="shared" si="114"/>
        <v>0</v>
      </c>
      <c r="M399" s="140" t="str">
        <f t="shared" si="115"/>
        <v>9501/000VAT account</v>
      </c>
      <c r="N399" s="70"/>
      <c r="P399" s="71"/>
      <c r="Q399" s="51"/>
      <c r="R399" s="31"/>
    </row>
    <row r="400" spans="1:18" x14ac:dyDescent="0.2">
      <c r="A400" s="238"/>
      <c r="B400" s="54" t="s">
        <v>322</v>
      </c>
      <c r="C400" s="240" t="s">
        <v>27</v>
      </c>
      <c r="D400" s="282"/>
      <c r="E400" s="281"/>
      <c r="F400" s="79"/>
      <c r="G400" s="47">
        <f>SUMIF(JournalsC!D$14:D$920,TrialBalanceC!M400,JournalsC!J$14:J$920)+SUMIF(JournalsC!E$14:E$920,TrialBalanceC!M400,JournalsC!J$14:J$920)</f>
        <v>0</v>
      </c>
      <c r="H400" s="288"/>
      <c r="I400" s="291">
        <f t="shared" si="113"/>
        <v>0</v>
      </c>
      <c r="J400" s="75"/>
      <c r="K400" s="48">
        <f t="shared" si="114"/>
        <v>0</v>
      </c>
      <c r="M400" s="140" t="str">
        <f t="shared" si="115"/>
        <v>9510/000----------------------------------------</v>
      </c>
      <c r="N400" s="70"/>
      <c r="P400" s="71"/>
      <c r="Q400" s="51"/>
      <c r="R400" s="31"/>
    </row>
    <row r="401" spans="1:18" x14ac:dyDescent="0.2">
      <c r="A401" s="238"/>
      <c r="B401" s="54" t="s">
        <v>323</v>
      </c>
      <c r="C401" s="239" t="s">
        <v>758</v>
      </c>
      <c r="D401" s="283"/>
      <c r="E401" s="281"/>
      <c r="F401" s="79">
        <f>K401</f>
        <v>0</v>
      </c>
      <c r="G401" s="47">
        <f>SUMIF(JournalsC!D$14:D$920,TrialBalanceC!M401,JournalsC!J$14:J$920)+SUMIF(JournalsC!E$14:E$920,TrialBalanceC!M401,JournalsC!J$14:J$920)</f>
        <v>0</v>
      </c>
      <c r="H401" s="288"/>
      <c r="I401" s="291">
        <f t="shared" si="113"/>
        <v>0</v>
      </c>
      <c r="J401" s="75"/>
      <c r="K401" s="48">
        <f t="shared" si="114"/>
        <v>0</v>
      </c>
      <c r="M401" s="140" t="str">
        <f t="shared" si="115"/>
        <v>9990/000Suspense account</v>
      </c>
      <c r="N401" s="70"/>
      <c r="P401" s="71"/>
      <c r="Q401" s="51"/>
      <c r="R401" s="31"/>
    </row>
    <row r="402" spans="1:18" x14ac:dyDescent="0.2">
      <c r="A402" s="238"/>
      <c r="B402" s="54"/>
      <c r="C402" s="54"/>
      <c r="D402" s="282"/>
      <c r="E402" s="272"/>
      <c r="F402" s="79"/>
      <c r="G402" s="47"/>
      <c r="H402" s="288"/>
      <c r="I402" s="291"/>
      <c r="J402" s="75"/>
      <c r="K402" s="48"/>
      <c r="M402" s="140"/>
      <c r="N402" s="70"/>
      <c r="P402" s="71"/>
      <c r="Q402" s="51"/>
      <c r="R402" s="31"/>
    </row>
    <row r="403" spans="1:18" x14ac:dyDescent="0.2">
      <c r="A403" s="238"/>
      <c r="B403" s="54" t="s">
        <v>212</v>
      </c>
      <c r="C403" s="55" t="s">
        <v>212</v>
      </c>
      <c r="D403" s="263"/>
      <c r="E403" s="263"/>
      <c r="F403" s="82"/>
      <c r="G403" s="47"/>
      <c r="H403" s="288"/>
      <c r="I403" s="291"/>
      <c r="J403" s="75"/>
      <c r="K403" s="48"/>
      <c r="M403" s="140">
        <v>0</v>
      </c>
      <c r="N403" s="70"/>
      <c r="P403" s="73"/>
      <c r="Q403" s="73"/>
      <c r="R403" s="31"/>
    </row>
    <row r="404" spans="1:18" ht="13.5" thickBot="1" x14ac:dyDescent="0.25">
      <c r="A404" s="41">
        <f>SUM(A5:A403)</f>
        <v>0</v>
      </c>
      <c r="B404" s="54" t="s">
        <v>212</v>
      </c>
      <c r="C404" s="55" t="s">
        <v>212</v>
      </c>
      <c r="D404" s="41">
        <f>SUM(D5:D403)</f>
        <v>0</v>
      </c>
      <c r="E404" s="41">
        <f>SUM(E5:E403)</f>
        <v>0</v>
      </c>
      <c r="F404" s="41">
        <f>SUM(F5:F403)</f>
        <v>0</v>
      </c>
      <c r="G404" s="41">
        <f>SUM(G5:G403)</f>
        <v>0</v>
      </c>
      <c r="H404" s="41"/>
      <c r="I404" s="41">
        <f>SUM(I5:I403)</f>
        <v>0</v>
      </c>
      <c r="J404" s="41"/>
      <c r="K404" s="41">
        <f>SUM(K5:K403)</f>
        <v>0</v>
      </c>
      <c r="M404" s="140">
        <v>0</v>
      </c>
      <c r="N404" s="74"/>
      <c r="O404" s="74"/>
      <c r="P404" s="74"/>
      <c r="Q404" s="74"/>
      <c r="R404" s="74"/>
    </row>
    <row r="405" spans="1:18" ht="13.5" thickTop="1" x14ac:dyDescent="0.2">
      <c r="A405" s="38"/>
      <c r="B405" s="42"/>
      <c r="C405" s="45"/>
      <c r="D405" s="39"/>
      <c r="E405" s="39"/>
      <c r="F405" s="39"/>
      <c r="G405" s="39"/>
      <c r="H405" s="39"/>
      <c r="I405" s="59"/>
      <c r="J405" s="59"/>
      <c r="K405" s="38"/>
      <c r="M405" s="140"/>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c r="Q411" s="39"/>
    </row>
    <row r="412" spans="1:18" x14ac:dyDescent="0.2">
      <c r="A412" s="38"/>
      <c r="B412" s="42"/>
      <c r="C412" s="45"/>
      <c r="D412" s="39"/>
      <c r="E412" s="39"/>
      <c r="F412" s="39"/>
      <c r="G412" s="39"/>
      <c r="H412" s="39"/>
      <c r="K412" s="42"/>
      <c r="P412" s="39" t="s">
        <v>88</v>
      </c>
      <c r="Q412" s="39" t="s">
        <v>88</v>
      </c>
    </row>
    <row r="413" spans="1:18" x14ac:dyDescent="0.2">
      <c r="A413" s="38"/>
      <c r="B413" s="42"/>
      <c r="C413" s="45"/>
      <c r="D413" s="39"/>
      <c r="E413" s="39"/>
      <c r="F413" s="39"/>
      <c r="G413" s="39"/>
      <c r="H413" s="39"/>
      <c r="K413" s="42"/>
      <c r="P413" s="39" t="s">
        <v>88</v>
      </c>
      <c r="Q413" s="39" t="s">
        <v>88</v>
      </c>
    </row>
    <row r="414" spans="1:18" x14ac:dyDescent="0.2">
      <c r="A414" s="38"/>
      <c r="B414" s="42"/>
      <c r="C414" s="45"/>
      <c r="D414" s="39"/>
      <c r="E414" s="39"/>
      <c r="F414" s="39"/>
      <c r="G414" s="39"/>
      <c r="H414" s="39"/>
      <c r="K414" s="42"/>
      <c r="P414" s="39" t="s">
        <v>88</v>
      </c>
      <c r="Q414" s="39" t="s">
        <v>88</v>
      </c>
    </row>
    <row r="415" spans="1:18" x14ac:dyDescent="0.2">
      <c r="A415" s="38"/>
      <c r="B415" s="42"/>
      <c r="C415" s="45"/>
      <c r="D415" s="39"/>
      <c r="E415" s="39"/>
      <c r="F415" s="39"/>
      <c r="G415" s="39"/>
      <c r="H415" s="39"/>
      <c r="K415" s="42"/>
      <c r="P415" s="39" t="s">
        <v>88</v>
      </c>
      <c r="Q415" s="39" t="s">
        <v>88</v>
      </c>
    </row>
    <row r="416" spans="1:18" x14ac:dyDescent="0.2">
      <c r="A416" s="38"/>
      <c r="B416" s="42"/>
      <c r="C416" s="45"/>
      <c r="D416" s="39"/>
      <c r="E416" s="39"/>
      <c r="F416" s="39"/>
      <c r="G416" s="39"/>
      <c r="H416" s="39"/>
      <c r="K416" s="42"/>
      <c r="P416" s="39" t="s">
        <v>88</v>
      </c>
      <c r="Q416" s="39" t="s">
        <v>88</v>
      </c>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D430" s="39"/>
      <c r="E430" s="39"/>
      <c r="F430" s="39"/>
      <c r="G430" s="39"/>
      <c r="H430" s="39"/>
      <c r="K430" s="42"/>
      <c r="P430" s="39"/>
      <c r="Q430" s="39"/>
    </row>
    <row r="431" spans="1:17" x14ac:dyDescent="0.2">
      <c r="A431" s="38"/>
      <c r="B431" s="42"/>
      <c r="C431" s="45"/>
      <c r="G431" s="39"/>
      <c r="H431" s="39"/>
      <c r="K431" s="42"/>
      <c r="P431" s="39"/>
      <c r="Q431" s="39"/>
    </row>
    <row r="432" spans="1:17" x14ac:dyDescent="0.2">
      <c r="P432" s="13"/>
      <c r="Q432" s="13"/>
    </row>
  </sheetData>
  <sheetProtection algorithmName="SHA-512" hashValue="isXPDl+eALlvR/zfaz77f2J9KjmRfdCbh0Es6AcGDFuIaxqotMa11Yh6nUCUKNdy7M5NyndQlYVne7zEBghNlQ==" saltValue="vz047Hs0h2/MFzNlMR0fkA=="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0742B81-144C-4A73-8AF6-CB1A09B7A7C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2025</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Q2947"/>
  <sheetViews>
    <sheetView view="pageBreakPreview" zoomScale="60" zoomScaleNormal="100" workbookViewId="0">
      <selection activeCell="K2683" sqref="K2683"/>
    </sheetView>
  </sheetViews>
  <sheetFormatPr defaultRowHeight="31.5" x14ac:dyDescent="0.45"/>
  <cols>
    <col min="1" max="1" width="4.28515625" style="345" customWidth="1"/>
    <col min="2" max="2" width="6.140625" style="345" customWidth="1"/>
    <col min="3" max="3" width="9.7109375" style="345" customWidth="1"/>
    <col min="4" max="4" width="10.28515625" style="345" customWidth="1"/>
    <col min="5" max="5" width="9.7109375" style="345" customWidth="1"/>
    <col min="6" max="6" width="5.140625" style="345" customWidth="1"/>
    <col min="7" max="7" width="17.5703125" style="345" customWidth="1"/>
    <col min="8" max="8" width="21.85546875" style="345" customWidth="1"/>
    <col min="9" max="9" width="4.85546875" style="345" customWidth="1"/>
    <col min="10" max="11" width="22" style="345" customWidth="1"/>
    <col min="12" max="12" width="3.28515625" style="345" customWidth="1"/>
    <col min="13" max="13" width="26.5703125" style="346" customWidth="1"/>
    <col min="14" max="14" width="3.7109375" style="347" customWidth="1"/>
    <col min="15" max="15" width="26.5703125" style="346" customWidth="1"/>
    <col min="16" max="16" width="3.42578125" style="347" customWidth="1"/>
    <col min="17" max="17" width="6.5703125" style="345" customWidth="1"/>
    <col min="18" max="18" width="17.42578125" style="348" customWidth="1"/>
    <col min="19" max="19" width="20.85546875" style="331" bestFit="1" customWidth="1"/>
    <col min="20" max="20" width="4.85546875" style="331" customWidth="1"/>
    <col min="21" max="21" width="22.28515625" style="331" customWidth="1"/>
    <col min="22" max="22" width="6.28515625" style="331" customWidth="1"/>
    <col min="23" max="23" width="12" style="331" bestFit="1" customWidth="1"/>
    <col min="24" max="24" width="21.85546875" style="331" bestFit="1" customWidth="1"/>
    <col min="25" max="26" width="8.85546875" style="334" customWidth="1"/>
    <col min="27" max="37" width="9.140625" style="349"/>
    <col min="38" max="43" width="9.140625" style="386"/>
    <col min="44" max="16384" width="9.140625" style="350"/>
  </cols>
  <sheetData>
    <row r="1" spans="1:22" ht="31.5" customHeight="1" x14ac:dyDescent="0.45">
      <c r="U1" s="481" t="s">
        <v>648</v>
      </c>
      <c r="V1" s="481"/>
    </row>
    <row r="2" spans="1:22" ht="31.5" customHeight="1" x14ac:dyDescent="0.45">
      <c r="U2" s="315" t="str">
        <f>IF(COUNTIF(U3:U2947,"FALSE")&gt;0,"NO","YES")</f>
        <v>YES</v>
      </c>
      <c r="V2" s="196"/>
    </row>
    <row r="3" spans="1:22" ht="31.5" customHeight="1" x14ac:dyDescent="0.45"/>
    <row r="4" spans="1:22" ht="31.5" customHeight="1" x14ac:dyDescent="0.45"/>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5">
      <c r="A13" s="450"/>
      <c r="B13" s="450"/>
      <c r="C13" s="450"/>
      <c r="D13" s="450"/>
      <c r="E13" s="450"/>
      <c r="F13" s="450"/>
      <c r="G13" s="450"/>
      <c r="H13" s="450"/>
      <c r="I13" s="450"/>
      <c r="J13" s="450"/>
      <c r="K13" s="450"/>
      <c r="L13" s="450"/>
      <c r="M13" s="451"/>
      <c r="N13" s="451"/>
      <c r="O13" s="451"/>
      <c r="P13" s="451"/>
      <c r="Q13" s="450"/>
    </row>
    <row r="14" spans="1:22" ht="31.5" customHeight="1" x14ac:dyDescent="0.5">
      <c r="A14" s="450"/>
      <c r="B14" s="450"/>
      <c r="C14" s="450"/>
      <c r="D14" s="450"/>
      <c r="E14" s="450"/>
      <c r="F14" s="450"/>
      <c r="G14" s="450"/>
      <c r="H14" s="450"/>
      <c r="I14" s="450"/>
      <c r="J14" s="450"/>
      <c r="K14" s="450"/>
      <c r="L14" s="450"/>
      <c r="M14" s="451"/>
      <c r="N14" s="451"/>
      <c r="O14" s="451"/>
      <c r="P14" s="451"/>
      <c r="Q14" s="450"/>
    </row>
    <row r="15" spans="1:22" ht="36" customHeight="1" x14ac:dyDescent="0.5">
      <c r="A15" s="450"/>
      <c r="B15" s="450"/>
      <c r="C15" s="450"/>
      <c r="D15" s="450"/>
      <c r="E15" s="450"/>
      <c r="F15" s="450"/>
      <c r="G15" s="450"/>
      <c r="H15" s="450"/>
      <c r="I15" s="450"/>
      <c r="J15" s="450"/>
      <c r="K15" s="450"/>
      <c r="L15" s="450"/>
      <c r="M15" s="452"/>
      <c r="N15" s="452"/>
      <c r="O15" s="451"/>
      <c r="P15" s="451"/>
      <c r="Q15" s="450"/>
    </row>
    <row r="16" spans="1:22" ht="36" customHeight="1" x14ac:dyDescent="0.4">
      <c r="A16" s="479" t="str">
        <f>Criteria!E9</f>
        <v>HOLDING COMPANY 268 (PROPRIETARY) LIMITED</v>
      </c>
      <c r="B16" s="479"/>
      <c r="C16" s="479"/>
      <c r="D16" s="479"/>
      <c r="E16" s="479"/>
      <c r="F16" s="479"/>
      <c r="G16" s="479"/>
      <c r="H16" s="479"/>
      <c r="I16" s="479"/>
      <c r="J16" s="479"/>
      <c r="K16" s="479"/>
      <c r="L16" s="479"/>
      <c r="M16" s="479"/>
      <c r="N16" s="479"/>
      <c r="O16" s="479"/>
      <c r="P16" s="479"/>
      <c r="Q16" s="479"/>
    </row>
    <row r="17" spans="1:17" ht="36" customHeight="1" x14ac:dyDescent="0.4">
      <c r="A17" s="434"/>
      <c r="B17" s="434"/>
      <c r="C17" s="434"/>
      <c r="D17" s="434"/>
      <c r="E17" s="434"/>
      <c r="F17" s="455"/>
      <c r="G17" s="455"/>
      <c r="H17" s="455"/>
      <c r="I17" s="455"/>
      <c r="J17" s="455"/>
      <c r="K17" s="455"/>
      <c r="L17" s="455"/>
      <c r="M17" s="455"/>
      <c r="N17" s="442"/>
      <c r="O17" s="435"/>
      <c r="P17" s="435"/>
      <c r="Q17" s="434"/>
    </row>
    <row r="18" spans="1:17" ht="36" customHeight="1" x14ac:dyDescent="0.4">
      <c r="A18" s="479" t="s">
        <v>1135</v>
      </c>
      <c r="B18" s="479"/>
      <c r="C18" s="479"/>
      <c r="D18" s="479"/>
      <c r="E18" s="479"/>
      <c r="F18" s="479"/>
      <c r="G18" s="479"/>
      <c r="H18" s="479"/>
      <c r="I18" s="479"/>
      <c r="J18" s="479"/>
      <c r="K18" s="479"/>
      <c r="L18" s="479"/>
      <c r="M18" s="479"/>
      <c r="N18" s="479"/>
      <c r="O18" s="479"/>
      <c r="P18" s="479"/>
      <c r="Q18" s="479"/>
    </row>
    <row r="19" spans="1:17" ht="36" customHeight="1" x14ac:dyDescent="0.4">
      <c r="A19" s="434"/>
      <c r="B19" s="434"/>
      <c r="C19" s="434"/>
      <c r="D19" s="434"/>
      <c r="E19" s="434"/>
      <c r="F19" s="455"/>
      <c r="G19" s="455"/>
      <c r="H19" s="455"/>
      <c r="I19" s="455"/>
      <c r="J19" s="455"/>
      <c r="K19" s="455"/>
      <c r="L19" s="455"/>
      <c r="M19" s="455"/>
      <c r="N19" s="455"/>
      <c r="O19" s="435"/>
      <c r="P19" s="435"/>
      <c r="Q19" s="434"/>
    </row>
    <row r="20" spans="1:17" ht="36" customHeight="1" x14ac:dyDescent="0.4">
      <c r="A20" s="479" t="str">
        <f>Criteria!E20</f>
        <v>28 FEBRUARY 2025</v>
      </c>
      <c r="B20" s="479"/>
      <c r="C20" s="479"/>
      <c r="D20" s="479"/>
      <c r="E20" s="479"/>
      <c r="F20" s="479"/>
      <c r="G20" s="479"/>
      <c r="H20" s="479"/>
      <c r="I20" s="479"/>
      <c r="J20" s="479"/>
      <c r="K20" s="479"/>
      <c r="L20" s="479"/>
      <c r="M20" s="479"/>
      <c r="N20" s="479"/>
      <c r="O20" s="479"/>
      <c r="P20" s="479"/>
      <c r="Q20" s="479"/>
    </row>
    <row r="21" spans="1:17" ht="36" customHeight="1" x14ac:dyDescent="0.5">
      <c r="A21" s="450"/>
      <c r="B21" s="450"/>
      <c r="C21" s="450"/>
      <c r="D21" s="450"/>
      <c r="E21" s="450"/>
      <c r="F21" s="450"/>
      <c r="G21" s="450"/>
      <c r="H21" s="450"/>
      <c r="I21" s="450"/>
      <c r="J21" s="450"/>
      <c r="K21" s="450"/>
      <c r="L21" s="450"/>
      <c r="M21" s="452"/>
      <c r="N21" s="452"/>
      <c r="O21" s="451"/>
      <c r="P21" s="451"/>
      <c r="Q21" s="450"/>
    </row>
    <row r="22" spans="1:17" ht="31.5" customHeight="1" x14ac:dyDescent="0.5">
      <c r="A22" s="450"/>
      <c r="B22" s="450"/>
      <c r="C22" s="450"/>
      <c r="D22" s="450"/>
      <c r="E22" s="450"/>
      <c r="F22" s="450"/>
      <c r="G22" s="450"/>
      <c r="H22" s="450"/>
      <c r="I22" s="450"/>
      <c r="J22" s="450"/>
      <c r="K22" s="450"/>
      <c r="L22" s="450"/>
      <c r="M22" s="451"/>
      <c r="N22" s="451"/>
      <c r="O22" s="451"/>
      <c r="P22" s="451"/>
      <c r="Q22" s="450"/>
    </row>
    <row r="23" spans="1:17" ht="31.5" customHeight="1" x14ac:dyDescent="0.5">
      <c r="A23" s="450"/>
      <c r="B23" s="450"/>
      <c r="C23" s="450"/>
      <c r="D23" s="450"/>
      <c r="E23" s="450"/>
      <c r="F23" s="450"/>
      <c r="G23" s="450"/>
      <c r="H23" s="450"/>
      <c r="I23" s="450"/>
      <c r="J23" s="450"/>
      <c r="K23" s="450"/>
      <c r="L23" s="450"/>
      <c r="M23" s="451"/>
      <c r="N23" s="451"/>
      <c r="O23" s="451"/>
      <c r="P23" s="451"/>
      <c r="Q23" s="450"/>
    </row>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33" t="str">
        <f>Criteria!E9</f>
        <v>HOLDING COMPANY 268 (PROPRIETARY) LIMITED</v>
      </c>
      <c r="E57" s="434"/>
      <c r="F57" s="434"/>
      <c r="G57" s="434"/>
      <c r="H57" s="434"/>
      <c r="I57" s="434"/>
      <c r="J57" s="434"/>
      <c r="K57" s="434"/>
      <c r="L57" s="434"/>
      <c r="M57" s="435"/>
      <c r="N57" s="435"/>
      <c r="O57" s="435"/>
      <c r="P57" s="435"/>
      <c r="Q57" s="434"/>
    </row>
    <row r="58" spans="4:18" ht="36" customHeight="1" x14ac:dyDescent="0.45">
      <c r="D58" s="433" t="str">
        <f>Criteria!E10</f>
        <v>CONSOLIDATED FINANCIAL STATEMENTS</v>
      </c>
      <c r="E58" s="434"/>
      <c r="F58" s="434"/>
      <c r="G58" s="434"/>
      <c r="H58" s="434"/>
      <c r="I58" s="434"/>
      <c r="J58" s="434"/>
      <c r="K58" s="434"/>
      <c r="L58" s="434"/>
      <c r="M58" s="435"/>
      <c r="N58" s="435"/>
      <c r="O58" s="435"/>
      <c r="P58" s="435"/>
      <c r="Q58" s="434"/>
      <c r="R58" s="348" t="str">
        <f>IF(D58=0,"DELETE"," ")</f>
        <v xml:space="preserve"> </v>
      </c>
    </row>
    <row r="59" spans="4:18" ht="36" customHeight="1" x14ac:dyDescent="0.45">
      <c r="D59" s="433" t="str">
        <f>Criteria!E18</f>
        <v>2000/123456/07</v>
      </c>
      <c r="E59" s="434"/>
      <c r="F59" s="434"/>
      <c r="G59" s="434"/>
      <c r="H59" s="434"/>
      <c r="I59" s="434"/>
      <c r="J59" s="434"/>
      <c r="K59" s="434"/>
      <c r="L59" s="434"/>
      <c r="M59" s="435"/>
      <c r="N59" s="435"/>
      <c r="O59" s="435"/>
      <c r="P59" s="435"/>
      <c r="Q59" s="434"/>
    </row>
    <row r="60" spans="4:18" ht="36" customHeight="1" x14ac:dyDescent="0.45">
      <c r="D60" s="433"/>
      <c r="E60" s="434"/>
      <c r="F60" s="434"/>
      <c r="G60" s="434"/>
      <c r="H60" s="434"/>
      <c r="I60" s="434"/>
      <c r="J60" s="434"/>
      <c r="K60" s="434"/>
      <c r="L60" s="434"/>
      <c r="M60" s="435"/>
      <c r="N60" s="435"/>
      <c r="O60" s="435"/>
      <c r="P60" s="435"/>
      <c r="Q60" s="434"/>
    </row>
    <row r="61" spans="4:18" ht="36" customHeight="1" x14ac:dyDescent="0.45">
      <c r="D61" s="433" t="s">
        <v>825</v>
      </c>
      <c r="E61" s="434"/>
      <c r="F61" s="434"/>
      <c r="G61" s="434"/>
      <c r="H61" s="434"/>
      <c r="I61" s="434"/>
      <c r="J61" s="434"/>
      <c r="K61" s="434"/>
      <c r="L61" s="434"/>
      <c r="M61" s="435"/>
      <c r="N61" s="435"/>
      <c r="O61" s="435"/>
      <c r="P61" s="435"/>
      <c r="Q61" s="434"/>
    </row>
    <row r="62" spans="4:18" ht="36" customHeight="1" x14ac:dyDescent="0.45">
      <c r="D62" s="433" t="str">
        <f>Criteria!E20</f>
        <v>28 FEBRUARY 2025</v>
      </c>
      <c r="E62" s="434"/>
      <c r="F62" s="434"/>
      <c r="G62" s="434"/>
      <c r="H62" s="434"/>
      <c r="I62" s="434"/>
      <c r="J62" s="434"/>
      <c r="K62" s="434"/>
      <c r="L62" s="434"/>
      <c r="M62" s="435"/>
      <c r="N62" s="435"/>
      <c r="O62" s="435"/>
      <c r="P62" s="435"/>
      <c r="Q62" s="434"/>
    </row>
    <row r="63" spans="4:18" ht="36" customHeight="1" x14ac:dyDescent="0.45">
      <c r="D63" s="434"/>
      <c r="E63" s="434"/>
      <c r="F63" s="434"/>
      <c r="G63" s="434"/>
      <c r="H63" s="434"/>
      <c r="I63" s="434"/>
      <c r="J63" s="434"/>
      <c r="K63" s="434"/>
      <c r="L63" s="434"/>
      <c r="M63" s="435"/>
      <c r="N63" s="435"/>
      <c r="O63" s="435"/>
      <c r="P63" s="435"/>
      <c r="Q63" s="434"/>
    </row>
    <row r="64" spans="4:18" ht="36" customHeight="1" x14ac:dyDescent="0.45">
      <c r="D64" s="434" t="s">
        <v>831</v>
      </c>
      <c r="E64" s="434"/>
      <c r="F64" s="434"/>
      <c r="G64" s="434"/>
      <c r="H64" s="434"/>
      <c r="I64" s="434"/>
      <c r="J64" s="434"/>
      <c r="K64" s="434"/>
      <c r="L64" s="434"/>
      <c r="M64" s="435"/>
      <c r="N64" s="435"/>
      <c r="O64" s="435"/>
      <c r="P64" s="435"/>
      <c r="Q64" s="434"/>
    </row>
    <row r="65" spans="4:17" ht="36" customHeight="1" x14ac:dyDescent="0.45">
      <c r="D65" s="434" t="str">
        <f>IF(MAX(Criteria!H51:H55)=1,"Statements presented to the Shareholder:","Statements presented to the Shareholders:")</f>
        <v>Statements presented to the Shareholders:</v>
      </c>
      <c r="E65" s="434"/>
      <c r="F65" s="434"/>
      <c r="G65" s="434"/>
      <c r="H65" s="434"/>
      <c r="I65" s="434"/>
      <c r="J65" s="434"/>
      <c r="K65" s="434"/>
      <c r="L65" s="434"/>
      <c r="M65" s="435"/>
      <c r="N65" s="435"/>
      <c r="O65" s="435"/>
      <c r="P65" s="435"/>
      <c r="Q65" s="434"/>
    </row>
    <row r="66" spans="4:17" ht="36" customHeight="1" x14ac:dyDescent="0.45">
      <c r="D66" s="434"/>
      <c r="E66" s="434"/>
      <c r="F66" s="434"/>
      <c r="G66" s="434"/>
      <c r="H66" s="434"/>
      <c r="I66" s="434"/>
      <c r="J66" s="434"/>
      <c r="K66" s="434"/>
      <c r="L66" s="434"/>
      <c r="M66" s="435"/>
      <c r="N66" s="435"/>
      <c r="O66" s="435"/>
      <c r="P66" s="435"/>
      <c r="Q66" s="434"/>
    </row>
    <row r="67" spans="4:17" ht="36" customHeight="1" x14ac:dyDescent="0.45">
      <c r="D67" s="433" t="s">
        <v>1026</v>
      </c>
      <c r="E67" s="434"/>
      <c r="F67" s="434"/>
      <c r="G67" s="434"/>
      <c r="H67" s="434"/>
      <c r="I67" s="434"/>
      <c r="J67" s="434"/>
      <c r="K67" s="434"/>
      <c r="L67" s="434"/>
      <c r="M67" s="435"/>
      <c r="N67" s="436"/>
      <c r="O67" s="436" t="s">
        <v>1027</v>
      </c>
      <c r="P67" s="435"/>
      <c r="Q67" s="434"/>
    </row>
    <row r="68" spans="4:17" ht="36" customHeight="1" x14ac:dyDescent="0.45">
      <c r="D68" s="434"/>
      <c r="E68" s="434"/>
      <c r="F68" s="434"/>
      <c r="G68" s="434"/>
      <c r="H68" s="434"/>
      <c r="I68" s="434"/>
      <c r="J68" s="434"/>
      <c r="K68" s="434"/>
      <c r="L68" s="434"/>
      <c r="M68" s="435"/>
      <c r="N68" s="435"/>
      <c r="O68" s="435"/>
      <c r="P68" s="435"/>
      <c r="Q68" s="434"/>
    </row>
    <row r="69" spans="4:17" ht="36" customHeight="1" x14ac:dyDescent="0.45">
      <c r="D69" s="434" t="s">
        <v>1028</v>
      </c>
      <c r="E69" s="434"/>
      <c r="F69" s="434"/>
      <c r="G69" s="434"/>
      <c r="H69" s="434"/>
      <c r="I69" s="434"/>
      <c r="J69" s="434"/>
      <c r="K69" s="434"/>
      <c r="L69" s="434"/>
      <c r="M69" s="435"/>
      <c r="N69" s="437"/>
      <c r="O69" s="437">
        <f>Q105</f>
        <v>1</v>
      </c>
      <c r="P69" s="435"/>
      <c r="Q69" s="434"/>
    </row>
    <row r="70" spans="4:17" ht="36" customHeight="1" x14ac:dyDescent="0.45">
      <c r="D70" s="434"/>
      <c r="E70" s="434"/>
      <c r="F70" s="434"/>
      <c r="G70" s="434"/>
      <c r="H70" s="434"/>
      <c r="I70" s="434"/>
      <c r="J70" s="434"/>
      <c r="K70" s="434"/>
      <c r="L70" s="434"/>
      <c r="M70" s="435"/>
      <c r="N70" s="437"/>
      <c r="O70" s="437"/>
      <c r="P70" s="435"/>
      <c r="Q70" s="434"/>
    </row>
    <row r="71" spans="4:17" ht="36" customHeight="1" x14ac:dyDescent="0.45">
      <c r="D71" s="434" t="s">
        <v>1029</v>
      </c>
      <c r="E71" s="434"/>
      <c r="F71" s="434"/>
      <c r="G71" s="434"/>
      <c r="H71" s="434"/>
      <c r="I71" s="434"/>
      <c r="J71" s="434"/>
      <c r="K71" s="434"/>
      <c r="L71" s="434"/>
      <c r="M71" s="435"/>
      <c r="N71" s="437"/>
      <c r="O71" s="437" t="str">
        <f>CONCATENATE(Q157," - ",MAX($Q$105:Q252))</f>
        <v>2 - 3</v>
      </c>
      <c r="P71" s="435"/>
      <c r="Q71" s="434"/>
    </row>
    <row r="72" spans="4:17" ht="36" customHeight="1" x14ac:dyDescent="0.45">
      <c r="D72" s="434"/>
      <c r="E72" s="434"/>
      <c r="F72" s="434"/>
      <c r="G72" s="434"/>
      <c r="H72" s="434"/>
      <c r="I72" s="434"/>
      <c r="J72" s="434"/>
      <c r="K72" s="434"/>
      <c r="L72" s="434"/>
      <c r="M72" s="435"/>
      <c r="N72" s="437"/>
      <c r="O72" s="437"/>
      <c r="P72" s="435"/>
      <c r="Q72" s="434"/>
    </row>
    <row r="73" spans="4:17" ht="36" customHeight="1" x14ac:dyDescent="0.45">
      <c r="D73" s="434" t="str">
        <f>IF(MAX(Criteria!I38:I42)&gt;1,"Directors' report","Director's report")</f>
        <v>Directors' report</v>
      </c>
      <c r="E73" s="434"/>
      <c r="F73" s="434"/>
      <c r="G73" s="434"/>
      <c r="H73" s="434"/>
      <c r="I73" s="434"/>
      <c r="J73" s="434"/>
      <c r="K73" s="434"/>
      <c r="L73" s="434"/>
      <c r="M73" s="435"/>
      <c r="N73" s="437"/>
      <c r="O73" s="437" t="str">
        <f>CONCATENATE(Q253," -  ",MAX(Q253:Q410))</f>
        <v>4 -  8</v>
      </c>
      <c r="P73" s="435"/>
      <c r="Q73" s="434"/>
    </row>
    <row r="74" spans="4:17" ht="36" customHeight="1" x14ac:dyDescent="0.45">
      <c r="D74" s="434"/>
      <c r="E74" s="434"/>
      <c r="F74" s="434"/>
      <c r="G74" s="434"/>
      <c r="H74" s="434"/>
      <c r="I74" s="434"/>
      <c r="J74" s="434"/>
      <c r="K74" s="434"/>
      <c r="L74" s="434"/>
      <c r="M74" s="435"/>
      <c r="N74" s="437"/>
      <c r="O74" s="437"/>
      <c r="P74" s="435"/>
      <c r="Q74" s="434"/>
    </row>
    <row r="75" spans="4:17" ht="36" customHeight="1" x14ac:dyDescent="0.45">
      <c r="D75" s="434" t="s">
        <v>1030</v>
      </c>
      <c r="E75" s="434"/>
      <c r="F75" s="434"/>
      <c r="G75" s="434"/>
      <c r="H75" s="434"/>
      <c r="I75" s="434"/>
      <c r="J75" s="434"/>
      <c r="K75" s="434"/>
      <c r="L75" s="434"/>
      <c r="M75" s="435"/>
      <c r="N75" s="437"/>
      <c r="O75" s="437">
        <f>Q411</f>
        <v>9</v>
      </c>
      <c r="P75" s="435"/>
      <c r="Q75" s="434"/>
    </row>
    <row r="76" spans="4:17" ht="36" customHeight="1" x14ac:dyDescent="0.45">
      <c r="D76" s="434"/>
      <c r="E76" s="434"/>
      <c r="F76" s="434"/>
      <c r="G76" s="434"/>
      <c r="H76" s="434"/>
      <c r="I76" s="434"/>
      <c r="J76" s="434"/>
      <c r="K76" s="434"/>
      <c r="L76" s="434"/>
      <c r="M76" s="435"/>
      <c r="N76" s="437"/>
      <c r="O76" s="437"/>
      <c r="P76" s="435"/>
      <c r="Q76" s="434"/>
    </row>
    <row r="77" spans="4:17" ht="36" customHeight="1" x14ac:dyDescent="0.45">
      <c r="D77" s="434" t="s">
        <v>1031</v>
      </c>
      <c r="E77" s="434"/>
      <c r="F77" s="434"/>
      <c r="G77" s="434"/>
      <c r="H77" s="434"/>
      <c r="I77" s="434"/>
      <c r="J77" s="434"/>
      <c r="K77" s="434"/>
      <c r="L77" s="434"/>
      <c r="M77" s="435"/>
      <c r="N77" s="437"/>
      <c r="O77" s="437">
        <f>Q464</f>
        <v>10</v>
      </c>
      <c r="P77" s="435"/>
      <c r="Q77" s="434"/>
    </row>
    <row r="78" spans="4:17" ht="36" customHeight="1" x14ac:dyDescent="0.45">
      <c r="D78" s="434"/>
      <c r="E78" s="434"/>
      <c r="F78" s="434"/>
      <c r="G78" s="434"/>
      <c r="H78" s="434"/>
      <c r="I78" s="434"/>
      <c r="J78" s="434"/>
      <c r="K78" s="434"/>
      <c r="L78" s="434"/>
      <c r="M78" s="435"/>
      <c r="N78" s="437"/>
      <c r="O78" s="437"/>
      <c r="P78" s="435"/>
      <c r="Q78" s="434"/>
    </row>
    <row r="79" spans="4:17" ht="36" customHeight="1" x14ac:dyDescent="0.45">
      <c r="D79" s="434" t="s">
        <v>1032</v>
      </c>
      <c r="E79" s="434"/>
      <c r="F79" s="434"/>
      <c r="G79" s="434"/>
      <c r="H79" s="434"/>
      <c r="I79" s="434"/>
      <c r="J79" s="434"/>
      <c r="K79" s="434"/>
      <c r="L79" s="434"/>
      <c r="M79" s="435"/>
      <c r="N79" s="437"/>
      <c r="O79" s="437">
        <f>Q539</f>
        <v>11</v>
      </c>
      <c r="P79" s="435"/>
      <c r="Q79" s="434"/>
    </row>
    <row r="80" spans="4:17" ht="36" customHeight="1" x14ac:dyDescent="0.45">
      <c r="D80" s="434"/>
      <c r="E80" s="434"/>
      <c r="F80" s="434"/>
      <c r="G80" s="434"/>
      <c r="H80" s="434"/>
      <c r="I80" s="434"/>
      <c r="J80" s="434"/>
      <c r="K80" s="434"/>
      <c r="L80" s="434"/>
      <c r="M80" s="435"/>
      <c r="N80" s="437"/>
      <c r="O80" s="437"/>
      <c r="P80" s="435"/>
      <c r="Q80" s="434"/>
    </row>
    <row r="81" spans="4:18" ht="36" customHeight="1" x14ac:dyDescent="0.45">
      <c r="D81" s="434" t="s">
        <v>1033</v>
      </c>
      <c r="E81" s="434"/>
      <c r="F81" s="434"/>
      <c r="G81" s="434"/>
      <c r="H81" s="434"/>
      <c r="I81" s="434"/>
      <c r="J81" s="434"/>
      <c r="K81" s="434"/>
      <c r="L81" s="434"/>
      <c r="M81" s="435"/>
      <c r="N81" s="437"/>
      <c r="O81" s="437" t="str">
        <f>CONCATENATE(Q594," -  ",MAX(Q594:Q2276))</f>
        <v>12 -  62</v>
      </c>
      <c r="P81" s="435"/>
      <c r="Q81" s="434"/>
    </row>
    <row r="82" spans="4:18" ht="36" customHeight="1" x14ac:dyDescent="0.45">
      <c r="D82" s="434"/>
      <c r="E82" s="434"/>
      <c r="F82" s="434"/>
      <c r="G82" s="434"/>
      <c r="H82" s="434"/>
      <c r="I82" s="434"/>
      <c r="J82" s="434"/>
      <c r="K82" s="434"/>
      <c r="L82" s="434"/>
      <c r="M82" s="435"/>
      <c r="N82" s="437"/>
      <c r="O82" s="437"/>
      <c r="P82" s="435"/>
      <c r="Q82" s="434"/>
    </row>
    <row r="83" spans="4:18" ht="36" customHeight="1" x14ac:dyDescent="0.45">
      <c r="D83" s="434" t="s">
        <v>1034</v>
      </c>
      <c r="E83" s="434"/>
      <c r="F83" s="434"/>
      <c r="G83" s="434"/>
      <c r="H83" s="434"/>
      <c r="I83" s="434"/>
      <c r="J83" s="434"/>
      <c r="K83" s="434"/>
      <c r="L83" s="434"/>
      <c r="M83" s="435"/>
      <c r="N83" s="437"/>
      <c r="O83" s="437" t="str">
        <f>IF(Q2277&lt;MAX(Q2277:Q2452),CONCATENATE(Q2277," - ",MAX(Q2277:Q2452)),Q2277)</f>
        <v>63 - 64</v>
      </c>
      <c r="P83" s="435"/>
      <c r="Q83" s="434"/>
    </row>
    <row r="84" spans="4:18" ht="36" customHeight="1" x14ac:dyDescent="0.45">
      <c r="D84" s="434"/>
      <c r="E84" s="434"/>
      <c r="F84" s="434"/>
      <c r="G84" s="434"/>
      <c r="H84" s="434"/>
      <c r="I84" s="434"/>
      <c r="J84" s="434"/>
      <c r="K84" s="434"/>
      <c r="L84" s="434"/>
      <c r="M84" s="437"/>
      <c r="N84" s="437"/>
      <c r="O84" s="435"/>
      <c r="P84" s="435"/>
      <c r="Q84" s="434"/>
    </row>
    <row r="85" spans="4:18" ht="36" customHeight="1" x14ac:dyDescent="0.45">
      <c r="D85" s="434" t="s">
        <v>1035</v>
      </c>
      <c r="E85" s="434"/>
      <c r="F85" s="434"/>
      <c r="G85" s="434"/>
      <c r="H85" s="434"/>
      <c r="I85" s="434"/>
      <c r="J85" s="434"/>
      <c r="K85" s="434"/>
      <c r="L85" s="434"/>
      <c r="M85" s="435"/>
      <c r="N85" s="435"/>
      <c r="O85" s="435"/>
      <c r="P85" s="435"/>
      <c r="Q85" s="434"/>
      <c r="R85" s="348" t="str">
        <f>IF(Criteria!E14=0,"DELETE"," ")</f>
        <v xml:space="preserve"> </v>
      </c>
    </row>
    <row r="86" spans="4:18" ht="36" customHeight="1" x14ac:dyDescent="0.45">
      <c r="D86" s="434" t="s">
        <v>23</v>
      </c>
      <c r="E86" s="434" t="str">
        <f>CONCATENATE("Detailed income statement"," - ",Criteria!H14)</f>
        <v>Detailed income statement - Subsidiary One 111 (Pty) Ltd</v>
      </c>
      <c r="F86" s="434"/>
      <c r="G86" s="434"/>
      <c r="H86" s="434"/>
      <c r="I86" s="434"/>
      <c r="J86" s="434"/>
      <c r="K86" s="434"/>
      <c r="L86" s="434"/>
      <c r="M86" s="435"/>
      <c r="N86" s="435"/>
      <c r="O86" s="435"/>
      <c r="P86" s="435"/>
      <c r="Q86" s="434"/>
      <c r="R86" s="348" t="str">
        <f>IF(Criteria!E14=0,"DELETE"," ")</f>
        <v xml:space="preserve"> </v>
      </c>
    </row>
    <row r="87" spans="4:18" ht="36" customHeight="1" x14ac:dyDescent="0.45">
      <c r="D87" s="434" t="s">
        <v>603</v>
      </c>
      <c r="E87" s="434" t="str">
        <f>CONCATENATE("Detailed income statement"," - ",Criteria!H15)</f>
        <v>Detailed income statement - Subsidiary Two 15 (Pty) Ltd</v>
      </c>
      <c r="F87" s="434"/>
      <c r="G87" s="434"/>
      <c r="H87" s="434"/>
      <c r="I87" s="434"/>
      <c r="J87" s="434"/>
      <c r="K87" s="434"/>
      <c r="L87" s="434"/>
      <c r="M87" s="435"/>
      <c r="N87" s="435"/>
      <c r="O87" s="435"/>
      <c r="P87" s="435"/>
      <c r="Q87" s="434"/>
      <c r="R87" s="348" t="str">
        <f>IF(Criteria!E15=0,"DELETE"," ")</f>
        <v xml:space="preserve"> </v>
      </c>
    </row>
    <row r="88" spans="4:18" ht="36" customHeight="1" x14ac:dyDescent="0.45">
      <c r="D88" s="434" t="s">
        <v>608</v>
      </c>
      <c r="E88" s="434" t="str">
        <f>CONCATENATE("Detailed income statement"," - ",Criteria!H16)</f>
        <v xml:space="preserve">Detailed income statement - </v>
      </c>
      <c r="F88" s="434"/>
      <c r="G88" s="434"/>
      <c r="H88" s="434"/>
      <c r="I88" s="434"/>
      <c r="J88" s="434"/>
      <c r="K88" s="434"/>
      <c r="L88" s="434"/>
      <c r="M88" s="435"/>
      <c r="N88" s="435"/>
      <c r="O88" s="435"/>
      <c r="P88" s="435"/>
      <c r="Q88" s="434"/>
      <c r="R88" s="348" t="str">
        <f>IF(Criteria!E16=0,"DELETE"," ")</f>
        <v>DELETE</v>
      </c>
    </row>
    <row r="89" spans="4:18" ht="36" customHeight="1" x14ac:dyDescent="0.45">
      <c r="D89" s="438"/>
      <c r="E89" s="434"/>
      <c r="F89" s="434"/>
      <c r="G89" s="434"/>
      <c r="H89" s="434"/>
      <c r="I89" s="434"/>
      <c r="J89" s="434"/>
      <c r="K89" s="434"/>
      <c r="L89" s="434"/>
      <c r="M89" s="435"/>
      <c r="N89" s="435"/>
      <c r="O89" s="435"/>
      <c r="P89" s="435"/>
      <c r="Q89" s="434"/>
    </row>
    <row r="90" spans="4:18" ht="36" customHeight="1" x14ac:dyDescent="0.45">
      <c r="D90" s="438"/>
      <c r="E90" s="434"/>
      <c r="F90" s="434"/>
      <c r="G90" s="434"/>
      <c r="H90" s="434"/>
      <c r="I90" s="434"/>
      <c r="J90" s="434"/>
      <c r="K90" s="434"/>
      <c r="L90" s="434"/>
      <c r="M90" s="435"/>
      <c r="N90" s="435"/>
      <c r="O90" s="435"/>
      <c r="P90" s="435"/>
      <c r="Q90" s="434"/>
    </row>
    <row r="91" spans="4:18" ht="36" customHeight="1" x14ac:dyDescent="0.45">
      <c r="D91" s="433" t="s">
        <v>815</v>
      </c>
      <c r="E91" s="434"/>
      <c r="F91" s="434"/>
      <c r="G91" s="434"/>
      <c r="H91" s="434"/>
      <c r="I91" s="434"/>
      <c r="J91" s="434"/>
      <c r="K91" s="434"/>
      <c r="L91" s="434"/>
      <c r="M91" s="435"/>
      <c r="N91" s="435"/>
      <c r="O91" s="435"/>
      <c r="P91" s="435"/>
      <c r="Q91" s="434"/>
    </row>
    <row r="92" spans="4:18" ht="36" customHeight="1" x14ac:dyDescent="0.45">
      <c r="D92" s="434"/>
      <c r="E92" s="434"/>
      <c r="F92" s="434"/>
      <c r="G92" s="434"/>
      <c r="H92" s="434"/>
      <c r="I92" s="434"/>
      <c r="J92" s="434"/>
      <c r="K92" s="434"/>
      <c r="L92" s="434"/>
      <c r="M92" s="435"/>
      <c r="N92" s="435"/>
      <c r="O92" s="435"/>
      <c r="P92" s="435"/>
      <c r="Q92" s="434"/>
    </row>
    <row r="93" spans="4:18" ht="36" customHeight="1" x14ac:dyDescent="0.45">
      <c r="D93" s="480" t="str">
        <f>CONCATENATE("The Consolidated Financial Statements of ",Criteria!E11,IF(MAX(Criteria!I38:I42)&gt;1," were approved by the Board of directors and signed on their behalf by:"," was approved by the director and signed accordingly:"))</f>
        <v>The Consolidated Financial Statements of Holding Company 268 (Pty) Ltd were approved by the Board of directors and signed on their behalf by:</v>
      </c>
      <c r="E93" s="480"/>
      <c r="F93" s="480"/>
      <c r="G93" s="480"/>
      <c r="H93" s="480"/>
      <c r="I93" s="480"/>
      <c r="J93" s="480"/>
      <c r="K93" s="480"/>
      <c r="L93" s="480"/>
      <c r="M93" s="480"/>
      <c r="N93" s="480"/>
      <c r="O93" s="480"/>
      <c r="P93" s="480"/>
      <c r="Q93" s="480"/>
    </row>
    <row r="94" spans="4:18" ht="36" customHeight="1" x14ac:dyDescent="0.45">
      <c r="D94" s="480"/>
      <c r="E94" s="480"/>
      <c r="F94" s="480"/>
      <c r="G94" s="480"/>
      <c r="H94" s="480"/>
      <c r="I94" s="480"/>
      <c r="J94" s="480"/>
      <c r="K94" s="480"/>
      <c r="L94" s="480"/>
      <c r="M94" s="480"/>
      <c r="N94" s="480"/>
      <c r="O94" s="480"/>
      <c r="P94" s="480"/>
      <c r="Q94" s="480"/>
    </row>
    <row r="95" spans="4:18" ht="36" customHeight="1" x14ac:dyDescent="0.45">
      <c r="D95" s="480"/>
      <c r="E95" s="480"/>
      <c r="F95" s="480"/>
      <c r="G95" s="480"/>
      <c r="H95" s="480"/>
      <c r="I95" s="480"/>
      <c r="J95" s="480"/>
      <c r="K95" s="480"/>
      <c r="L95" s="480"/>
      <c r="M95" s="480"/>
      <c r="N95" s="480"/>
      <c r="O95" s="480"/>
      <c r="P95" s="480"/>
      <c r="Q95" s="480"/>
    </row>
    <row r="96" spans="4:18" ht="36" customHeight="1" x14ac:dyDescent="0.45">
      <c r="D96" s="434"/>
      <c r="E96" s="434"/>
      <c r="F96" s="434"/>
      <c r="G96" s="434"/>
      <c r="H96" s="434"/>
      <c r="I96" s="434"/>
      <c r="J96" s="434"/>
      <c r="K96" s="434"/>
      <c r="L96" s="434"/>
      <c r="M96" s="435"/>
      <c r="N96" s="435"/>
      <c r="O96" s="435"/>
      <c r="P96" s="435"/>
      <c r="Q96" s="434"/>
    </row>
    <row r="97" spans="4:18" ht="36" customHeight="1" x14ac:dyDescent="0.45">
      <c r="D97" s="434"/>
      <c r="E97" s="434"/>
      <c r="F97" s="434"/>
      <c r="G97" s="434"/>
      <c r="H97" s="434"/>
      <c r="I97" s="434"/>
      <c r="J97" s="434"/>
      <c r="K97" s="434"/>
      <c r="L97" s="434"/>
      <c r="M97" s="435"/>
      <c r="N97" s="435"/>
      <c r="O97" s="435"/>
      <c r="P97" s="435"/>
      <c r="Q97" s="434"/>
    </row>
    <row r="98" spans="4:18" ht="36" customHeight="1" x14ac:dyDescent="0.45">
      <c r="D98" s="434" t="s">
        <v>813</v>
      </c>
      <c r="E98" s="434"/>
      <c r="F98" s="434"/>
      <c r="G98" s="434"/>
      <c r="H98" s="434"/>
      <c r="I98" s="434"/>
      <c r="J98" s="434"/>
      <c r="K98" s="434"/>
      <c r="L98" s="434"/>
      <c r="M98" s="435" t="str">
        <f>IF(Criteria!F39="Signature",D98," ")</f>
        <v>. . . . . . . . . . . . . . . . . . . . . . .</v>
      </c>
      <c r="N98" s="435"/>
      <c r="O98" s="435"/>
      <c r="P98" s="435"/>
      <c r="Q98" s="434"/>
    </row>
    <row r="99" spans="4:18" ht="36" customHeight="1" x14ac:dyDescent="0.45">
      <c r="D99" s="434" t="str">
        <f>Criteria!E38</f>
        <v>A Director</v>
      </c>
      <c r="E99" s="434"/>
      <c r="F99" s="434"/>
      <c r="G99" s="434"/>
      <c r="H99" s="434"/>
      <c r="I99" s="434"/>
      <c r="J99" s="434"/>
      <c r="K99" s="434"/>
      <c r="L99" s="434"/>
      <c r="M99" s="435" t="str">
        <f>IF(Criteria!F39="Signature",Criteria!E39," ")</f>
        <v>B Director</v>
      </c>
      <c r="N99" s="435"/>
      <c r="O99" s="435"/>
      <c r="P99" s="435"/>
      <c r="Q99" s="434"/>
    </row>
    <row r="100" spans="4:18" ht="36" customHeight="1" x14ac:dyDescent="0.45">
      <c r="D100" s="434"/>
      <c r="E100" s="434"/>
      <c r="F100" s="434"/>
      <c r="G100" s="434"/>
      <c r="H100" s="434"/>
      <c r="I100" s="434"/>
      <c r="J100" s="434"/>
      <c r="K100" s="434"/>
      <c r="L100" s="434"/>
      <c r="M100" s="435"/>
      <c r="N100" s="435"/>
      <c r="O100" s="435"/>
      <c r="P100" s="435"/>
      <c r="Q100" s="434"/>
    </row>
    <row r="101" spans="4:18" ht="36" customHeight="1" x14ac:dyDescent="0.45">
      <c r="D101" s="434" t="str">
        <f>Criteria!F29</f>
        <v>Johannesburg</v>
      </c>
      <c r="E101" s="434"/>
      <c r="F101" s="434"/>
      <c r="G101" s="434"/>
      <c r="H101" s="434" t="s">
        <v>94</v>
      </c>
      <c r="I101" s="434"/>
      <c r="J101" s="434"/>
      <c r="K101" s="434"/>
      <c r="L101" s="434"/>
      <c r="M101" s="435"/>
      <c r="N101" s="435"/>
      <c r="O101" s="435"/>
      <c r="P101" s="435"/>
      <c r="Q101" s="434"/>
    </row>
    <row r="102" spans="4:18" ht="21" customHeight="1" x14ac:dyDescent="0.45">
      <c r="D102" s="350"/>
      <c r="E102" s="434"/>
      <c r="F102" s="434"/>
      <c r="G102" s="434"/>
      <c r="H102" s="350"/>
      <c r="I102" s="434"/>
      <c r="J102" s="434" t="s">
        <v>814</v>
      </c>
      <c r="K102" s="434"/>
      <c r="L102" s="434"/>
      <c r="M102" s="435"/>
      <c r="N102" s="435"/>
      <c r="O102" s="435"/>
      <c r="P102" s="435"/>
      <c r="Q102" s="434"/>
    </row>
    <row r="103" spans="4:18" ht="36" customHeight="1" x14ac:dyDescent="0.45">
      <c r="D103" s="350"/>
      <c r="E103" s="434"/>
      <c r="F103" s="434"/>
      <c r="G103" s="434"/>
      <c r="H103" s="350"/>
      <c r="I103" s="434"/>
      <c r="J103" s="434"/>
      <c r="K103" s="434"/>
      <c r="L103" s="434"/>
      <c r="M103" s="435"/>
      <c r="N103" s="435"/>
      <c r="O103" s="435"/>
      <c r="P103" s="435"/>
      <c r="Q103" s="434"/>
    </row>
    <row r="104" spans="4:18" ht="36" customHeight="1" x14ac:dyDescent="0.45">
      <c r="D104" s="434"/>
      <c r="E104" s="434"/>
      <c r="F104" s="434"/>
      <c r="G104" s="434"/>
      <c r="H104" s="434"/>
      <c r="I104" s="434"/>
      <c r="J104" s="350"/>
      <c r="K104" s="434"/>
      <c r="L104" s="434"/>
      <c r="M104" s="435"/>
      <c r="N104" s="435"/>
      <c r="O104" s="435"/>
      <c r="P104" s="435"/>
      <c r="Q104" s="434"/>
    </row>
    <row r="105" spans="4:18" ht="36" customHeight="1" x14ac:dyDescent="0.45">
      <c r="M105" s="347"/>
      <c r="O105" s="295" t="s">
        <v>89</v>
      </c>
      <c r="P105" s="295"/>
      <c r="Q105" s="292">
        <v>1</v>
      </c>
    </row>
    <row r="106" spans="4:18" ht="36" customHeight="1" x14ac:dyDescent="0.45">
      <c r="D106" s="433" t="str">
        <f>Criteria!E9</f>
        <v>HOLDING COMPANY 268 (PROPRIETARY) LIMITED</v>
      </c>
      <c r="E106" s="434"/>
      <c r="F106" s="434"/>
      <c r="G106" s="434"/>
      <c r="H106" s="434"/>
      <c r="I106" s="434"/>
      <c r="J106" s="434"/>
      <c r="K106" s="434"/>
      <c r="L106" s="434"/>
      <c r="M106" s="435"/>
      <c r="N106" s="435"/>
      <c r="O106" s="435"/>
      <c r="P106" s="435"/>
      <c r="Q106" s="434"/>
    </row>
    <row r="107" spans="4:18" ht="36" customHeight="1" x14ac:dyDescent="0.45">
      <c r="D107" s="433" t="str">
        <f>Criteria!E10</f>
        <v>CONSOLIDATED FINANCIAL STATEMENTS</v>
      </c>
      <c r="E107" s="434"/>
      <c r="F107" s="434"/>
      <c r="G107" s="434"/>
      <c r="H107" s="434"/>
      <c r="I107" s="434"/>
      <c r="J107" s="434"/>
      <c r="K107" s="434"/>
      <c r="L107" s="434"/>
      <c r="M107" s="435"/>
      <c r="N107" s="435"/>
      <c r="O107" s="435"/>
      <c r="P107" s="435"/>
      <c r="Q107" s="434"/>
      <c r="R107" s="348" t="str">
        <f>IF(D107=0,"DELETE"," ")</f>
        <v xml:space="preserve"> </v>
      </c>
    </row>
    <row r="108" spans="4:18" ht="36" customHeight="1" x14ac:dyDescent="0.45">
      <c r="D108" s="434"/>
      <c r="E108" s="434"/>
      <c r="F108" s="434"/>
      <c r="G108" s="434"/>
      <c r="H108" s="434"/>
      <c r="I108" s="434"/>
      <c r="J108" s="434"/>
      <c r="K108" s="434"/>
      <c r="L108" s="434"/>
      <c r="M108" s="435"/>
      <c r="N108" s="435"/>
      <c r="O108" s="435"/>
      <c r="P108" s="435"/>
      <c r="Q108" s="434"/>
    </row>
    <row r="109" spans="4:18" ht="36" customHeight="1" x14ac:dyDescent="0.45">
      <c r="D109" s="433" t="s">
        <v>150</v>
      </c>
      <c r="E109" s="434"/>
      <c r="F109" s="434"/>
      <c r="G109" s="434"/>
      <c r="H109" s="434"/>
      <c r="I109" s="434"/>
      <c r="J109" s="434"/>
      <c r="K109" s="434"/>
      <c r="L109" s="434"/>
      <c r="M109" s="435"/>
      <c r="N109" s="435"/>
      <c r="O109" s="435"/>
      <c r="P109" s="435"/>
      <c r="Q109" s="434"/>
    </row>
    <row r="110" spans="4:18" ht="36" customHeight="1" x14ac:dyDescent="0.45">
      <c r="D110" s="434"/>
      <c r="E110" s="434"/>
      <c r="F110" s="434"/>
      <c r="G110" s="434"/>
      <c r="H110" s="434"/>
      <c r="I110" s="434"/>
      <c r="J110" s="434"/>
      <c r="K110" s="434"/>
      <c r="L110" s="434"/>
      <c r="M110" s="435"/>
      <c r="N110" s="435"/>
      <c r="O110" s="435"/>
      <c r="P110" s="435"/>
      <c r="Q110" s="434"/>
    </row>
    <row r="111" spans="4:18" ht="36" customHeight="1" x14ac:dyDescent="0.45">
      <c r="D111" s="434" t="s">
        <v>833</v>
      </c>
      <c r="E111" s="434"/>
      <c r="F111" s="434"/>
      <c r="G111" s="434"/>
      <c r="H111" s="434"/>
      <c r="I111" s="434"/>
      <c r="J111" s="439"/>
      <c r="K111" s="434"/>
      <c r="L111" s="434"/>
      <c r="M111" s="435"/>
      <c r="N111" s="435"/>
      <c r="O111" s="435"/>
      <c r="P111" s="435"/>
      <c r="Q111" s="434"/>
    </row>
    <row r="112" spans="4:18" ht="36" customHeight="1" x14ac:dyDescent="0.45">
      <c r="D112" s="434" t="s">
        <v>832</v>
      </c>
      <c r="E112" s="434"/>
      <c r="F112" s="434"/>
      <c r="G112" s="434"/>
      <c r="H112" s="434"/>
      <c r="I112" s="434"/>
      <c r="J112" s="439" t="s">
        <v>609</v>
      </c>
      <c r="K112" s="434"/>
      <c r="L112" s="434"/>
      <c r="M112" s="435"/>
      <c r="N112" s="435"/>
      <c r="O112" s="435"/>
      <c r="P112" s="435"/>
      <c r="Q112" s="434"/>
    </row>
    <row r="113" spans="4:18" ht="36" customHeight="1" x14ac:dyDescent="0.45">
      <c r="D113" s="434"/>
      <c r="E113" s="434"/>
      <c r="F113" s="434"/>
      <c r="G113" s="434"/>
      <c r="H113" s="434"/>
      <c r="I113" s="434"/>
      <c r="J113" s="439"/>
      <c r="K113" s="434"/>
      <c r="L113" s="434"/>
      <c r="M113" s="435"/>
      <c r="N113" s="435"/>
      <c r="O113" s="435"/>
      <c r="P113" s="435"/>
      <c r="Q113" s="434"/>
    </row>
    <row r="114" spans="4:18" ht="36" customHeight="1" x14ac:dyDescent="0.45">
      <c r="D114" s="434" t="s">
        <v>672</v>
      </c>
      <c r="E114" s="434"/>
      <c r="F114" s="434"/>
      <c r="G114" s="434"/>
      <c r="H114" s="434"/>
      <c r="I114" s="434"/>
      <c r="J114" s="439" t="s">
        <v>673</v>
      </c>
      <c r="K114" s="434"/>
      <c r="L114" s="434"/>
      <c r="M114" s="435"/>
      <c r="N114" s="435"/>
      <c r="O114" s="435"/>
      <c r="P114" s="435"/>
      <c r="Q114" s="434"/>
    </row>
    <row r="115" spans="4:18" ht="36" customHeight="1" x14ac:dyDescent="0.45">
      <c r="D115" s="434"/>
      <c r="E115" s="434"/>
      <c r="F115" s="434"/>
      <c r="G115" s="434"/>
      <c r="H115" s="434"/>
      <c r="I115" s="434"/>
      <c r="J115" s="439"/>
      <c r="K115" s="434"/>
      <c r="L115" s="434"/>
      <c r="M115" s="435"/>
      <c r="N115" s="435"/>
      <c r="O115" s="435"/>
      <c r="P115" s="435"/>
      <c r="Q115" s="434"/>
    </row>
    <row r="116" spans="4:18" ht="36" customHeight="1" x14ac:dyDescent="0.45">
      <c r="D116" s="434" t="s">
        <v>1023</v>
      </c>
      <c r="E116" s="434"/>
      <c r="F116" s="434"/>
      <c r="G116" s="434"/>
      <c r="H116" s="434"/>
      <c r="I116" s="434"/>
      <c r="J116" s="439"/>
      <c r="K116" s="434"/>
      <c r="L116" s="434"/>
      <c r="M116" s="435"/>
      <c r="N116" s="435"/>
      <c r="O116" s="435"/>
      <c r="P116" s="435"/>
      <c r="Q116" s="434"/>
    </row>
    <row r="117" spans="4:18" ht="36" customHeight="1" x14ac:dyDescent="0.45">
      <c r="D117" s="434" t="s">
        <v>1024</v>
      </c>
      <c r="E117" s="434"/>
      <c r="F117" s="434"/>
      <c r="G117" s="434"/>
      <c r="H117" s="434"/>
      <c r="I117" s="434"/>
      <c r="J117" s="439" t="str">
        <f>Criteria!E33</f>
        <v>Investment in financial instruments</v>
      </c>
      <c r="K117" s="434"/>
      <c r="L117" s="434"/>
      <c r="M117" s="435"/>
      <c r="N117" s="435"/>
      <c r="O117" s="435"/>
      <c r="P117" s="435"/>
      <c r="Q117" s="434"/>
    </row>
    <row r="118" spans="4:18" ht="36" customHeight="1" x14ac:dyDescent="0.45">
      <c r="D118" s="438"/>
      <c r="E118" s="434"/>
      <c r="F118" s="434"/>
      <c r="G118" s="434"/>
      <c r="H118" s="434"/>
      <c r="I118" s="434"/>
      <c r="J118" s="439" t="str">
        <f>Criteria!E34</f>
        <v>Investment in immovable properties</v>
      </c>
      <c r="K118" s="434"/>
      <c r="L118" s="434"/>
      <c r="M118" s="435"/>
      <c r="N118" s="435"/>
      <c r="O118" s="435"/>
      <c r="P118" s="435"/>
      <c r="Q118" s="434"/>
      <c r="R118" s="348" t="str">
        <f>IF(J118=0,"DELETE"," ")</f>
        <v xml:space="preserve"> </v>
      </c>
    </row>
    <row r="119" spans="4:18" ht="36" customHeight="1" x14ac:dyDescent="0.45">
      <c r="D119" s="434"/>
      <c r="E119" s="434"/>
      <c r="F119" s="434"/>
      <c r="G119" s="434"/>
      <c r="H119" s="434"/>
      <c r="I119" s="434"/>
      <c r="J119" s="439">
        <f>Criteria!E35</f>
        <v>0</v>
      </c>
      <c r="K119" s="434"/>
      <c r="L119" s="434"/>
      <c r="M119" s="435"/>
      <c r="N119" s="435"/>
      <c r="O119" s="435"/>
      <c r="P119" s="435"/>
      <c r="Q119" s="434"/>
      <c r="R119" s="348" t="str">
        <f>IF(J119=0,"DELETE"," ")</f>
        <v>DELETE</v>
      </c>
    </row>
    <row r="120" spans="4:18" ht="36" customHeight="1" x14ac:dyDescent="0.45">
      <c r="D120" s="434"/>
      <c r="E120" s="434"/>
      <c r="F120" s="434"/>
      <c r="G120" s="434"/>
      <c r="H120" s="434"/>
      <c r="I120" s="434"/>
      <c r="J120" s="439">
        <f>Criteria!E36</f>
        <v>0</v>
      </c>
      <c r="K120" s="434"/>
      <c r="L120" s="434"/>
      <c r="M120" s="435"/>
      <c r="N120" s="435"/>
      <c r="O120" s="435"/>
      <c r="P120" s="435"/>
      <c r="Q120" s="434"/>
      <c r="R120" s="348" t="str">
        <f>IF(J120=0,"DELETE"," ")</f>
        <v>DELETE</v>
      </c>
    </row>
    <row r="121" spans="4:18" ht="36" customHeight="1" x14ac:dyDescent="0.45">
      <c r="D121" s="434"/>
      <c r="E121" s="434"/>
      <c r="F121" s="434"/>
      <c r="G121" s="434"/>
      <c r="H121" s="434"/>
      <c r="I121" s="434"/>
      <c r="J121" s="439"/>
      <c r="K121" s="434"/>
      <c r="L121" s="434"/>
      <c r="M121" s="435"/>
      <c r="N121" s="435"/>
      <c r="O121" s="435"/>
      <c r="P121" s="435"/>
      <c r="Q121" s="434"/>
    </row>
    <row r="122" spans="4:18" ht="36" customHeight="1" x14ac:dyDescent="0.45">
      <c r="D122" s="434" t="str">
        <f>IF(MAX(Criteria!I38:I42)&gt;1,"Directors","Director")</f>
        <v>Directors</v>
      </c>
      <c r="E122" s="434"/>
      <c r="F122" s="434"/>
      <c r="G122" s="434"/>
      <c r="H122" s="434"/>
      <c r="I122" s="434"/>
      <c r="J122" s="439" t="str">
        <f>Criteria!E38</f>
        <v>A Director</v>
      </c>
      <c r="K122" s="434"/>
      <c r="L122" s="434"/>
      <c r="M122" s="435"/>
      <c r="N122" s="435"/>
      <c r="O122" s="435"/>
      <c r="P122" s="435"/>
      <c r="Q122" s="434"/>
    </row>
    <row r="123" spans="4:18" ht="36" customHeight="1" x14ac:dyDescent="0.45">
      <c r="D123" s="434"/>
      <c r="E123" s="434"/>
      <c r="F123" s="434"/>
      <c r="G123" s="434"/>
      <c r="H123" s="434"/>
      <c r="I123" s="434"/>
      <c r="J123" s="439" t="str">
        <f>Criteria!E39</f>
        <v>B Director</v>
      </c>
      <c r="K123" s="434"/>
      <c r="L123" s="434"/>
      <c r="M123" s="435"/>
      <c r="N123" s="435"/>
      <c r="O123" s="435"/>
      <c r="P123" s="435"/>
      <c r="Q123" s="434"/>
      <c r="R123" s="348" t="str">
        <f>IF(J123=0,"DELETE"," ")</f>
        <v xml:space="preserve"> </v>
      </c>
    </row>
    <row r="124" spans="4:18" ht="36" customHeight="1" x14ac:dyDescent="0.45">
      <c r="D124" s="434"/>
      <c r="E124" s="434"/>
      <c r="F124" s="434"/>
      <c r="G124" s="434"/>
      <c r="H124" s="434"/>
      <c r="I124" s="434"/>
      <c r="J124" s="439">
        <f>Criteria!E40</f>
        <v>0</v>
      </c>
      <c r="K124" s="434"/>
      <c r="L124" s="434"/>
      <c r="M124" s="435"/>
      <c r="N124" s="435"/>
      <c r="O124" s="435"/>
      <c r="P124" s="435"/>
      <c r="Q124" s="434"/>
      <c r="R124" s="348" t="str">
        <f>IF(J124=0,"DELETE"," ")</f>
        <v>DELETE</v>
      </c>
    </row>
    <row r="125" spans="4:18" ht="36" customHeight="1" x14ac:dyDescent="0.45">
      <c r="D125" s="434"/>
      <c r="E125" s="434"/>
      <c r="F125" s="434"/>
      <c r="G125" s="434"/>
      <c r="H125" s="434"/>
      <c r="I125" s="434"/>
      <c r="J125" s="439">
        <f>Criteria!E41</f>
        <v>0</v>
      </c>
      <c r="K125" s="434"/>
      <c r="L125" s="434"/>
      <c r="M125" s="435"/>
      <c r="N125" s="435"/>
      <c r="O125" s="435"/>
      <c r="P125" s="435"/>
      <c r="Q125" s="434"/>
      <c r="R125" s="348" t="str">
        <f>IF(J125=0,"DELETE"," ")</f>
        <v>DELETE</v>
      </c>
    </row>
    <row r="126" spans="4:18" ht="36" customHeight="1" x14ac:dyDescent="0.45">
      <c r="D126" s="434"/>
      <c r="E126" s="434"/>
      <c r="F126" s="434"/>
      <c r="G126" s="434"/>
      <c r="H126" s="434"/>
      <c r="I126" s="434"/>
      <c r="J126" s="439">
        <f>Criteria!E42</f>
        <v>0</v>
      </c>
      <c r="K126" s="434"/>
      <c r="L126" s="434"/>
      <c r="M126" s="435"/>
      <c r="N126" s="435"/>
      <c r="O126" s="435"/>
      <c r="P126" s="435"/>
      <c r="Q126" s="434"/>
      <c r="R126" s="348" t="str">
        <f>IF(J126=0,"DELETE"," ")</f>
        <v>DELETE</v>
      </c>
    </row>
    <row r="127" spans="4:18" ht="36" customHeight="1" x14ac:dyDescent="0.45">
      <c r="D127" s="434"/>
      <c r="E127" s="434"/>
      <c r="F127" s="434"/>
      <c r="G127" s="434"/>
      <c r="H127" s="434"/>
      <c r="I127" s="434"/>
      <c r="J127" s="439"/>
      <c r="K127" s="434"/>
      <c r="L127" s="434"/>
      <c r="M127" s="435"/>
      <c r="N127" s="435"/>
      <c r="O127" s="435"/>
      <c r="P127" s="435"/>
      <c r="Q127" s="434"/>
    </row>
    <row r="128" spans="4:18" ht="36" customHeight="1" x14ac:dyDescent="0.45">
      <c r="D128" s="434" t="s">
        <v>91</v>
      </c>
      <c r="E128" s="434"/>
      <c r="F128" s="434"/>
      <c r="G128" s="434"/>
      <c r="H128" s="434"/>
      <c r="I128" s="434"/>
      <c r="J128" s="439">
        <f>Criteria!E57</f>
        <v>0</v>
      </c>
      <c r="K128" s="434"/>
      <c r="L128" s="434"/>
      <c r="M128" s="435"/>
      <c r="N128" s="435"/>
      <c r="O128" s="435"/>
      <c r="P128" s="435"/>
      <c r="Q128" s="434"/>
    </row>
    <row r="129" spans="4:18" ht="36" customHeight="1" x14ac:dyDescent="0.45">
      <c r="D129" s="434"/>
      <c r="E129" s="434"/>
      <c r="F129" s="434"/>
      <c r="G129" s="434"/>
      <c r="H129" s="434"/>
      <c r="I129" s="434"/>
      <c r="J129" s="439">
        <f>Criteria!E58</f>
        <v>0</v>
      </c>
      <c r="K129" s="434"/>
      <c r="L129" s="434"/>
      <c r="M129" s="435"/>
      <c r="N129" s="435"/>
      <c r="O129" s="435"/>
      <c r="P129" s="435"/>
      <c r="Q129" s="434"/>
    </row>
    <row r="130" spans="4:18" ht="36" customHeight="1" x14ac:dyDescent="0.45">
      <c r="D130" s="434"/>
      <c r="E130" s="434"/>
      <c r="F130" s="434"/>
      <c r="G130" s="434"/>
      <c r="H130" s="434"/>
      <c r="I130" s="434"/>
      <c r="J130" s="439">
        <f>Criteria!E59</f>
        <v>0</v>
      </c>
      <c r="K130" s="434"/>
      <c r="L130" s="434"/>
      <c r="M130" s="435"/>
      <c r="N130" s="435"/>
      <c r="O130" s="435"/>
      <c r="P130" s="435"/>
      <c r="Q130" s="434"/>
      <c r="R130" s="348" t="str">
        <f>IF(J130=0,"DELETE"," ")</f>
        <v>DELETE</v>
      </c>
    </row>
    <row r="131" spans="4:18" ht="36" customHeight="1" x14ac:dyDescent="0.45">
      <c r="D131" s="434"/>
      <c r="E131" s="434"/>
      <c r="F131" s="434"/>
      <c r="G131" s="434"/>
      <c r="H131" s="434"/>
      <c r="I131" s="434"/>
      <c r="J131" s="439">
        <f>Criteria!E60</f>
        <v>0</v>
      </c>
      <c r="K131" s="434"/>
      <c r="L131" s="434"/>
      <c r="M131" s="435"/>
      <c r="N131" s="435"/>
      <c r="O131" s="435"/>
      <c r="P131" s="435"/>
      <c r="Q131" s="434"/>
      <c r="R131" s="348" t="str">
        <f>IF(J131=0,"DELETE"," ")</f>
        <v>DELETE</v>
      </c>
    </row>
    <row r="132" spans="4:18" ht="36" customHeight="1" x14ac:dyDescent="0.45">
      <c r="D132" s="434"/>
      <c r="E132" s="434"/>
      <c r="F132" s="434"/>
      <c r="G132" s="434"/>
      <c r="H132" s="434"/>
      <c r="I132" s="434"/>
      <c r="J132" s="439"/>
      <c r="K132" s="434"/>
      <c r="L132" s="434"/>
      <c r="M132" s="435"/>
      <c r="N132" s="435"/>
      <c r="O132" s="435"/>
      <c r="P132" s="435"/>
      <c r="Q132" s="434"/>
      <c r="R132" s="348" t="str">
        <f>R133</f>
        <v>DELETE</v>
      </c>
    </row>
    <row r="133" spans="4:18" ht="36" customHeight="1" x14ac:dyDescent="0.45">
      <c r="D133" s="434" t="s">
        <v>768</v>
      </c>
      <c r="E133" s="434"/>
      <c r="F133" s="434"/>
      <c r="G133" s="434"/>
      <c r="H133" s="434"/>
      <c r="I133" s="434"/>
      <c r="J133" s="439">
        <f>Criteria!E62</f>
        <v>0</v>
      </c>
      <c r="K133" s="434"/>
      <c r="L133" s="434"/>
      <c r="M133" s="435"/>
      <c r="N133" s="435"/>
      <c r="O133" s="435"/>
      <c r="P133" s="435"/>
      <c r="Q133" s="434"/>
      <c r="R133" s="348" t="str">
        <f t="shared" ref="R133:R136" si="0">IF(J133=0,"DELETE"," ")</f>
        <v>DELETE</v>
      </c>
    </row>
    <row r="134" spans="4:18" ht="36" customHeight="1" x14ac:dyDescent="0.45">
      <c r="D134" s="434"/>
      <c r="E134" s="434"/>
      <c r="F134" s="434"/>
      <c r="G134" s="434"/>
      <c r="H134" s="434"/>
      <c r="I134" s="434"/>
      <c r="J134" s="439">
        <f>Criteria!E63</f>
        <v>0</v>
      </c>
      <c r="K134" s="434"/>
      <c r="L134" s="434"/>
      <c r="M134" s="435"/>
      <c r="N134" s="435"/>
      <c r="O134" s="435"/>
      <c r="P134" s="435"/>
      <c r="Q134" s="434"/>
      <c r="R134" s="348" t="str">
        <f t="shared" si="0"/>
        <v>DELETE</v>
      </c>
    </row>
    <row r="135" spans="4:18" ht="36" customHeight="1" x14ac:dyDescent="0.45">
      <c r="D135" s="434"/>
      <c r="E135" s="434"/>
      <c r="F135" s="434"/>
      <c r="G135" s="434"/>
      <c r="H135" s="434"/>
      <c r="I135" s="434"/>
      <c r="J135" s="439">
        <f>Criteria!E64</f>
        <v>0</v>
      </c>
      <c r="K135" s="434"/>
      <c r="L135" s="434"/>
      <c r="M135" s="435"/>
      <c r="N135" s="435"/>
      <c r="O135" s="435"/>
      <c r="P135" s="435"/>
      <c r="Q135" s="434"/>
      <c r="R135" s="348" t="str">
        <f t="shared" si="0"/>
        <v>DELETE</v>
      </c>
    </row>
    <row r="136" spans="4:18" ht="36" customHeight="1" x14ac:dyDescent="0.45">
      <c r="D136" s="434"/>
      <c r="E136" s="434"/>
      <c r="F136" s="434"/>
      <c r="G136" s="434"/>
      <c r="H136" s="434"/>
      <c r="I136" s="434"/>
      <c r="J136" s="439">
        <f>Criteria!E65</f>
        <v>0</v>
      </c>
      <c r="K136" s="434"/>
      <c r="L136" s="434"/>
      <c r="M136" s="435"/>
      <c r="N136" s="435"/>
      <c r="O136" s="435"/>
      <c r="P136" s="435"/>
      <c r="Q136" s="434"/>
      <c r="R136" s="348" t="str">
        <f t="shared" si="0"/>
        <v>DELETE</v>
      </c>
    </row>
    <row r="137" spans="4:18" ht="36" customHeight="1" x14ac:dyDescent="0.45">
      <c r="D137" s="434"/>
      <c r="E137" s="434"/>
      <c r="F137" s="434"/>
      <c r="G137" s="434"/>
      <c r="H137" s="434"/>
      <c r="I137" s="434"/>
      <c r="J137" s="439"/>
      <c r="K137" s="434"/>
      <c r="L137" s="434"/>
      <c r="M137" s="435"/>
      <c r="N137" s="435"/>
      <c r="O137" s="435"/>
      <c r="P137" s="435"/>
      <c r="Q137" s="434"/>
    </row>
    <row r="138" spans="4:18" ht="36" customHeight="1" x14ac:dyDescent="0.45">
      <c r="D138" s="434" t="s">
        <v>92</v>
      </c>
      <c r="E138" s="434"/>
      <c r="F138" s="434"/>
      <c r="G138" s="434"/>
      <c r="H138" s="434"/>
      <c r="I138" s="434"/>
      <c r="J138" s="439">
        <f>Criteria!E67</f>
        <v>0</v>
      </c>
      <c r="K138" s="434"/>
      <c r="L138" s="434"/>
      <c r="M138" s="435"/>
      <c r="N138" s="435"/>
      <c r="O138" s="435"/>
      <c r="P138" s="435"/>
      <c r="Q138" s="434"/>
      <c r="R138" s="348" t="str">
        <f>IF(J138=0,"DELETE"," ")</f>
        <v>DELETE</v>
      </c>
    </row>
    <row r="139" spans="4:18" ht="36" customHeight="1" x14ac:dyDescent="0.45">
      <c r="D139" s="434"/>
      <c r="E139" s="434"/>
      <c r="F139" s="434"/>
      <c r="G139" s="434"/>
      <c r="H139" s="434"/>
      <c r="I139" s="434"/>
      <c r="J139" s="439">
        <f>Criteria!E68</f>
        <v>0</v>
      </c>
      <c r="K139" s="434"/>
      <c r="L139" s="434"/>
      <c r="M139" s="435"/>
      <c r="N139" s="435"/>
      <c r="O139" s="435"/>
      <c r="P139" s="435"/>
      <c r="Q139" s="434"/>
      <c r="R139" s="348" t="str">
        <f>IF(J139=0,"DELETE"," ")</f>
        <v>DELETE</v>
      </c>
    </row>
    <row r="140" spans="4:18" ht="36" customHeight="1" x14ac:dyDescent="0.45">
      <c r="D140" s="434"/>
      <c r="E140" s="434"/>
      <c r="F140" s="434"/>
      <c r="G140" s="434"/>
      <c r="H140" s="434"/>
      <c r="I140" s="434"/>
      <c r="J140" s="439">
        <f>Criteria!E69</f>
        <v>0</v>
      </c>
      <c r="K140" s="434"/>
      <c r="L140" s="434"/>
      <c r="M140" s="435"/>
      <c r="N140" s="435"/>
      <c r="O140" s="435"/>
      <c r="P140" s="435"/>
      <c r="Q140" s="434"/>
      <c r="R140" s="348" t="str">
        <f>IF(J140=0,"DELETE"," ")</f>
        <v>DELETE</v>
      </c>
    </row>
    <row r="141" spans="4:18" ht="36" customHeight="1" x14ac:dyDescent="0.45">
      <c r="D141" s="434"/>
      <c r="E141" s="434"/>
      <c r="F141" s="434"/>
      <c r="G141" s="434"/>
      <c r="H141" s="434"/>
      <c r="I141" s="434"/>
      <c r="J141" s="439">
        <f>Criteria!E70</f>
        <v>0</v>
      </c>
      <c r="K141" s="434"/>
      <c r="L141" s="434"/>
      <c r="M141" s="435"/>
      <c r="N141" s="435"/>
      <c r="O141" s="435"/>
      <c r="P141" s="435"/>
      <c r="Q141" s="434"/>
      <c r="R141" s="348" t="str">
        <f>IF(J141=0,"DELETE"," ")</f>
        <v>DELETE</v>
      </c>
    </row>
    <row r="142" spans="4:18" ht="36" customHeight="1" x14ac:dyDescent="0.45">
      <c r="D142" s="434"/>
      <c r="E142" s="434"/>
      <c r="F142" s="434"/>
      <c r="G142" s="434"/>
      <c r="H142" s="434"/>
      <c r="I142" s="434"/>
      <c r="J142" s="439"/>
      <c r="K142" s="434"/>
      <c r="L142" s="434"/>
      <c r="M142" s="435"/>
      <c r="N142" s="435"/>
      <c r="O142" s="435"/>
      <c r="P142" s="435"/>
      <c r="Q142" s="434"/>
    </row>
    <row r="143" spans="4:18" ht="36" customHeight="1" x14ac:dyDescent="0.45">
      <c r="D143" s="434" t="s">
        <v>671</v>
      </c>
      <c r="E143" s="434"/>
      <c r="F143" s="434"/>
      <c r="G143" s="434"/>
      <c r="H143" s="434"/>
      <c r="I143" s="434"/>
      <c r="J143" s="439">
        <f>Criteria!E72</f>
        <v>0</v>
      </c>
      <c r="K143" s="434"/>
      <c r="L143" s="434"/>
      <c r="M143" s="435"/>
      <c r="N143" s="435"/>
      <c r="O143" s="435"/>
      <c r="P143" s="435"/>
      <c r="Q143" s="434"/>
      <c r="R143" s="348" t="str">
        <f t="shared" ref="R143:R145" si="1">IF(J143=0,"DELETE"," ")</f>
        <v>DELETE</v>
      </c>
    </row>
    <row r="144" spans="4:18" ht="36" customHeight="1" x14ac:dyDescent="0.45">
      <c r="D144" s="434"/>
      <c r="E144" s="434"/>
      <c r="F144" s="434"/>
      <c r="G144" s="434"/>
      <c r="H144" s="434"/>
      <c r="I144" s="434"/>
      <c r="J144" s="439">
        <f>Criteria!E73</f>
        <v>0</v>
      </c>
      <c r="K144" s="434"/>
      <c r="L144" s="434"/>
      <c r="M144" s="435"/>
      <c r="N144" s="435"/>
      <c r="O144" s="435"/>
      <c r="P144" s="435"/>
      <c r="Q144" s="434"/>
      <c r="R144" s="348" t="str">
        <f t="shared" si="1"/>
        <v>DELETE</v>
      </c>
    </row>
    <row r="145" spans="4:18" ht="36" customHeight="1" x14ac:dyDescent="0.45">
      <c r="D145" s="434"/>
      <c r="E145" s="434"/>
      <c r="F145" s="434"/>
      <c r="G145" s="434"/>
      <c r="H145" s="434"/>
      <c r="I145" s="434"/>
      <c r="J145" s="439">
        <f>Criteria!E74</f>
        <v>0</v>
      </c>
      <c r="K145" s="434"/>
      <c r="L145" s="434"/>
      <c r="M145" s="435"/>
      <c r="N145" s="435"/>
      <c r="O145" s="435"/>
      <c r="P145" s="435"/>
      <c r="Q145" s="434"/>
      <c r="R145" s="348" t="str">
        <f t="shared" si="1"/>
        <v>DELETE</v>
      </c>
    </row>
    <row r="146" spans="4:18" ht="36" customHeight="1" x14ac:dyDescent="0.45">
      <c r="D146" s="434"/>
      <c r="E146" s="434"/>
      <c r="F146" s="434"/>
      <c r="G146" s="434"/>
      <c r="H146" s="434"/>
      <c r="I146" s="434"/>
      <c r="J146" s="439"/>
      <c r="K146" s="434"/>
      <c r="L146" s="434"/>
      <c r="M146" s="435"/>
      <c r="N146" s="435"/>
      <c r="O146" s="435"/>
      <c r="P146" s="435"/>
      <c r="Q146" s="434"/>
    </row>
    <row r="147" spans="4:18" ht="36" customHeight="1" x14ac:dyDescent="0.45">
      <c r="D147" s="434" t="s">
        <v>688</v>
      </c>
      <c r="E147" s="434"/>
      <c r="F147" s="434"/>
      <c r="G147" s="434"/>
      <c r="H147" s="434"/>
      <c r="I147" s="434"/>
      <c r="J147" s="439" t="str">
        <f>Criteria!E18</f>
        <v>2000/123456/07</v>
      </c>
      <c r="K147" s="434"/>
      <c r="L147" s="434"/>
      <c r="M147" s="435"/>
      <c r="N147" s="435"/>
      <c r="O147" s="435"/>
      <c r="P147" s="435"/>
      <c r="Q147" s="434"/>
    </row>
    <row r="148" spans="4:18" ht="36" customHeight="1" x14ac:dyDescent="0.45">
      <c r="D148" s="434"/>
      <c r="E148" s="434"/>
      <c r="F148" s="434"/>
      <c r="G148" s="434"/>
      <c r="H148" s="434"/>
      <c r="I148" s="434"/>
      <c r="J148" s="439"/>
      <c r="K148" s="434"/>
      <c r="L148" s="434"/>
      <c r="M148" s="435"/>
      <c r="N148" s="435"/>
      <c r="O148" s="435"/>
      <c r="P148" s="435"/>
      <c r="Q148" s="434"/>
    </row>
    <row r="149" spans="4:18" ht="36" customHeight="1" x14ac:dyDescent="0.45">
      <c r="D149" s="434" t="str">
        <f>FS!D149</f>
        <v>Auditor/Accounting Officer</v>
      </c>
      <c r="E149" s="434"/>
      <c r="F149" s="434"/>
      <c r="G149" s="434"/>
      <c r="H149" s="434"/>
      <c r="I149" s="434"/>
      <c r="J149" s="439"/>
      <c r="K149" s="434"/>
      <c r="L149" s="434"/>
      <c r="M149" s="435"/>
      <c r="N149" s="435"/>
      <c r="O149" s="435"/>
      <c r="P149" s="435"/>
      <c r="Q149" s="434"/>
    </row>
    <row r="150" spans="4:18" ht="36" customHeight="1" x14ac:dyDescent="0.45">
      <c r="D150" s="434"/>
      <c r="E150" s="434"/>
      <c r="F150" s="434"/>
      <c r="G150" s="434"/>
      <c r="H150" s="434"/>
      <c r="I150" s="434"/>
      <c r="J150" s="439"/>
      <c r="K150" s="434"/>
      <c r="L150" s="434"/>
      <c r="M150" s="435"/>
      <c r="N150" s="435"/>
      <c r="O150" s="435"/>
      <c r="P150" s="435"/>
      <c r="Q150" s="434"/>
    </row>
    <row r="151" spans="4:18" ht="36" customHeight="1" x14ac:dyDescent="0.45">
      <c r="D151" s="434"/>
      <c r="E151" s="434"/>
      <c r="F151" s="434"/>
      <c r="G151" s="434"/>
      <c r="H151" s="434"/>
      <c r="I151" s="434"/>
      <c r="J151" s="439"/>
      <c r="K151" s="434"/>
      <c r="L151" s="434"/>
      <c r="M151" s="435"/>
      <c r="N151" s="435"/>
      <c r="O151" s="435"/>
      <c r="P151" s="435"/>
      <c r="Q151" s="434"/>
    </row>
    <row r="152" spans="4:18" ht="36" customHeight="1" x14ac:dyDescent="0.45">
      <c r="D152" s="434"/>
      <c r="E152" s="434"/>
      <c r="F152" s="434"/>
      <c r="G152" s="434"/>
      <c r="H152" s="434"/>
      <c r="I152" s="434"/>
      <c r="J152" s="439"/>
      <c r="K152" s="434"/>
      <c r="L152" s="434"/>
      <c r="M152" s="435"/>
      <c r="N152" s="435"/>
      <c r="O152" s="435"/>
      <c r="P152" s="435"/>
      <c r="Q152" s="434"/>
    </row>
    <row r="153" spans="4:18" ht="36" customHeight="1" x14ac:dyDescent="0.45">
      <c r="D153" s="434"/>
      <c r="E153" s="434"/>
      <c r="F153" s="434"/>
      <c r="G153" s="434"/>
      <c r="H153" s="434"/>
      <c r="I153" s="434"/>
      <c r="J153" s="439"/>
      <c r="K153" s="434"/>
      <c r="L153" s="434"/>
      <c r="M153" s="435"/>
      <c r="N153" s="435"/>
      <c r="O153" s="435"/>
      <c r="P153" s="435"/>
      <c r="Q153" s="434"/>
    </row>
    <row r="154" spans="4:18" ht="36" customHeight="1" x14ac:dyDescent="0.45">
      <c r="D154" s="434"/>
      <c r="E154" s="434"/>
      <c r="F154" s="434"/>
      <c r="G154" s="434"/>
      <c r="H154" s="434"/>
      <c r="I154" s="434"/>
      <c r="J154" s="439"/>
      <c r="K154" s="434"/>
      <c r="L154" s="434"/>
      <c r="M154" s="435"/>
      <c r="N154" s="435"/>
      <c r="O154" s="435"/>
      <c r="P154" s="435"/>
      <c r="Q154" s="434"/>
    </row>
    <row r="155" spans="4:18" ht="36" customHeight="1" x14ac:dyDescent="0.45">
      <c r="D155" s="434"/>
      <c r="E155" s="434"/>
      <c r="F155" s="434"/>
      <c r="G155" s="434"/>
      <c r="H155" s="434"/>
      <c r="I155" s="434"/>
      <c r="J155" s="439"/>
      <c r="K155" s="434"/>
      <c r="L155" s="434"/>
      <c r="M155" s="435"/>
      <c r="N155" s="435"/>
      <c r="O155" s="435"/>
      <c r="P155" s="435"/>
      <c r="Q155" s="434"/>
    </row>
    <row r="156" spans="4:18" ht="36" customHeight="1" x14ac:dyDescent="0.45">
      <c r="D156" s="434"/>
      <c r="E156" s="434"/>
      <c r="F156" s="434"/>
      <c r="G156" s="434"/>
      <c r="H156" s="434"/>
      <c r="I156" s="434"/>
      <c r="J156" s="439"/>
      <c r="K156" s="434"/>
      <c r="L156" s="434"/>
      <c r="M156" s="435"/>
      <c r="N156" s="435"/>
      <c r="O156" s="435"/>
      <c r="P156" s="435"/>
      <c r="Q156" s="434"/>
    </row>
    <row r="157" spans="4:18" ht="36" customHeight="1" x14ac:dyDescent="0.45">
      <c r="M157" s="347"/>
      <c r="O157" s="295" t="s">
        <v>89</v>
      </c>
      <c r="Q157" s="292">
        <f>MAX($Q$105:Q156)+1</f>
        <v>2</v>
      </c>
    </row>
    <row r="158" spans="4:18" ht="36" customHeight="1" x14ac:dyDescent="0.45">
      <c r="D158" s="434"/>
      <c r="E158" s="434"/>
      <c r="F158" s="434"/>
      <c r="G158" s="434"/>
      <c r="H158" s="434"/>
      <c r="I158" s="434"/>
      <c r="J158" s="434"/>
      <c r="K158" s="438"/>
      <c r="L158" s="438"/>
      <c r="M158" s="438"/>
      <c r="N158" s="438"/>
      <c r="O158" s="435"/>
      <c r="P158" s="435"/>
      <c r="Q158" s="434"/>
    </row>
    <row r="159" spans="4:18" ht="36" customHeight="1" x14ac:dyDescent="0.45">
      <c r="D159" s="434"/>
      <c r="E159" s="434"/>
      <c r="F159" s="434"/>
      <c r="G159" s="434"/>
      <c r="H159" s="434"/>
      <c r="I159" s="434"/>
      <c r="J159" s="434"/>
      <c r="K159" s="434"/>
      <c r="L159" s="434"/>
      <c r="M159" s="434"/>
      <c r="N159" s="435"/>
      <c r="O159" s="434"/>
      <c r="P159" s="435"/>
      <c r="Q159" s="434"/>
    </row>
    <row r="160" spans="4:18" ht="36" customHeight="1" x14ac:dyDescent="0.45">
      <c r="D160" s="434"/>
      <c r="E160" s="434"/>
      <c r="F160" s="434"/>
      <c r="G160" s="434"/>
      <c r="H160" s="434"/>
      <c r="I160" s="434"/>
      <c r="J160" s="434"/>
      <c r="K160" s="434"/>
      <c r="L160" s="438"/>
      <c r="M160" s="438"/>
      <c r="N160" s="435"/>
      <c r="O160" s="441"/>
      <c r="P160" s="435"/>
      <c r="Q160" s="434"/>
    </row>
    <row r="161" spans="4:17" ht="36" customHeight="1" x14ac:dyDescent="0.45">
      <c r="D161" s="434"/>
      <c r="E161" s="434"/>
      <c r="F161" s="434"/>
      <c r="G161" s="434"/>
      <c r="H161" s="434"/>
      <c r="I161" s="434"/>
      <c r="J161" s="434"/>
      <c r="K161" s="434"/>
      <c r="L161" s="438"/>
      <c r="M161" s="438"/>
      <c r="N161" s="435"/>
      <c r="O161" s="441"/>
      <c r="P161" s="435"/>
      <c r="Q161" s="434"/>
    </row>
    <row r="162" spans="4:17" ht="36" customHeight="1" x14ac:dyDescent="0.45">
      <c r="D162" s="434"/>
      <c r="E162" s="434"/>
      <c r="F162" s="434"/>
      <c r="G162" s="434"/>
      <c r="H162" s="434"/>
      <c r="I162" s="434"/>
      <c r="J162" s="434"/>
      <c r="K162" s="434"/>
      <c r="L162" s="434"/>
      <c r="M162" s="442"/>
      <c r="N162" s="442"/>
      <c r="O162" s="442"/>
      <c r="P162" s="442"/>
      <c r="Q162" s="434"/>
    </row>
    <row r="163" spans="4:17" ht="36" customHeight="1" x14ac:dyDescent="0.45">
      <c r="D163" s="434"/>
      <c r="E163" s="434"/>
      <c r="F163" s="434"/>
      <c r="G163" s="434"/>
      <c r="H163" s="434"/>
      <c r="I163" s="434"/>
      <c r="J163" s="434"/>
      <c r="K163" s="434"/>
      <c r="L163" s="434"/>
      <c r="M163" s="435"/>
      <c r="N163" s="435"/>
      <c r="O163" s="435"/>
      <c r="P163" s="435"/>
      <c r="Q163" s="434"/>
    </row>
    <row r="164" spans="4:17" ht="36" customHeight="1" x14ac:dyDescent="0.45">
      <c r="D164" s="434"/>
      <c r="E164" s="434"/>
      <c r="F164" s="434"/>
      <c r="G164" s="434"/>
      <c r="H164" s="434"/>
      <c r="I164" s="434"/>
      <c r="J164" s="434"/>
      <c r="K164" s="434"/>
      <c r="L164" s="434"/>
      <c r="M164" s="435"/>
      <c r="N164" s="435"/>
      <c r="O164" s="435"/>
      <c r="P164" s="435"/>
      <c r="Q164" s="434"/>
    </row>
    <row r="165" spans="4:17" ht="36" customHeight="1" x14ac:dyDescent="0.45">
      <c r="D165" s="434"/>
      <c r="E165" s="434"/>
      <c r="F165" s="434"/>
      <c r="G165" s="434"/>
      <c r="H165" s="434"/>
      <c r="I165" s="434"/>
      <c r="J165" s="434"/>
      <c r="K165" s="434"/>
      <c r="L165" s="434"/>
      <c r="M165" s="435"/>
      <c r="N165" s="435"/>
      <c r="O165" s="435"/>
      <c r="P165" s="435"/>
      <c r="Q165" s="434"/>
    </row>
    <row r="166" spans="4:17" ht="36" customHeight="1" x14ac:dyDescent="0.45">
      <c r="D166" s="433" t="str">
        <f>IF(MAX(Criteria!I38:I42)&gt;1,"AUDITOR'S COMPILATION REPORT TO THE DIRECTORS OF","AUDITOR'S COMPILATION REPORT TO THE DIRECTOR OF")</f>
        <v>AUDITOR'S COMPILATION REPORT TO THE DIRECTORS OF</v>
      </c>
      <c r="E166" s="434"/>
      <c r="F166" s="434"/>
      <c r="G166" s="434"/>
      <c r="H166" s="434"/>
      <c r="I166" s="434"/>
      <c r="J166" s="434"/>
      <c r="K166" s="434"/>
      <c r="L166" s="434"/>
      <c r="M166" s="435"/>
      <c r="N166" s="435"/>
      <c r="O166" s="435"/>
      <c r="P166" s="435"/>
      <c r="Q166" s="434"/>
    </row>
    <row r="167" spans="4:17" ht="36" customHeight="1" x14ac:dyDescent="0.45">
      <c r="D167" s="433" t="str">
        <f>Criteria!E9</f>
        <v>HOLDING COMPANY 268 (PROPRIETARY) LIMITED</v>
      </c>
      <c r="E167" s="434"/>
      <c r="F167" s="434"/>
      <c r="G167" s="434"/>
      <c r="H167" s="434"/>
      <c r="I167" s="434"/>
      <c r="J167" s="434"/>
      <c r="K167" s="434"/>
      <c r="L167" s="434"/>
      <c r="M167" s="435"/>
      <c r="N167" s="435"/>
      <c r="O167" s="435"/>
      <c r="P167" s="435"/>
      <c r="Q167" s="434"/>
    </row>
    <row r="168" spans="4:17" ht="36" customHeight="1" x14ac:dyDescent="0.45">
      <c r="D168" s="433" t="s">
        <v>810</v>
      </c>
      <c r="E168" s="434"/>
      <c r="F168" s="434"/>
      <c r="G168" s="434"/>
      <c r="H168" s="434"/>
      <c r="I168" s="434"/>
      <c r="J168" s="434"/>
      <c r="K168" s="434"/>
      <c r="L168" s="434"/>
      <c r="M168" s="435"/>
      <c r="N168" s="435"/>
      <c r="O168" s="435"/>
      <c r="P168" s="435"/>
      <c r="Q168" s="434"/>
    </row>
    <row r="169" spans="4:17" ht="36" customHeight="1" x14ac:dyDescent="0.45">
      <c r="D169" s="434"/>
      <c r="E169" s="434"/>
      <c r="F169" s="434"/>
      <c r="G169" s="434"/>
      <c r="H169" s="434"/>
      <c r="I169" s="434"/>
      <c r="J169" s="434"/>
      <c r="K169" s="434"/>
      <c r="L169" s="434"/>
      <c r="M169" s="435"/>
      <c r="N169" s="435"/>
      <c r="O169" s="435"/>
      <c r="P169" s="435"/>
      <c r="Q169" s="434"/>
    </row>
    <row r="170" spans="4:17" ht="36" customHeight="1" x14ac:dyDescent="0.45">
      <c r="D170" s="480" t="str">
        <f>CONCATENATE("We have compiled the accompanying Consolidated Financial Statements of ",Criteria!E11,", as set out on pages ",Q411," to ",MAX(Q411:Q2276),", based on information you have provided. These Consolidated Financial Statements comprise the statement of financial position of ",Criteria!E11," as at ",Criteria!G24,", the statement of comprehensive income, statement of changes in equity for the year then ended and notes to the Consolidated Financial Statements, including a summary of significant accounting policies and other explanatory information.")</f>
        <v>We have compiled the accompanying Consolidated Financial Statements of Holding Company 268 (Pty) Ltd, as set out on pages 9 to 62, based on information you have provided. These Consolidated Financial Statements comprise the statement of financial position of Holding Company 268 (Pty) Ltd as at 28 February 2025, the statement of comprehensive income, statement of changes in equity for the year then ended and notes to the Consolidated Financial Statements, including a summary of significant accounting policies and other explanatory information.</v>
      </c>
      <c r="E170" s="480"/>
      <c r="F170" s="480"/>
      <c r="G170" s="480"/>
      <c r="H170" s="480"/>
      <c r="I170" s="480"/>
      <c r="J170" s="480"/>
      <c r="K170" s="480"/>
      <c r="L170" s="480"/>
      <c r="M170" s="480"/>
      <c r="N170" s="480"/>
      <c r="O170" s="480"/>
      <c r="P170" s="480"/>
      <c r="Q170" s="480"/>
    </row>
    <row r="171" spans="4:17" ht="36" customHeight="1" x14ac:dyDescent="0.45">
      <c r="D171" s="480"/>
      <c r="E171" s="480"/>
      <c r="F171" s="480"/>
      <c r="G171" s="480"/>
      <c r="H171" s="480"/>
      <c r="I171" s="480"/>
      <c r="J171" s="480"/>
      <c r="K171" s="480"/>
      <c r="L171" s="480"/>
      <c r="M171" s="480"/>
      <c r="N171" s="480"/>
      <c r="O171" s="480"/>
      <c r="P171" s="480"/>
      <c r="Q171" s="480"/>
    </row>
    <row r="172" spans="4:17" ht="36" customHeight="1" x14ac:dyDescent="0.45">
      <c r="D172" s="480"/>
      <c r="E172" s="480"/>
      <c r="F172" s="480"/>
      <c r="G172" s="480"/>
      <c r="H172" s="480"/>
      <c r="I172" s="480"/>
      <c r="J172" s="480"/>
      <c r="K172" s="480"/>
      <c r="L172" s="480"/>
      <c r="M172" s="480"/>
      <c r="N172" s="480"/>
      <c r="O172" s="480"/>
      <c r="P172" s="480"/>
      <c r="Q172" s="480"/>
    </row>
    <row r="173" spans="4:17" ht="36" customHeight="1" x14ac:dyDescent="0.45">
      <c r="D173" s="480"/>
      <c r="E173" s="480"/>
      <c r="F173" s="480"/>
      <c r="G173" s="480"/>
      <c r="H173" s="480"/>
      <c r="I173" s="480"/>
      <c r="J173" s="480"/>
      <c r="K173" s="480"/>
      <c r="L173" s="480"/>
      <c r="M173" s="480"/>
      <c r="N173" s="480"/>
      <c r="O173" s="480"/>
      <c r="P173" s="480"/>
      <c r="Q173" s="480"/>
    </row>
    <row r="174" spans="4:17" ht="36" customHeight="1" x14ac:dyDescent="0.45">
      <c r="D174" s="480"/>
      <c r="E174" s="480"/>
      <c r="F174" s="480"/>
      <c r="G174" s="480"/>
      <c r="H174" s="480"/>
      <c r="I174" s="480"/>
      <c r="J174" s="480"/>
      <c r="K174" s="480"/>
      <c r="L174" s="480"/>
      <c r="M174" s="480"/>
      <c r="N174" s="480"/>
      <c r="O174" s="480"/>
      <c r="P174" s="480"/>
      <c r="Q174" s="480"/>
    </row>
    <row r="175" spans="4:17" ht="36" customHeight="1" x14ac:dyDescent="0.45">
      <c r="D175" s="480"/>
      <c r="E175" s="480"/>
      <c r="F175" s="480"/>
      <c r="G175" s="480"/>
      <c r="H175" s="480"/>
      <c r="I175" s="480"/>
      <c r="J175" s="480"/>
      <c r="K175" s="480"/>
      <c r="L175" s="480"/>
      <c r="M175" s="480"/>
      <c r="N175" s="480"/>
      <c r="O175" s="480"/>
      <c r="P175" s="480"/>
      <c r="Q175" s="480"/>
    </row>
    <row r="176" spans="4:17" ht="36" customHeight="1" x14ac:dyDescent="0.45">
      <c r="D176" s="480"/>
      <c r="E176" s="480"/>
      <c r="F176" s="480"/>
      <c r="G176" s="480"/>
      <c r="H176" s="480"/>
      <c r="I176" s="480"/>
      <c r="J176" s="480"/>
      <c r="K176" s="480"/>
      <c r="L176" s="480"/>
      <c r="M176" s="480"/>
      <c r="N176" s="480"/>
      <c r="O176" s="480"/>
      <c r="P176" s="480"/>
      <c r="Q176" s="480"/>
    </row>
    <row r="177" spans="4:17" ht="36" customHeight="1" x14ac:dyDescent="0.45">
      <c r="D177" s="480"/>
      <c r="E177" s="480"/>
      <c r="F177" s="480"/>
      <c r="G177" s="480"/>
      <c r="H177" s="480"/>
      <c r="I177" s="480"/>
      <c r="J177" s="480"/>
      <c r="K177" s="480"/>
      <c r="L177" s="480"/>
      <c r="M177" s="480"/>
      <c r="N177" s="480"/>
      <c r="O177" s="480"/>
      <c r="P177" s="480"/>
      <c r="Q177" s="480"/>
    </row>
    <row r="178" spans="4:17" ht="36" customHeight="1" x14ac:dyDescent="0.45">
      <c r="D178" s="434"/>
      <c r="E178" s="434"/>
      <c r="F178" s="434"/>
      <c r="G178" s="434"/>
      <c r="H178" s="434"/>
      <c r="I178" s="434"/>
      <c r="J178" s="434"/>
      <c r="K178" s="434"/>
      <c r="L178" s="434"/>
      <c r="M178" s="435"/>
      <c r="N178" s="435"/>
      <c r="O178" s="435"/>
      <c r="P178" s="435"/>
      <c r="Q178" s="434"/>
    </row>
    <row r="179" spans="4:17" ht="36" customHeight="1" x14ac:dyDescent="0.45">
      <c r="D179" s="434" t="s">
        <v>1116</v>
      </c>
      <c r="E179" s="434"/>
      <c r="F179" s="434"/>
      <c r="G179" s="434"/>
      <c r="H179" s="434"/>
      <c r="I179" s="434"/>
      <c r="J179" s="434"/>
      <c r="K179" s="434"/>
      <c r="L179" s="434"/>
      <c r="M179" s="435"/>
      <c r="N179" s="435"/>
      <c r="O179" s="435"/>
      <c r="P179" s="435"/>
      <c r="Q179" s="434"/>
    </row>
    <row r="180" spans="4:17" ht="36" customHeight="1" x14ac:dyDescent="0.45">
      <c r="D180" s="434" t="s">
        <v>1115</v>
      </c>
      <c r="E180" s="434"/>
      <c r="F180" s="434"/>
      <c r="G180" s="434"/>
      <c r="H180" s="434"/>
      <c r="I180" s="434"/>
      <c r="J180" s="434"/>
      <c r="K180" s="434"/>
      <c r="L180" s="434"/>
      <c r="M180" s="435"/>
      <c r="N180" s="435"/>
      <c r="O180" s="435"/>
      <c r="P180" s="435"/>
      <c r="Q180" s="434"/>
    </row>
    <row r="181" spans="4:17" ht="36" customHeight="1" x14ac:dyDescent="0.45">
      <c r="D181" s="434"/>
      <c r="E181" s="434"/>
      <c r="F181" s="434"/>
      <c r="G181" s="434"/>
      <c r="H181" s="434"/>
      <c r="I181" s="434"/>
      <c r="J181" s="434"/>
      <c r="K181" s="434"/>
      <c r="L181" s="434"/>
      <c r="M181" s="435"/>
      <c r="N181" s="435"/>
      <c r="O181" s="435"/>
      <c r="P181" s="435"/>
      <c r="Q181" s="434"/>
    </row>
    <row r="182" spans="4:17" ht="36" customHeight="1" x14ac:dyDescent="0.45">
      <c r="D182" s="434" t="s">
        <v>1117</v>
      </c>
      <c r="E182" s="434"/>
      <c r="F182" s="434"/>
      <c r="G182" s="434"/>
      <c r="H182" s="434"/>
      <c r="I182" s="434"/>
      <c r="J182" s="434"/>
      <c r="K182" s="434"/>
      <c r="L182" s="434"/>
      <c r="M182" s="435"/>
      <c r="N182" s="435"/>
      <c r="O182" s="435"/>
      <c r="P182" s="435"/>
      <c r="Q182" s="434"/>
    </row>
    <row r="183" spans="4:17" ht="36" customHeight="1" x14ac:dyDescent="0.45">
      <c r="D183" s="434" t="s">
        <v>1118</v>
      </c>
      <c r="E183" s="434"/>
      <c r="F183" s="434"/>
      <c r="G183" s="434"/>
      <c r="H183" s="434"/>
      <c r="I183" s="434"/>
      <c r="J183" s="434"/>
      <c r="K183" s="434"/>
      <c r="L183" s="434"/>
      <c r="M183" s="435"/>
      <c r="N183" s="435"/>
      <c r="O183" s="435"/>
      <c r="P183" s="435"/>
      <c r="Q183" s="434"/>
    </row>
    <row r="184" spans="4:17" ht="36" customHeight="1" x14ac:dyDescent="0.45">
      <c r="D184" s="434" t="s">
        <v>1120</v>
      </c>
      <c r="E184" s="434"/>
      <c r="F184" s="434"/>
      <c r="G184" s="434"/>
      <c r="H184" s="434"/>
      <c r="I184" s="434"/>
      <c r="J184" s="434"/>
      <c r="K184" s="434"/>
      <c r="L184" s="434"/>
      <c r="M184" s="435"/>
      <c r="N184" s="435"/>
      <c r="O184" s="435"/>
      <c r="P184" s="435"/>
      <c r="Q184" s="434"/>
    </row>
    <row r="185" spans="4:17" ht="36" customHeight="1" x14ac:dyDescent="0.45">
      <c r="D185" s="434" t="s">
        <v>1119</v>
      </c>
      <c r="E185" s="434"/>
      <c r="F185" s="434"/>
      <c r="G185" s="434"/>
      <c r="H185" s="434"/>
      <c r="I185" s="434"/>
      <c r="J185" s="434"/>
      <c r="K185" s="434"/>
      <c r="L185" s="434"/>
      <c r="M185" s="435"/>
      <c r="N185" s="435"/>
      <c r="O185" s="435"/>
      <c r="P185" s="435"/>
      <c r="Q185" s="434"/>
    </row>
    <row r="186" spans="4:17" ht="36" customHeight="1" x14ac:dyDescent="0.45">
      <c r="D186" s="434"/>
      <c r="E186" s="434"/>
      <c r="F186" s="434"/>
      <c r="G186" s="434"/>
      <c r="H186" s="434"/>
      <c r="I186" s="434"/>
      <c r="J186" s="434"/>
      <c r="K186" s="434"/>
      <c r="L186" s="434"/>
      <c r="M186" s="435"/>
      <c r="N186" s="435"/>
      <c r="O186" s="435"/>
      <c r="P186" s="435"/>
      <c r="Q186" s="434"/>
    </row>
    <row r="187" spans="4:17" ht="36" customHeight="1" x14ac:dyDescent="0.45">
      <c r="D187" s="434" t="s">
        <v>1082</v>
      </c>
      <c r="E187" s="434"/>
      <c r="F187" s="434"/>
      <c r="G187" s="434"/>
      <c r="H187" s="434"/>
      <c r="I187" s="434"/>
      <c r="J187" s="434"/>
      <c r="K187" s="434"/>
      <c r="L187" s="434"/>
      <c r="M187" s="435"/>
      <c r="N187" s="435"/>
      <c r="O187" s="435"/>
      <c r="P187" s="435"/>
      <c r="Q187" s="434"/>
    </row>
    <row r="188" spans="4:17" ht="36" customHeight="1" x14ac:dyDescent="0.45">
      <c r="D188" s="434" t="s">
        <v>1081</v>
      </c>
      <c r="E188" s="434"/>
      <c r="F188" s="434"/>
      <c r="G188" s="434"/>
      <c r="H188" s="434"/>
      <c r="I188" s="434"/>
      <c r="J188" s="434"/>
      <c r="K188" s="434"/>
      <c r="L188" s="434"/>
      <c r="M188" s="435"/>
      <c r="N188" s="435"/>
      <c r="O188" s="435"/>
      <c r="P188" s="435"/>
      <c r="Q188" s="434"/>
    </row>
    <row r="189" spans="4:17" ht="36" customHeight="1" x14ac:dyDescent="0.45">
      <c r="D189" s="434"/>
      <c r="E189" s="434"/>
      <c r="F189" s="434"/>
      <c r="G189" s="434"/>
      <c r="H189" s="434"/>
      <c r="I189" s="434"/>
      <c r="J189" s="434"/>
      <c r="K189" s="434"/>
      <c r="L189" s="434"/>
      <c r="M189" s="435"/>
      <c r="N189" s="435"/>
      <c r="O189" s="435"/>
      <c r="P189" s="435"/>
      <c r="Q189" s="434"/>
    </row>
    <row r="190" spans="4:17" ht="36" customHeight="1" x14ac:dyDescent="0.45">
      <c r="D190" s="434"/>
      <c r="E190" s="434"/>
      <c r="F190" s="434"/>
      <c r="G190" s="434"/>
      <c r="H190" s="434"/>
      <c r="I190" s="434"/>
      <c r="J190" s="434"/>
      <c r="K190" s="434"/>
      <c r="L190" s="434"/>
      <c r="M190" s="435"/>
      <c r="N190" s="435"/>
      <c r="O190" s="435"/>
      <c r="P190" s="435"/>
      <c r="Q190" s="434"/>
    </row>
    <row r="191" spans="4:17" ht="36" customHeight="1" x14ac:dyDescent="0.45">
      <c r="D191" s="434"/>
      <c r="E191" s="434"/>
      <c r="F191" s="434"/>
      <c r="G191" s="434"/>
      <c r="H191" s="434"/>
      <c r="I191" s="434"/>
      <c r="J191" s="434"/>
      <c r="K191" s="434"/>
      <c r="L191" s="434"/>
      <c r="M191" s="435"/>
      <c r="N191" s="435"/>
      <c r="O191" s="435"/>
      <c r="P191" s="435"/>
      <c r="Q191" s="434"/>
    </row>
    <row r="192" spans="4:17" ht="36" customHeight="1" x14ac:dyDescent="0.45">
      <c r="D192" s="434"/>
      <c r="E192" s="434"/>
      <c r="F192" s="434"/>
      <c r="G192" s="434"/>
      <c r="H192" s="434"/>
      <c r="I192" s="434"/>
      <c r="J192" s="434"/>
      <c r="K192" s="434"/>
      <c r="L192" s="434"/>
      <c r="M192" s="435"/>
      <c r="N192" s="435"/>
      <c r="O192" s="435"/>
      <c r="P192" s="435"/>
      <c r="Q192" s="434"/>
    </row>
    <row r="193" spans="4:17" ht="36" customHeight="1" x14ac:dyDescent="0.45">
      <c r="D193" s="434"/>
      <c r="E193" s="434"/>
      <c r="F193" s="434"/>
      <c r="G193" s="434"/>
      <c r="H193" s="434"/>
      <c r="I193" s="434"/>
      <c r="J193" s="434"/>
      <c r="K193" s="434"/>
      <c r="L193" s="434"/>
      <c r="M193" s="435"/>
      <c r="N193" s="435"/>
      <c r="O193" s="435"/>
      <c r="P193" s="435"/>
      <c r="Q193" s="434"/>
    </row>
    <row r="194" spans="4:17" ht="36" customHeight="1" x14ac:dyDescent="0.45">
      <c r="D194" s="434"/>
      <c r="E194" s="434"/>
      <c r="F194" s="434"/>
      <c r="G194" s="434"/>
      <c r="H194" s="434"/>
      <c r="I194" s="434"/>
      <c r="J194" s="434"/>
      <c r="K194" s="434"/>
      <c r="L194" s="434"/>
      <c r="M194" s="435"/>
      <c r="N194" s="435"/>
      <c r="O194" s="435"/>
      <c r="P194" s="435"/>
      <c r="Q194" s="434"/>
    </row>
    <row r="195" spans="4:17" ht="36" customHeight="1" x14ac:dyDescent="0.45">
      <c r="D195" s="434"/>
      <c r="E195" s="434"/>
      <c r="F195" s="434"/>
      <c r="G195" s="434"/>
      <c r="H195" s="434"/>
      <c r="I195" s="434"/>
      <c r="J195" s="434"/>
      <c r="K195" s="434"/>
      <c r="L195" s="434"/>
      <c r="M195" s="435"/>
      <c r="N195" s="435"/>
      <c r="O195" s="435"/>
      <c r="P195" s="435"/>
      <c r="Q195" s="434"/>
    </row>
    <row r="196" spans="4:17" ht="36" customHeight="1" x14ac:dyDescent="0.45">
      <c r="D196" s="434"/>
      <c r="E196" s="434"/>
      <c r="F196" s="434"/>
      <c r="G196" s="434"/>
      <c r="H196" s="434"/>
      <c r="I196" s="434"/>
      <c r="J196" s="434"/>
      <c r="K196" s="434"/>
      <c r="L196" s="434"/>
      <c r="M196" s="435"/>
      <c r="N196" s="435"/>
      <c r="O196" s="435"/>
      <c r="P196" s="435"/>
      <c r="Q196" s="434"/>
    </row>
    <row r="197" spans="4:17" ht="36" customHeight="1" x14ac:dyDescent="0.45">
      <c r="D197" s="434"/>
      <c r="E197" s="434"/>
      <c r="F197" s="434"/>
      <c r="G197" s="434"/>
      <c r="H197" s="434"/>
      <c r="I197" s="434"/>
      <c r="J197" s="434"/>
      <c r="K197" s="434"/>
      <c r="L197" s="434"/>
      <c r="M197" s="435"/>
      <c r="N197" s="435"/>
      <c r="O197" s="435"/>
      <c r="P197" s="435"/>
      <c r="Q197" s="434"/>
    </row>
    <row r="198" spans="4:17" ht="36" customHeight="1" x14ac:dyDescent="0.45">
      <c r="D198" s="434"/>
      <c r="E198" s="434"/>
      <c r="F198" s="434"/>
      <c r="G198" s="434"/>
      <c r="H198" s="434"/>
      <c r="I198" s="434"/>
      <c r="J198" s="434"/>
      <c r="K198" s="434"/>
      <c r="L198" s="434"/>
      <c r="M198" s="435"/>
      <c r="N198" s="435"/>
      <c r="O198" s="435"/>
      <c r="P198" s="435"/>
      <c r="Q198" s="434"/>
    </row>
    <row r="199" spans="4:17" ht="36" customHeight="1" x14ac:dyDescent="0.45">
      <c r="D199" s="434"/>
      <c r="E199" s="434"/>
      <c r="F199" s="434"/>
      <c r="G199" s="434"/>
      <c r="H199" s="434"/>
      <c r="I199" s="434"/>
      <c r="J199" s="434"/>
      <c r="K199" s="434"/>
      <c r="L199" s="434"/>
      <c r="M199" s="435"/>
      <c r="N199" s="435"/>
      <c r="O199" s="435"/>
      <c r="P199" s="435"/>
      <c r="Q199" s="434"/>
    </row>
    <row r="200" spans="4:17" ht="36" customHeight="1" x14ac:dyDescent="0.45">
      <c r="D200" s="434"/>
      <c r="E200" s="434"/>
      <c r="F200" s="434"/>
      <c r="G200" s="434"/>
      <c r="H200" s="434"/>
      <c r="I200" s="434"/>
      <c r="J200" s="434"/>
      <c r="K200" s="434"/>
      <c r="L200" s="434"/>
      <c r="M200" s="435"/>
      <c r="N200" s="435"/>
      <c r="O200" s="435"/>
      <c r="P200" s="435"/>
      <c r="Q200" s="434"/>
    </row>
    <row r="201" spans="4:17" ht="36" customHeight="1" x14ac:dyDescent="0.45">
      <c r="D201" s="434"/>
      <c r="E201" s="434"/>
      <c r="F201" s="434"/>
      <c r="G201" s="434"/>
      <c r="H201" s="434"/>
      <c r="I201" s="434"/>
      <c r="J201" s="434"/>
      <c r="K201" s="434"/>
      <c r="L201" s="434"/>
      <c r="M201" s="435"/>
      <c r="N201" s="435"/>
      <c r="O201" s="435"/>
      <c r="P201" s="435"/>
      <c r="Q201" s="434"/>
    </row>
    <row r="202" spans="4:17" ht="36" customHeight="1" x14ac:dyDescent="0.45">
      <c r="D202" s="434"/>
      <c r="E202" s="434"/>
      <c r="F202" s="434"/>
      <c r="G202" s="434"/>
      <c r="H202" s="434"/>
      <c r="I202" s="434"/>
      <c r="J202" s="434"/>
      <c r="K202" s="434"/>
      <c r="L202" s="434"/>
      <c r="M202" s="435"/>
      <c r="N202" s="435"/>
      <c r="O202" s="435"/>
      <c r="P202" s="435"/>
      <c r="Q202" s="434"/>
    </row>
    <row r="203" spans="4:17" ht="36" customHeight="1" x14ac:dyDescent="0.45">
      <c r="D203" s="434"/>
      <c r="E203" s="434"/>
      <c r="F203" s="434"/>
      <c r="G203" s="434"/>
      <c r="H203" s="434"/>
      <c r="I203" s="434"/>
      <c r="J203" s="434"/>
      <c r="K203" s="434"/>
      <c r="L203" s="434"/>
      <c r="M203" s="435"/>
      <c r="N203" s="435"/>
      <c r="O203" s="435"/>
      <c r="P203" s="435"/>
      <c r="Q203" s="434"/>
    </row>
    <row r="204" spans="4:17" ht="36" customHeight="1" x14ac:dyDescent="0.45">
      <c r="D204" s="434"/>
      <c r="E204" s="434"/>
      <c r="F204" s="434"/>
      <c r="G204" s="434"/>
      <c r="H204" s="434"/>
      <c r="I204" s="434"/>
      <c r="J204" s="434"/>
      <c r="K204" s="434"/>
      <c r="L204" s="434"/>
      <c r="M204" s="435"/>
      <c r="N204" s="435"/>
      <c r="O204" s="435"/>
      <c r="P204" s="435"/>
      <c r="Q204" s="434"/>
    </row>
    <row r="205" spans="4:17" ht="36" customHeight="1" x14ac:dyDescent="0.45">
      <c r="D205" s="434"/>
      <c r="E205" s="434"/>
      <c r="F205" s="434"/>
      <c r="G205" s="434"/>
      <c r="H205" s="434"/>
      <c r="I205" s="434"/>
      <c r="J205" s="434"/>
      <c r="K205" s="434"/>
      <c r="L205" s="434"/>
      <c r="M205" s="435"/>
      <c r="N205" s="435"/>
      <c r="O205" s="295" t="s">
        <v>89</v>
      </c>
      <c r="Q205" s="292">
        <f>MAX($Q$105:Q204)+1</f>
        <v>3</v>
      </c>
    </row>
    <row r="206" spans="4:17" ht="36" customHeight="1" x14ac:dyDescent="0.45">
      <c r="D206" s="434"/>
      <c r="E206" s="434"/>
      <c r="F206" s="434"/>
      <c r="G206" s="434"/>
      <c r="H206" s="434"/>
      <c r="I206" s="434"/>
      <c r="J206" s="434"/>
      <c r="K206" s="434"/>
      <c r="L206" s="434"/>
      <c r="M206" s="435"/>
      <c r="N206" s="435"/>
      <c r="O206" s="435"/>
      <c r="P206" s="435"/>
      <c r="Q206" s="434"/>
    </row>
    <row r="207" spans="4:17" ht="36" customHeight="1" x14ac:dyDescent="0.45">
      <c r="D207" s="434"/>
      <c r="E207" s="434"/>
      <c r="F207" s="434"/>
      <c r="G207" s="434"/>
      <c r="H207" s="434"/>
      <c r="I207" s="434"/>
      <c r="J207" s="434"/>
      <c r="K207" s="434"/>
      <c r="L207" s="434"/>
      <c r="M207" s="435"/>
      <c r="N207" s="435"/>
      <c r="O207" s="435"/>
      <c r="P207" s="435"/>
      <c r="Q207" s="434"/>
    </row>
    <row r="208" spans="4:17" ht="36" customHeight="1" x14ac:dyDescent="0.45">
      <c r="D208" s="434"/>
      <c r="E208" s="434"/>
      <c r="F208" s="434"/>
      <c r="G208" s="434"/>
      <c r="H208" s="434"/>
      <c r="I208" s="434"/>
      <c r="J208" s="434"/>
      <c r="K208" s="434"/>
      <c r="L208" s="434"/>
      <c r="M208" s="435"/>
      <c r="N208" s="435"/>
      <c r="O208" s="435"/>
      <c r="P208" s="435"/>
      <c r="Q208" s="434"/>
    </row>
    <row r="209" spans="4:17" ht="36" customHeight="1" x14ac:dyDescent="0.45">
      <c r="D209" s="434"/>
      <c r="E209" s="434"/>
      <c r="F209" s="434"/>
      <c r="G209" s="434"/>
      <c r="H209" s="434"/>
      <c r="I209" s="434"/>
      <c r="J209" s="434"/>
      <c r="K209" s="434"/>
      <c r="L209" s="434"/>
      <c r="M209" s="435"/>
      <c r="N209" s="435"/>
      <c r="O209" s="435"/>
      <c r="P209" s="435"/>
      <c r="Q209" s="434"/>
    </row>
    <row r="210" spans="4:17" ht="36" customHeight="1" x14ac:dyDescent="0.45">
      <c r="D210" s="434" t="s">
        <v>1121</v>
      </c>
      <c r="E210" s="434"/>
      <c r="F210" s="434"/>
      <c r="G210" s="434"/>
      <c r="H210" s="434"/>
      <c r="I210" s="434"/>
      <c r="J210" s="434"/>
      <c r="K210" s="434"/>
      <c r="L210" s="434"/>
      <c r="M210" s="435"/>
      <c r="N210" s="435"/>
      <c r="O210" s="435"/>
      <c r="P210" s="435"/>
      <c r="Q210" s="434"/>
    </row>
    <row r="211" spans="4:17" ht="36" customHeight="1" x14ac:dyDescent="0.45">
      <c r="D211" s="434" t="s">
        <v>1122</v>
      </c>
      <c r="E211" s="434"/>
      <c r="F211" s="434"/>
      <c r="G211" s="434"/>
      <c r="H211" s="434"/>
      <c r="I211" s="434"/>
      <c r="J211" s="434"/>
      <c r="K211" s="434"/>
      <c r="L211" s="434"/>
      <c r="M211" s="435"/>
      <c r="N211" s="435"/>
      <c r="O211" s="435"/>
      <c r="P211" s="435"/>
      <c r="Q211" s="434"/>
    </row>
    <row r="212" spans="4:17" ht="36" customHeight="1" x14ac:dyDescent="0.45">
      <c r="D212" s="434" t="s">
        <v>1123</v>
      </c>
      <c r="E212" s="434"/>
      <c r="F212" s="434"/>
      <c r="G212" s="434"/>
      <c r="H212" s="434"/>
      <c r="I212" s="434"/>
      <c r="J212" s="434"/>
      <c r="K212" s="434"/>
      <c r="L212" s="434"/>
      <c r="M212" s="435"/>
      <c r="N212" s="435"/>
      <c r="O212" s="435"/>
      <c r="P212" s="435"/>
      <c r="Q212" s="434"/>
    </row>
    <row r="213" spans="4:17" ht="36" customHeight="1" x14ac:dyDescent="0.45">
      <c r="D213" s="434" t="s">
        <v>1124</v>
      </c>
      <c r="E213" s="434"/>
      <c r="F213" s="434"/>
      <c r="G213" s="434"/>
      <c r="H213" s="434"/>
      <c r="I213" s="434"/>
      <c r="J213" s="434"/>
      <c r="K213" s="434"/>
      <c r="L213" s="434"/>
      <c r="M213" s="435"/>
      <c r="N213" s="435"/>
      <c r="O213" s="435"/>
      <c r="P213" s="435"/>
      <c r="Q213" s="434"/>
    </row>
    <row r="214" spans="4:17" ht="36" customHeight="1" x14ac:dyDescent="0.45">
      <c r="D214" s="434" t="s">
        <v>1126</v>
      </c>
      <c r="E214" s="434"/>
      <c r="F214" s="434"/>
      <c r="G214" s="434"/>
      <c r="H214" s="434"/>
      <c r="I214" s="434"/>
      <c r="J214" s="434"/>
      <c r="K214" s="434"/>
      <c r="L214" s="434"/>
      <c r="M214" s="435"/>
      <c r="N214" s="435"/>
      <c r="O214" s="435"/>
      <c r="P214" s="435"/>
      <c r="Q214" s="434"/>
    </row>
    <row r="215" spans="4:17" ht="36" customHeight="1" x14ac:dyDescent="0.45">
      <c r="D215" s="434" t="s">
        <v>1125</v>
      </c>
      <c r="E215" s="434"/>
      <c r="F215" s="434"/>
      <c r="G215" s="434"/>
      <c r="H215" s="434"/>
      <c r="I215" s="434"/>
      <c r="J215" s="434"/>
      <c r="K215" s="434"/>
      <c r="L215" s="434"/>
      <c r="M215" s="435"/>
      <c r="N215" s="435"/>
      <c r="O215" s="435"/>
      <c r="P215" s="435"/>
      <c r="Q215" s="434"/>
    </row>
    <row r="216" spans="4:17" ht="36" customHeight="1" x14ac:dyDescent="0.45">
      <c r="D216" s="434"/>
      <c r="E216" s="434"/>
      <c r="F216" s="434"/>
      <c r="G216" s="434"/>
      <c r="H216" s="434"/>
      <c r="I216" s="434"/>
      <c r="J216" s="434"/>
      <c r="K216" s="434"/>
      <c r="L216" s="434"/>
      <c r="M216" s="435"/>
      <c r="N216" s="435"/>
      <c r="O216" s="435"/>
      <c r="P216" s="435"/>
      <c r="Q216" s="434"/>
    </row>
    <row r="217" spans="4:17" ht="36" customHeight="1" x14ac:dyDescent="0.45">
      <c r="D217" s="434"/>
      <c r="E217" s="434"/>
      <c r="F217" s="434"/>
      <c r="G217" s="434"/>
      <c r="H217" s="434"/>
      <c r="I217" s="434"/>
      <c r="J217" s="434"/>
      <c r="K217" s="434"/>
      <c r="L217" s="434"/>
      <c r="M217" s="435"/>
      <c r="N217" s="435"/>
      <c r="O217" s="435"/>
      <c r="P217" s="435"/>
      <c r="Q217" s="434"/>
    </row>
    <row r="218" spans="4:17" ht="36" customHeight="1" x14ac:dyDescent="0.45">
      <c r="D218" s="434"/>
      <c r="E218" s="434"/>
      <c r="F218" s="434"/>
      <c r="G218" s="434"/>
      <c r="H218" s="434"/>
      <c r="I218" s="434"/>
      <c r="J218" s="434"/>
      <c r="K218" s="434"/>
      <c r="L218" s="434"/>
      <c r="M218" s="435"/>
      <c r="N218" s="435"/>
      <c r="O218" s="435"/>
      <c r="P218" s="435"/>
      <c r="Q218" s="434"/>
    </row>
    <row r="219" spans="4:17" ht="36" customHeight="1" x14ac:dyDescent="0.45">
      <c r="D219" s="434"/>
      <c r="E219" s="434"/>
      <c r="F219" s="434"/>
      <c r="G219" s="434"/>
      <c r="H219" s="434"/>
      <c r="I219" s="434"/>
      <c r="J219" s="434"/>
      <c r="K219" s="434"/>
      <c r="L219" s="434"/>
      <c r="M219" s="435"/>
      <c r="N219" s="435"/>
      <c r="O219" s="435"/>
      <c r="P219" s="435"/>
      <c r="Q219" s="434"/>
    </row>
    <row r="220" spans="4:17" ht="36" customHeight="1" x14ac:dyDescent="0.45">
      <c r="D220" s="434" t="s">
        <v>114</v>
      </c>
      <c r="E220" s="434"/>
      <c r="F220" s="434"/>
      <c r="G220" s="434"/>
      <c r="H220" s="434"/>
      <c r="I220" s="434"/>
      <c r="J220" s="434"/>
      <c r="K220" s="434"/>
      <c r="L220" s="434"/>
      <c r="M220" s="435"/>
      <c r="N220" s="435"/>
      <c r="O220" s="435"/>
      <c r="P220" s="435"/>
      <c r="Q220" s="434"/>
    </row>
    <row r="221" spans="4:17" ht="36" customHeight="1" x14ac:dyDescent="0.45">
      <c r="D221" s="478" t="s">
        <v>829</v>
      </c>
      <c r="E221" s="478"/>
      <c r="F221" s="478"/>
      <c r="G221" s="478"/>
      <c r="H221" s="478"/>
      <c r="I221" s="434"/>
      <c r="J221" s="434"/>
      <c r="K221" s="434"/>
      <c r="L221" s="434"/>
      <c r="M221" s="435"/>
      <c r="N221" s="435"/>
      <c r="O221" s="435"/>
      <c r="P221" s="435"/>
      <c r="Q221" s="434"/>
    </row>
    <row r="222" spans="4:17" ht="36" customHeight="1" x14ac:dyDescent="0.45">
      <c r="D222" s="434"/>
      <c r="E222" s="434"/>
      <c r="F222" s="434"/>
      <c r="G222" s="434"/>
      <c r="H222" s="434"/>
      <c r="I222" s="434"/>
      <c r="J222" s="434"/>
      <c r="K222" s="434"/>
      <c r="L222" s="434"/>
      <c r="M222" s="435"/>
      <c r="N222" s="435"/>
      <c r="O222" s="435"/>
      <c r="P222" s="435"/>
      <c r="Q222" s="434"/>
    </row>
    <row r="223" spans="4:17" ht="36" customHeight="1" x14ac:dyDescent="0.45">
      <c r="D223" s="434" t="s">
        <v>94</v>
      </c>
      <c r="E223" s="434"/>
      <c r="F223" s="434"/>
      <c r="G223" s="434"/>
      <c r="H223" s="434"/>
      <c r="I223" s="434"/>
      <c r="J223" s="434"/>
      <c r="K223" s="434"/>
      <c r="L223" s="434"/>
      <c r="M223" s="435"/>
      <c r="N223" s="435"/>
      <c r="O223" s="435"/>
      <c r="P223" s="435"/>
      <c r="Q223" s="434"/>
    </row>
    <row r="224" spans="4:17" ht="36" customHeight="1" x14ac:dyDescent="0.45">
      <c r="D224" s="434"/>
      <c r="E224" s="434" t="s">
        <v>115</v>
      </c>
      <c r="F224" s="434"/>
      <c r="G224" s="434"/>
      <c r="H224" s="434"/>
      <c r="I224" s="434"/>
      <c r="J224" s="434"/>
      <c r="K224" s="434"/>
      <c r="L224" s="434"/>
      <c r="M224" s="435"/>
      <c r="N224" s="435"/>
      <c r="O224" s="435"/>
      <c r="P224" s="435"/>
      <c r="Q224" s="434"/>
    </row>
    <row r="225" spans="4:17" ht="36" customHeight="1" x14ac:dyDescent="0.45">
      <c r="D225" s="350"/>
      <c r="E225" s="434"/>
      <c r="F225" s="434"/>
      <c r="G225" s="434"/>
      <c r="H225" s="434"/>
      <c r="I225" s="434"/>
      <c r="J225" s="434"/>
      <c r="K225" s="434"/>
      <c r="L225" s="434"/>
      <c r="M225" s="435"/>
      <c r="N225" s="435"/>
      <c r="O225" s="435"/>
      <c r="P225" s="435"/>
      <c r="Q225" s="434"/>
    </row>
    <row r="226" spans="4:17" ht="36" customHeight="1" x14ac:dyDescent="0.45">
      <c r="D226" s="434" t="str">
        <f>Criteria!F29</f>
        <v>Johannesburg</v>
      </c>
      <c r="E226" s="434"/>
      <c r="F226" s="434"/>
      <c r="G226" s="434"/>
      <c r="H226" s="434"/>
      <c r="I226" s="434"/>
      <c r="J226" s="434"/>
      <c r="K226" s="434"/>
      <c r="L226" s="434"/>
      <c r="M226" s="435"/>
      <c r="N226" s="435"/>
      <c r="O226" s="435"/>
      <c r="P226" s="435"/>
      <c r="Q226" s="434"/>
    </row>
    <row r="227" spans="4:17" ht="36" customHeight="1" x14ac:dyDescent="0.45">
      <c r="D227" s="434"/>
      <c r="E227" s="434"/>
      <c r="F227" s="434"/>
      <c r="G227" s="434"/>
      <c r="H227" s="434"/>
      <c r="I227" s="434"/>
      <c r="J227" s="434"/>
      <c r="K227" s="434"/>
      <c r="L227" s="434"/>
      <c r="M227" s="435"/>
      <c r="N227" s="435"/>
      <c r="O227" s="435"/>
      <c r="P227" s="435"/>
      <c r="Q227" s="434"/>
    </row>
    <row r="228" spans="4:17" ht="36" customHeight="1" x14ac:dyDescent="0.45">
      <c r="D228" s="434"/>
      <c r="E228" s="434"/>
      <c r="F228" s="434"/>
      <c r="G228" s="434"/>
      <c r="H228" s="434"/>
      <c r="I228" s="434"/>
      <c r="J228" s="434"/>
      <c r="K228" s="434"/>
      <c r="L228" s="434"/>
      <c r="M228" s="435"/>
      <c r="N228" s="435"/>
      <c r="O228" s="435"/>
      <c r="P228" s="435"/>
      <c r="Q228" s="434"/>
    </row>
    <row r="229" spans="4:17" ht="36" customHeight="1" x14ac:dyDescent="0.45">
      <c r="D229" s="434"/>
      <c r="E229" s="434"/>
      <c r="F229" s="434"/>
      <c r="G229" s="434"/>
      <c r="H229" s="434"/>
      <c r="I229" s="434"/>
      <c r="J229" s="434"/>
      <c r="K229" s="434"/>
      <c r="L229" s="434"/>
      <c r="M229" s="435"/>
      <c r="N229" s="435"/>
      <c r="O229" s="435"/>
      <c r="P229" s="435"/>
      <c r="Q229" s="434"/>
    </row>
    <row r="230" spans="4:17" ht="36" customHeight="1" x14ac:dyDescent="0.45">
      <c r="D230" s="434"/>
      <c r="E230" s="434"/>
      <c r="F230" s="434"/>
      <c r="G230" s="434"/>
      <c r="H230" s="434"/>
      <c r="I230" s="434"/>
      <c r="J230" s="434"/>
      <c r="K230" s="434"/>
      <c r="L230" s="434"/>
      <c r="M230" s="435"/>
      <c r="N230" s="435"/>
      <c r="O230" s="435"/>
      <c r="P230" s="435"/>
      <c r="Q230" s="434"/>
    </row>
    <row r="231" spans="4:17" ht="36" customHeight="1" x14ac:dyDescent="0.45">
      <c r="D231" s="434"/>
      <c r="E231" s="434"/>
      <c r="F231" s="434"/>
      <c r="G231" s="434"/>
      <c r="H231" s="434"/>
      <c r="I231" s="434"/>
      <c r="J231" s="434"/>
      <c r="K231" s="434"/>
      <c r="L231" s="434"/>
      <c r="M231" s="435"/>
      <c r="N231" s="435"/>
      <c r="O231" s="435"/>
      <c r="P231" s="435"/>
      <c r="Q231" s="434"/>
    </row>
    <row r="232" spans="4:17" ht="36" customHeight="1" x14ac:dyDescent="0.45">
      <c r="D232" s="434"/>
      <c r="E232" s="434"/>
      <c r="F232" s="434"/>
      <c r="G232" s="434"/>
      <c r="H232" s="434"/>
      <c r="I232" s="434"/>
      <c r="J232" s="434"/>
      <c r="K232" s="434"/>
      <c r="L232" s="434"/>
      <c r="M232" s="435"/>
      <c r="N232" s="435"/>
      <c r="O232" s="435"/>
      <c r="P232" s="435"/>
      <c r="Q232" s="434"/>
    </row>
    <row r="233" spans="4:17" ht="36" customHeight="1" x14ac:dyDescent="0.45">
      <c r="D233" s="434"/>
      <c r="E233" s="434"/>
      <c r="F233" s="434"/>
      <c r="G233" s="434"/>
      <c r="H233" s="434"/>
      <c r="I233" s="434"/>
      <c r="J233" s="434"/>
      <c r="K233" s="434"/>
      <c r="L233" s="434"/>
      <c r="M233" s="435"/>
      <c r="N233" s="435"/>
      <c r="O233" s="435"/>
      <c r="P233" s="435"/>
      <c r="Q233" s="434"/>
    </row>
    <row r="234" spans="4:17" ht="36" customHeight="1" x14ac:dyDescent="0.45">
      <c r="D234" s="434"/>
      <c r="E234" s="434"/>
      <c r="F234" s="434"/>
      <c r="G234" s="434"/>
      <c r="H234" s="434"/>
      <c r="I234" s="434"/>
      <c r="J234" s="434"/>
      <c r="K234" s="434"/>
      <c r="L234" s="434"/>
      <c r="M234" s="435"/>
      <c r="N234" s="435"/>
      <c r="O234" s="435"/>
      <c r="P234" s="435"/>
      <c r="Q234" s="434"/>
    </row>
    <row r="235" spans="4:17" ht="36" customHeight="1" x14ac:dyDescent="0.45">
      <c r="D235" s="434"/>
      <c r="E235" s="434"/>
      <c r="F235" s="434"/>
      <c r="G235" s="434"/>
      <c r="H235" s="434"/>
      <c r="I235" s="434"/>
      <c r="J235" s="434"/>
      <c r="K235" s="434"/>
      <c r="L235" s="434"/>
      <c r="M235" s="435"/>
      <c r="N235" s="435"/>
      <c r="O235" s="435"/>
      <c r="P235" s="435"/>
      <c r="Q235" s="434"/>
    </row>
    <row r="236" spans="4:17" ht="36" customHeight="1" x14ac:dyDescent="0.45">
      <c r="D236" s="434"/>
      <c r="E236" s="434"/>
      <c r="F236" s="434"/>
      <c r="G236" s="434"/>
      <c r="H236" s="434"/>
      <c r="I236" s="434"/>
      <c r="J236" s="434"/>
      <c r="K236" s="434"/>
      <c r="L236" s="434"/>
      <c r="M236" s="435"/>
      <c r="N236" s="435"/>
      <c r="O236" s="435"/>
      <c r="P236" s="435"/>
      <c r="Q236" s="434"/>
    </row>
    <row r="237" spans="4:17" ht="36" customHeight="1" x14ac:dyDescent="0.45">
      <c r="D237" s="434"/>
      <c r="E237" s="434"/>
      <c r="F237" s="434"/>
      <c r="G237" s="434"/>
      <c r="H237" s="434"/>
      <c r="I237" s="434"/>
      <c r="J237" s="434"/>
      <c r="K237" s="434"/>
      <c r="L237" s="434"/>
      <c r="M237" s="435"/>
      <c r="N237" s="435"/>
      <c r="O237" s="435"/>
      <c r="P237" s="435"/>
      <c r="Q237" s="434"/>
    </row>
    <row r="238" spans="4:17" ht="36" customHeight="1" x14ac:dyDescent="0.45">
      <c r="D238" s="434"/>
      <c r="E238" s="434"/>
      <c r="F238" s="434"/>
      <c r="G238" s="434"/>
      <c r="H238" s="434"/>
      <c r="I238" s="434"/>
      <c r="J238" s="434"/>
      <c r="K238" s="434"/>
      <c r="L238" s="434"/>
      <c r="M238" s="435"/>
      <c r="N238" s="435"/>
      <c r="O238" s="435"/>
      <c r="P238" s="435"/>
      <c r="Q238" s="434"/>
    </row>
    <row r="239" spans="4:17" ht="36" customHeight="1" x14ac:dyDescent="0.45">
      <c r="D239" s="434"/>
      <c r="E239" s="434"/>
      <c r="F239" s="434"/>
      <c r="G239" s="434"/>
      <c r="H239" s="434"/>
      <c r="I239" s="434"/>
      <c r="J239" s="434"/>
      <c r="K239" s="434"/>
      <c r="L239" s="434"/>
      <c r="M239" s="435"/>
      <c r="N239" s="435"/>
      <c r="O239" s="435"/>
      <c r="P239" s="435"/>
      <c r="Q239" s="434"/>
    </row>
    <row r="240" spans="4:17" ht="36" customHeight="1" x14ac:dyDescent="0.45">
      <c r="D240" s="434"/>
      <c r="E240" s="434"/>
      <c r="F240" s="434"/>
      <c r="G240" s="434"/>
      <c r="H240" s="434"/>
      <c r="I240" s="434"/>
      <c r="J240" s="434"/>
      <c r="K240" s="434"/>
      <c r="L240" s="434"/>
      <c r="M240" s="435"/>
      <c r="N240" s="435"/>
      <c r="O240" s="435"/>
      <c r="P240" s="435"/>
      <c r="Q240" s="434"/>
    </row>
    <row r="241" spans="4:18" ht="36" customHeight="1" x14ac:dyDescent="0.45">
      <c r="D241" s="434"/>
      <c r="E241" s="434"/>
      <c r="F241" s="434"/>
      <c r="G241" s="434"/>
      <c r="H241" s="434"/>
      <c r="I241" s="434"/>
      <c r="J241" s="434"/>
      <c r="K241" s="434"/>
      <c r="L241" s="434"/>
      <c r="M241" s="435"/>
      <c r="N241" s="435"/>
      <c r="O241" s="435"/>
      <c r="P241" s="435"/>
      <c r="Q241" s="434"/>
    </row>
    <row r="242" spans="4:18" ht="36" customHeight="1" x14ac:dyDescent="0.45">
      <c r="D242" s="434"/>
      <c r="E242" s="434"/>
      <c r="F242" s="434"/>
      <c r="G242" s="434"/>
      <c r="H242" s="434"/>
      <c r="I242" s="434"/>
      <c r="J242" s="434"/>
      <c r="K242" s="434"/>
      <c r="L242" s="434"/>
      <c r="M242" s="435"/>
      <c r="N242" s="435"/>
      <c r="O242" s="435"/>
      <c r="P242" s="435"/>
      <c r="Q242" s="434"/>
    </row>
    <row r="243" spans="4:18" ht="36" customHeight="1" x14ac:dyDescent="0.45">
      <c r="D243" s="434"/>
      <c r="E243" s="434"/>
      <c r="F243" s="434"/>
      <c r="G243" s="434"/>
      <c r="H243" s="434"/>
      <c r="I243" s="434"/>
      <c r="J243" s="434"/>
      <c r="K243" s="434"/>
      <c r="L243" s="434"/>
      <c r="M243" s="435"/>
      <c r="N243" s="435"/>
      <c r="O243" s="435"/>
      <c r="P243" s="435"/>
      <c r="Q243" s="434"/>
    </row>
    <row r="244" spans="4:18" ht="36" customHeight="1" x14ac:dyDescent="0.45">
      <c r="D244" s="434"/>
      <c r="E244" s="434"/>
      <c r="F244" s="434"/>
      <c r="G244" s="434"/>
      <c r="H244" s="434"/>
      <c r="I244" s="434"/>
      <c r="J244" s="434"/>
      <c r="K244" s="434"/>
      <c r="L244" s="434"/>
      <c r="M244" s="435"/>
      <c r="N244" s="435"/>
      <c r="O244" s="435"/>
      <c r="P244" s="435"/>
      <c r="Q244" s="434"/>
    </row>
    <row r="245" spans="4:18" ht="36" customHeight="1" x14ac:dyDescent="0.45">
      <c r="D245" s="434"/>
      <c r="E245" s="434"/>
      <c r="F245" s="434"/>
      <c r="G245" s="434"/>
      <c r="H245" s="434"/>
      <c r="I245" s="434"/>
      <c r="J245" s="434"/>
      <c r="K245" s="434"/>
      <c r="L245" s="434"/>
      <c r="M245" s="435"/>
      <c r="N245" s="435"/>
      <c r="O245" s="435"/>
      <c r="P245" s="435"/>
      <c r="Q245" s="434"/>
    </row>
    <row r="246" spans="4:18" ht="36" customHeight="1" x14ac:dyDescent="0.45">
      <c r="D246" s="434"/>
      <c r="E246" s="434"/>
      <c r="F246" s="434"/>
      <c r="G246" s="434"/>
      <c r="H246" s="434"/>
      <c r="I246" s="434"/>
      <c r="J246" s="434"/>
      <c r="K246" s="434"/>
      <c r="L246" s="434"/>
      <c r="M246" s="435"/>
      <c r="N246" s="435"/>
      <c r="O246" s="435"/>
      <c r="P246" s="435"/>
      <c r="Q246" s="434"/>
    </row>
    <row r="247" spans="4:18" ht="36" customHeight="1" x14ac:dyDescent="0.45">
      <c r="D247" s="434"/>
      <c r="E247" s="434"/>
      <c r="F247" s="434"/>
      <c r="G247" s="434"/>
      <c r="H247" s="434"/>
      <c r="I247" s="434"/>
      <c r="J247" s="434"/>
      <c r="K247" s="434"/>
      <c r="L247" s="434"/>
      <c r="M247" s="435"/>
      <c r="N247" s="435"/>
      <c r="O247" s="435"/>
      <c r="P247" s="435"/>
      <c r="Q247" s="434"/>
    </row>
    <row r="248" spans="4:18" ht="36" customHeight="1" x14ac:dyDescent="0.45">
      <c r="D248" s="434"/>
      <c r="E248" s="434"/>
      <c r="F248" s="434"/>
      <c r="G248" s="434"/>
      <c r="H248" s="434"/>
      <c r="I248" s="434"/>
      <c r="J248" s="434"/>
      <c r="K248" s="434"/>
      <c r="L248" s="434"/>
      <c r="M248" s="435"/>
      <c r="N248" s="435"/>
      <c r="O248" s="435"/>
      <c r="P248" s="435"/>
      <c r="Q248" s="434"/>
    </row>
    <row r="249" spans="4:18" ht="36" customHeight="1" x14ac:dyDescent="0.45">
      <c r="D249" s="434"/>
      <c r="E249" s="434"/>
      <c r="F249" s="434"/>
      <c r="G249" s="434"/>
      <c r="H249" s="434"/>
      <c r="I249" s="434"/>
      <c r="J249" s="434"/>
      <c r="K249" s="434"/>
      <c r="L249" s="434"/>
      <c r="M249" s="435"/>
      <c r="N249" s="435"/>
      <c r="O249" s="435"/>
      <c r="P249" s="435"/>
      <c r="Q249" s="434"/>
    </row>
    <row r="250" spans="4:18" ht="36" customHeight="1" x14ac:dyDescent="0.45">
      <c r="D250" s="434"/>
      <c r="E250" s="434"/>
      <c r="F250" s="434"/>
      <c r="G250" s="434"/>
      <c r="H250" s="434"/>
      <c r="I250" s="434"/>
      <c r="J250" s="434"/>
      <c r="K250" s="434"/>
      <c r="L250" s="434"/>
      <c r="M250" s="435"/>
      <c r="N250" s="435"/>
      <c r="O250" s="435"/>
      <c r="P250" s="435"/>
      <c r="Q250" s="434"/>
    </row>
    <row r="251" spans="4:18" ht="36" customHeight="1" x14ac:dyDescent="0.45">
      <c r="D251" s="434"/>
      <c r="E251" s="434"/>
      <c r="F251" s="434"/>
      <c r="G251" s="434"/>
      <c r="H251" s="434"/>
      <c r="I251" s="434"/>
      <c r="J251" s="434"/>
      <c r="K251" s="434"/>
      <c r="L251" s="434"/>
      <c r="M251" s="434"/>
      <c r="N251" s="434"/>
      <c r="O251" s="434"/>
      <c r="P251" s="434"/>
      <c r="Q251" s="434"/>
    </row>
    <row r="252" spans="4:18" ht="36" customHeight="1" x14ac:dyDescent="0.45">
      <c r="D252" s="434"/>
      <c r="E252" s="434"/>
      <c r="F252" s="434"/>
      <c r="G252" s="434"/>
      <c r="H252" s="434"/>
      <c r="I252" s="434"/>
      <c r="J252" s="434"/>
      <c r="K252" s="434"/>
      <c r="L252" s="434"/>
      <c r="M252" s="434"/>
      <c r="N252" s="434"/>
      <c r="O252" s="434"/>
      <c r="P252" s="434"/>
      <c r="Q252" s="434"/>
    </row>
    <row r="253" spans="4:18" ht="36" customHeight="1" x14ac:dyDescent="0.45">
      <c r="M253" s="347"/>
      <c r="O253" s="295" t="s">
        <v>89</v>
      </c>
      <c r="P253" s="295"/>
      <c r="Q253" s="292">
        <f>MAX($Q$105:Q252)+1</f>
        <v>4</v>
      </c>
    </row>
    <row r="254" spans="4:18" ht="36" customHeight="1" x14ac:dyDescent="0.5">
      <c r="D254" s="456" t="str">
        <f>Criteria!E9</f>
        <v>HOLDING COMPANY 268 (PROPRIETARY) LIMITED</v>
      </c>
      <c r="E254" s="450"/>
      <c r="F254" s="450"/>
      <c r="G254" s="450"/>
      <c r="H254" s="450"/>
      <c r="I254" s="450"/>
      <c r="J254" s="450"/>
      <c r="M254" s="347"/>
      <c r="O254" s="347"/>
    </row>
    <row r="255" spans="4:18" ht="36" customHeight="1" x14ac:dyDescent="0.5">
      <c r="D255" s="456" t="str">
        <f>Criteria!E10</f>
        <v>CONSOLIDATED FINANCIAL STATEMENTS</v>
      </c>
      <c r="E255" s="450"/>
      <c r="F255" s="450"/>
      <c r="G255" s="450"/>
      <c r="H255" s="450"/>
      <c r="I255" s="450"/>
      <c r="J255" s="450"/>
      <c r="M255" s="347"/>
      <c r="O255" s="347"/>
      <c r="R255" s="348" t="str">
        <f>IF(D255=0,"DELETE"," ")</f>
        <v xml:space="preserve"> </v>
      </c>
    </row>
    <row r="256" spans="4:18" ht="36" customHeight="1" x14ac:dyDescent="0.5">
      <c r="D256" s="450"/>
      <c r="E256" s="450"/>
      <c r="F256" s="450"/>
      <c r="G256" s="450"/>
      <c r="H256" s="450"/>
      <c r="I256" s="450"/>
      <c r="J256" s="450"/>
      <c r="M256" s="347"/>
      <c r="O256" s="347"/>
    </row>
    <row r="257" spans="2:18" ht="36" customHeight="1" x14ac:dyDescent="0.5">
      <c r="D257" s="456" t="str">
        <f>IF(SUM(Criteria!I38:I42)&gt;1,"DIRECTORS' REPORT FOR THE YEAR ENDED","DIRECTOR'S REPORT FOR THE YEAR ENDED")</f>
        <v>DIRECTORS' REPORT FOR THE YEAR ENDED</v>
      </c>
      <c r="E257" s="450"/>
      <c r="F257" s="450"/>
      <c r="G257" s="450"/>
      <c r="H257" s="450"/>
      <c r="I257" s="450"/>
      <c r="J257" s="450"/>
      <c r="M257" s="358"/>
      <c r="N257" s="358"/>
      <c r="O257" s="347"/>
    </row>
    <row r="258" spans="2:18" ht="36" customHeight="1" x14ac:dyDescent="0.5">
      <c r="D258" s="456" t="str">
        <f>Criteria!E20</f>
        <v>28 FEBRUARY 2025</v>
      </c>
      <c r="E258" s="450"/>
      <c r="F258" s="450"/>
      <c r="G258" s="450"/>
      <c r="H258" s="450"/>
      <c r="I258" s="450"/>
      <c r="J258" s="450"/>
      <c r="M258" s="358"/>
      <c r="N258" s="358"/>
      <c r="O258" s="347"/>
    </row>
    <row r="259" spans="2:18" ht="36" customHeight="1" x14ac:dyDescent="0.5">
      <c r="D259" s="457"/>
      <c r="E259" s="457"/>
      <c r="F259" s="457"/>
      <c r="G259" s="457"/>
      <c r="H259" s="457"/>
      <c r="I259" s="457"/>
      <c r="J259" s="457"/>
      <c r="K259" s="359"/>
      <c r="L259" s="359"/>
      <c r="M259" s="360"/>
      <c r="N259" s="360"/>
      <c r="O259" s="361"/>
      <c r="P259" s="361"/>
      <c r="Q259" s="359"/>
    </row>
    <row r="260" spans="2:18" ht="36" customHeight="1" x14ac:dyDescent="0.5">
      <c r="D260" s="450"/>
      <c r="E260" s="450"/>
      <c r="F260" s="450"/>
      <c r="G260" s="450"/>
      <c r="H260" s="450"/>
      <c r="I260" s="450"/>
      <c r="J260" s="450"/>
      <c r="M260" s="347"/>
      <c r="O260" s="347"/>
    </row>
    <row r="261" spans="2:18" ht="36" customHeight="1" x14ac:dyDescent="0.5">
      <c r="B261" s="350"/>
      <c r="C261" s="292">
        <v>1</v>
      </c>
      <c r="D261" s="450" t="str">
        <f>IF(MAX(Criteria!I38:I42)&gt;1,"The directors have pleasure in presenting the annual Consolidated Financial","The director has pleasure in presenting the annual Consolidated Financial Statements")</f>
        <v>The directors have pleasure in presenting the annual Consolidated Financial</v>
      </c>
      <c r="E261" s="450"/>
      <c r="F261" s="450"/>
      <c r="G261" s="450"/>
      <c r="H261" s="450"/>
      <c r="I261" s="450"/>
      <c r="J261" s="450"/>
      <c r="M261" s="347"/>
      <c r="O261" s="347"/>
    </row>
    <row r="262" spans="2:18" ht="36" customHeight="1" x14ac:dyDescent="0.5">
      <c r="B262" s="350"/>
      <c r="C262" s="292"/>
      <c r="D262" s="450" t="str">
        <f>IF(MAX(Criteria!I39:I43)&gt;1,"Statements and their annual report which forms part of the Consolidated Financial","and the Director's report which forms part of the Consolidated Financial")</f>
        <v>Statements and their annual report which forms part of the Consolidated Financial</v>
      </c>
      <c r="E262" s="450"/>
      <c r="F262" s="450"/>
      <c r="G262" s="450"/>
      <c r="H262" s="450"/>
      <c r="I262" s="450"/>
      <c r="J262" s="450"/>
      <c r="M262" s="347"/>
      <c r="O262" s="347"/>
    </row>
    <row r="263" spans="2:18" ht="36" customHeight="1" x14ac:dyDescent="0.5">
      <c r="B263" s="350"/>
      <c r="C263" s="292"/>
      <c r="D263" s="450" t="str">
        <f>CONCATENATE("Statements of the group for the year ended ",Criteria!G24,".")</f>
        <v>Statements of the group for the year ended 28 February 2025.</v>
      </c>
      <c r="E263" s="450"/>
      <c r="F263" s="450"/>
      <c r="G263" s="450"/>
      <c r="H263" s="450"/>
      <c r="I263" s="450"/>
      <c r="J263" s="450"/>
      <c r="M263" s="347"/>
      <c r="O263" s="347"/>
    </row>
    <row r="264" spans="2:18" ht="36" customHeight="1" x14ac:dyDescent="0.5">
      <c r="B264" s="350"/>
      <c r="C264" s="292"/>
      <c r="D264" s="450"/>
      <c r="E264" s="450"/>
      <c r="F264" s="450"/>
      <c r="G264" s="450"/>
      <c r="H264" s="450"/>
      <c r="I264" s="450"/>
      <c r="J264" s="450"/>
      <c r="M264" s="347"/>
      <c r="O264" s="347"/>
    </row>
    <row r="265" spans="2:18" ht="36" customHeight="1" x14ac:dyDescent="0.5">
      <c r="B265" s="350"/>
      <c r="C265" s="292">
        <f>MAX(C$261:C264)+1</f>
        <v>2</v>
      </c>
      <c r="D265" s="456" t="s">
        <v>90</v>
      </c>
      <c r="E265" s="450"/>
      <c r="F265" s="450"/>
      <c r="G265" s="450"/>
      <c r="H265" s="450"/>
      <c r="I265" s="450"/>
      <c r="J265" s="450"/>
      <c r="M265" s="347"/>
      <c r="O265" s="347"/>
    </row>
    <row r="266" spans="2:18" ht="36" customHeight="1" x14ac:dyDescent="0.5">
      <c r="B266" s="350"/>
      <c r="C266" s="292"/>
      <c r="D266" s="456"/>
      <c r="E266" s="450"/>
      <c r="F266" s="450"/>
      <c r="G266" s="450"/>
      <c r="H266" s="450"/>
      <c r="I266" s="450"/>
      <c r="J266" s="450"/>
      <c r="M266" s="347"/>
      <c r="O266" s="347"/>
    </row>
    <row r="267" spans="2:18" ht="36" customHeight="1" x14ac:dyDescent="0.5">
      <c r="B267" s="350"/>
      <c r="C267" s="292"/>
      <c r="D267" s="450" t="str">
        <f>Criteria!C81</f>
        <v>The group's main objective is the investment in financial instruments.</v>
      </c>
      <c r="E267" s="450"/>
      <c r="F267" s="450"/>
      <c r="G267" s="450"/>
      <c r="H267" s="450"/>
      <c r="I267" s="450"/>
      <c r="J267" s="450"/>
      <c r="M267" s="347"/>
      <c r="O267" s="347"/>
    </row>
    <row r="268" spans="2:18" ht="36" customHeight="1" x14ac:dyDescent="0.5">
      <c r="B268" s="350"/>
      <c r="C268" s="292"/>
      <c r="D268" s="450" t="str">
        <f>CONCATENATE(Criteria!E11," is registered, incorporated and operates")</f>
        <v>Holding Company 268 (Pty) Ltd is registered, incorporated and operates</v>
      </c>
      <c r="E268" s="450"/>
      <c r="F268" s="450"/>
      <c r="G268" s="450"/>
      <c r="H268" s="450"/>
      <c r="I268" s="450"/>
      <c r="J268" s="450"/>
      <c r="M268" s="347"/>
      <c r="O268" s="347"/>
    </row>
    <row r="269" spans="2:18" ht="36" customHeight="1" x14ac:dyDescent="0.5">
      <c r="B269" s="350"/>
      <c r="C269" s="292"/>
      <c r="D269" s="450" t="s">
        <v>1127</v>
      </c>
      <c r="E269" s="450"/>
      <c r="F269" s="450"/>
      <c r="G269" s="450"/>
      <c r="H269" s="450"/>
      <c r="I269" s="450"/>
      <c r="J269" s="450"/>
      <c r="M269" s="347"/>
      <c r="O269" s="347"/>
    </row>
    <row r="270" spans="2:18" ht="36" customHeight="1" x14ac:dyDescent="0.5">
      <c r="B270" s="350"/>
      <c r="C270" s="292"/>
      <c r="D270" s="450" t="str">
        <f>CONCATENATE(Criteria!E18,".")</f>
        <v>2000/123456/07.</v>
      </c>
      <c r="E270" s="450"/>
      <c r="F270" s="450"/>
      <c r="G270" s="450"/>
      <c r="H270" s="450"/>
      <c r="I270" s="450"/>
      <c r="J270" s="450"/>
      <c r="M270" s="347"/>
      <c r="O270" s="347"/>
    </row>
    <row r="271" spans="2:18" ht="36" customHeight="1" x14ac:dyDescent="0.5">
      <c r="B271" s="350"/>
      <c r="C271" s="292"/>
      <c r="D271" s="450" t="str">
        <f>IF(Criteria!F87="No","There were no changes in the nature of the group's business during the period under","The group sold all it's assets in the current financial year and will be deregistered the")</f>
        <v>There were no changes in the nature of the group's business during the period under</v>
      </c>
      <c r="E271" s="450"/>
      <c r="F271" s="450"/>
      <c r="G271" s="450"/>
      <c r="H271" s="450"/>
      <c r="I271" s="450"/>
      <c r="J271" s="450"/>
      <c r="M271" s="347"/>
      <c r="O271" s="347"/>
      <c r="R271" s="348" t="str">
        <f>IF(D271=" ","DELETE"," ")</f>
        <v xml:space="preserve"> </v>
      </c>
    </row>
    <row r="272" spans="2:18" ht="36" customHeight="1" x14ac:dyDescent="0.5">
      <c r="B272" s="350"/>
      <c r="C272" s="292"/>
      <c r="D272" s="450" t="str">
        <f>IF(Criteria!F87="No","review.","following year.")</f>
        <v>review.</v>
      </c>
      <c r="E272" s="450"/>
      <c r="F272" s="450"/>
      <c r="G272" s="450"/>
      <c r="H272" s="450"/>
      <c r="I272" s="450"/>
      <c r="J272" s="450"/>
      <c r="M272" s="347"/>
      <c r="O272" s="347"/>
      <c r="R272" s="348" t="str">
        <f>IF(D272=" ","DELETE"," ")</f>
        <v xml:space="preserve"> </v>
      </c>
    </row>
    <row r="273" spans="2:18" ht="36" customHeight="1" x14ac:dyDescent="0.5">
      <c r="B273" s="350"/>
      <c r="C273" s="292"/>
      <c r="D273" s="450"/>
      <c r="E273" s="450"/>
      <c r="F273" s="450"/>
      <c r="G273" s="450"/>
      <c r="H273" s="450"/>
      <c r="I273" s="450"/>
      <c r="J273" s="450"/>
      <c r="M273" s="347"/>
      <c r="O273" s="347"/>
    </row>
    <row r="274" spans="2:18" ht="36" customHeight="1" x14ac:dyDescent="0.5">
      <c r="B274" s="350"/>
      <c r="C274" s="292">
        <f>MAX(C$261:C273)+1</f>
        <v>3</v>
      </c>
      <c r="D274" s="456" t="s">
        <v>1049</v>
      </c>
      <c r="E274" s="450"/>
      <c r="F274" s="450"/>
      <c r="G274" s="450"/>
      <c r="H274" s="450"/>
      <c r="I274" s="450"/>
      <c r="J274" s="450"/>
      <c r="M274" s="347"/>
      <c r="O274" s="347"/>
    </row>
    <row r="275" spans="2:18" ht="36" customHeight="1" x14ac:dyDescent="0.5">
      <c r="B275" s="350"/>
      <c r="C275" s="292"/>
      <c r="D275" s="456"/>
      <c r="E275" s="450"/>
      <c r="F275" s="450"/>
      <c r="G275" s="450"/>
      <c r="H275" s="450"/>
      <c r="I275" s="450"/>
      <c r="J275" s="450"/>
      <c r="M275" s="347"/>
      <c r="O275" s="347"/>
    </row>
    <row r="276" spans="2:18" ht="36" customHeight="1" x14ac:dyDescent="0.5">
      <c r="B276" s="350"/>
      <c r="C276" s="292"/>
      <c r="D276" s="450" t="str">
        <f>IF(Criteria!F85="No"," ","The accounting policies have been applied consistently compared to the prior year.")</f>
        <v>The accounting policies have been applied consistently compared to the prior year.</v>
      </c>
      <c r="E276" s="450"/>
      <c r="F276" s="450"/>
      <c r="G276" s="450"/>
      <c r="H276" s="450"/>
      <c r="I276" s="450"/>
      <c r="J276" s="450"/>
      <c r="M276" s="347"/>
      <c r="O276" s="347"/>
      <c r="R276" s="348" t="str">
        <f>IF(D276=" ","DELETE"," ")</f>
        <v xml:space="preserve"> </v>
      </c>
    </row>
    <row r="277" spans="2:18" ht="36" customHeight="1" x14ac:dyDescent="0.5">
      <c r="B277" s="350"/>
      <c r="C277" s="292"/>
      <c r="D277" s="450" t="str">
        <f>CONCATENATE("The ",IF(MAX(Criteria!I38:I42)&gt;1,"directors present","director presents")," the following extracts from the Consolidated Financial")</f>
        <v>The directors present the following extracts from the Consolidated Financial</v>
      </c>
      <c r="E277" s="450"/>
      <c r="F277" s="450"/>
      <c r="G277" s="450"/>
      <c r="H277" s="450"/>
      <c r="I277" s="450"/>
      <c r="J277" s="450"/>
      <c r="M277" s="347"/>
      <c r="O277" s="347"/>
    </row>
    <row r="278" spans="2:18" ht="36" customHeight="1" x14ac:dyDescent="0.5">
      <c r="B278" s="350"/>
      <c r="C278" s="292"/>
      <c r="D278" s="450" t="s">
        <v>1128</v>
      </c>
      <c r="E278" s="450"/>
      <c r="F278" s="450"/>
      <c r="G278" s="450"/>
      <c r="H278" s="450"/>
      <c r="I278" s="450"/>
      <c r="J278" s="450"/>
      <c r="M278" s="347"/>
      <c r="O278" s="347"/>
    </row>
    <row r="279" spans="2:18" ht="36" customHeight="1" x14ac:dyDescent="0.5">
      <c r="B279" s="350"/>
      <c r="C279" s="292"/>
      <c r="D279" s="450"/>
      <c r="E279" s="450"/>
      <c r="F279" s="450"/>
      <c r="G279" s="450"/>
      <c r="H279" s="450"/>
      <c r="I279" s="450"/>
      <c r="J279" s="450"/>
      <c r="M279" s="347"/>
      <c r="O279" s="347"/>
    </row>
    <row r="280" spans="2:18" ht="36" customHeight="1" x14ac:dyDescent="0.5">
      <c r="B280" s="350"/>
      <c r="C280" s="292"/>
      <c r="D280" s="450" t="s">
        <v>963</v>
      </c>
      <c r="E280" s="459"/>
      <c r="F280" s="450"/>
      <c r="G280" s="450"/>
      <c r="H280" s="450"/>
      <c r="I280" s="450"/>
      <c r="J280" s="450"/>
      <c r="M280" s="347"/>
      <c r="O280" s="351">
        <f>SUM(TrialBalance!L230:L282)</f>
        <v>0</v>
      </c>
    </row>
    <row r="281" spans="2:18" ht="9" customHeight="1" thickBot="1" x14ac:dyDescent="0.55000000000000004">
      <c r="B281" s="350"/>
      <c r="C281" s="292"/>
      <c r="D281" s="450"/>
      <c r="E281" s="459"/>
      <c r="F281" s="450"/>
      <c r="G281" s="450"/>
      <c r="H281" s="450"/>
      <c r="I281" s="450"/>
      <c r="J281" s="450"/>
      <c r="M281" s="347"/>
      <c r="O281" s="373"/>
    </row>
    <row r="282" spans="2:18" ht="9" customHeight="1" thickTop="1" x14ac:dyDescent="0.5">
      <c r="B282" s="350"/>
      <c r="C282" s="292"/>
      <c r="D282" s="450"/>
      <c r="E282" s="459"/>
      <c r="F282" s="450"/>
      <c r="G282" s="450"/>
      <c r="H282" s="450"/>
      <c r="I282" s="450"/>
      <c r="J282" s="450"/>
      <c r="M282" s="347"/>
      <c r="O282" s="371"/>
    </row>
    <row r="283" spans="2:18" ht="36.75" customHeight="1" x14ac:dyDescent="0.5">
      <c r="B283" s="350"/>
      <c r="C283" s="292"/>
      <c r="D283" s="450" t="s">
        <v>964</v>
      </c>
      <c r="E283" s="459"/>
      <c r="F283" s="450"/>
      <c r="G283" s="450"/>
      <c r="H283" s="450"/>
      <c r="I283" s="450"/>
      <c r="J283" s="450"/>
      <c r="M283" s="347"/>
      <c r="O283" s="351">
        <f>SUM(TrialBalance!L230:L234)+SUM(TrialBalance!L241:L245)+SUM(TrialBalance!L252:L254)+SUM(TrialBalance!L260:L262)+SUM(TrialBalance!L268:L270)+SUM(TrialBalance!L276:L278)</f>
        <v>0</v>
      </c>
    </row>
    <row r="284" spans="2:18" ht="9" customHeight="1" thickBot="1" x14ac:dyDescent="0.55000000000000004">
      <c r="B284" s="350"/>
      <c r="C284" s="292"/>
      <c r="D284" s="450"/>
      <c r="E284" s="459"/>
      <c r="F284" s="450"/>
      <c r="G284" s="450"/>
      <c r="H284" s="450"/>
      <c r="I284" s="450"/>
      <c r="J284" s="450"/>
      <c r="M284" s="347"/>
      <c r="O284" s="373"/>
    </row>
    <row r="285" spans="2:18" ht="9" customHeight="1" thickTop="1" x14ac:dyDescent="0.5">
      <c r="B285" s="350"/>
      <c r="C285" s="292"/>
      <c r="D285" s="450"/>
      <c r="E285" s="459"/>
      <c r="F285" s="450"/>
      <c r="G285" s="450"/>
      <c r="H285" s="450"/>
      <c r="I285" s="450"/>
      <c r="J285" s="450"/>
      <c r="M285" s="347"/>
      <c r="O285" s="371"/>
    </row>
    <row r="286" spans="2:18" ht="36.75" customHeight="1" x14ac:dyDescent="0.5">
      <c r="B286" s="350"/>
      <c r="C286" s="292"/>
      <c r="D286" s="450" t="s">
        <v>670</v>
      </c>
      <c r="E286" s="459"/>
      <c r="F286" s="450"/>
      <c r="G286" s="450"/>
      <c r="H286" s="450"/>
      <c r="I286" s="450"/>
      <c r="J286" s="450"/>
      <c r="M286" s="347"/>
      <c r="O286" s="351">
        <f>O499</f>
        <v>0</v>
      </c>
    </row>
    <row r="287" spans="2:18" ht="9" customHeight="1" thickBot="1" x14ac:dyDescent="0.55000000000000004">
      <c r="B287" s="350"/>
      <c r="C287" s="292"/>
      <c r="D287" s="450"/>
      <c r="E287" s="459"/>
      <c r="F287" s="450"/>
      <c r="G287" s="450"/>
      <c r="H287" s="450"/>
      <c r="I287" s="450"/>
      <c r="J287" s="450"/>
      <c r="M287" s="347"/>
      <c r="O287" s="373"/>
    </row>
    <row r="288" spans="2:18" ht="9" customHeight="1" thickTop="1" x14ac:dyDescent="0.5">
      <c r="B288" s="350"/>
      <c r="C288" s="292"/>
      <c r="D288" s="450"/>
      <c r="E288" s="459"/>
      <c r="F288" s="450"/>
      <c r="G288" s="450"/>
      <c r="H288" s="450"/>
      <c r="I288" s="450"/>
      <c r="J288" s="450"/>
      <c r="M288" s="347"/>
      <c r="O288" s="371"/>
    </row>
    <row r="289" spans="2:21" ht="36.75" customHeight="1" x14ac:dyDescent="0.5">
      <c r="B289" s="350"/>
      <c r="C289" s="292"/>
      <c r="D289" s="450"/>
      <c r="E289" s="459"/>
      <c r="F289" s="450"/>
      <c r="G289" s="450"/>
      <c r="H289" s="450"/>
      <c r="I289" s="450"/>
      <c r="J289" s="450"/>
      <c r="M289" s="347"/>
      <c r="O289" s="351"/>
    </row>
    <row r="290" spans="2:21" ht="36.75" customHeight="1" x14ac:dyDescent="0.5">
      <c r="B290" s="350"/>
      <c r="C290" s="292"/>
      <c r="D290" s="450" t="s">
        <v>836</v>
      </c>
      <c r="E290" s="459"/>
      <c r="F290" s="450"/>
      <c r="G290" s="450"/>
      <c r="H290" s="450"/>
      <c r="I290" s="450"/>
      <c r="J290" s="450"/>
      <c r="M290" s="347"/>
      <c r="O290" s="351">
        <f>SUM(O421:O422)</f>
        <v>0</v>
      </c>
    </row>
    <row r="291" spans="2:21" ht="9" customHeight="1" thickBot="1" x14ac:dyDescent="0.55000000000000004">
      <c r="B291" s="350"/>
      <c r="C291" s="292"/>
      <c r="D291" s="450"/>
      <c r="E291" s="459"/>
      <c r="F291" s="450"/>
      <c r="G291" s="450"/>
      <c r="H291" s="450"/>
      <c r="I291" s="450"/>
      <c r="J291" s="450"/>
      <c r="M291" s="347"/>
      <c r="O291" s="373"/>
    </row>
    <row r="292" spans="2:21" ht="9" customHeight="1" thickTop="1" x14ac:dyDescent="0.5">
      <c r="B292" s="350"/>
      <c r="C292" s="292"/>
      <c r="D292" s="450"/>
      <c r="E292" s="459"/>
      <c r="F292" s="450"/>
      <c r="G292" s="450"/>
      <c r="H292" s="450"/>
      <c r="I292" s="450"/>
      <c r="J292" s="450"/>
      <c r="M292" s="347"/>
      <c r="O292" s="351"/>
    </row>
    <row r="293" spans="2:21" ht="36" customHeight="1" x14ac:dyDescent="0.5">
      <c r="B293" s="350"/>
      <c r="C293" s="292"/>
      <c r="D293" s="450"/>
      <c r="E293" s="459"/>
      <c r="F293" s="450"/>
      <c r="G293" s="450"/>
      <c r="H293" s="450"/>
      <c r="I293" s="450"/>
      <c r="J293" s="450"/>
      <c r="M293" s="347"/>
      <c r="O293" s="351"/>
    </row>
    <row r="294" spans="2:21" ht="36" customHeight="1" x14ac:dyDescent="0.5">
      <c r="B294" s="350"/>
      <c r="C294" s="292"/>
      <c r="D294" s="450" t="str">
        <f>IF(O294&lt;0,"Net loss before taxation","Net profit before taxation")</f>
        <v>Net profit before taxation</v>
      </c>
      <c r="E294" s="459"/>
      <c r="F294" s="450"/>
      <c r="G294" s="450"/>
      <c r="H294" s="450"/>
      <c r="I294" s="450"/>
      <c r="J294" s="450"/>
      <c r="M294" s="347"/>
      <c r="O294" s="351">
        <f>O444</f>
        <v>0</v>
      </c>
    </row>
    <row r="295" spans="2:21" ht="36" customHeight="1" x14ac:dyDescent="0.5">
      <c r="B295" s="350"/>
      <c r="C295" s="292"/>
      <c r="D295" s="450" t="s">
        <v>762</v>
      </c>
      <c r="E295" s="459"/>
      <c r="F295" s="450"/>
      <c r="G295" s="450"/>
      <c r="H295" s="450"/>
      <c r="I295" s="450"/>
      <c r="J295" s="450"/>
      <c r="M295" s="347"/>
      <c r="O295" s="351">
        <f>O446</f>
        <v>0</v>
      </c>
    </row>
    <row r="296" spans="2:21" ht="9" customHeight="1" x14ac:dyDescent="0.5">
      <c r="B296" s="350"/>
      <c r="C296" s="292"/>
      <c r="D296" s="450"/>
      <c r="E296" s="459"/>
      <c r="F296" s="450"/>
      <c r="G296" s="450"/>
      <c r="H296" s="450"/>
      <c r="I296" s="450"/>
      <c r="J296" s="450"/>
      <c r="M296" s="347"/>
      <c r="O296" s="372"/>
    </row>
    <row r="297" spans="2:21" ht="9" customHeight="1" x14ac:dyDescent="0.5">
      <c r="B297" s="350"/>
      <c r="C297" s="292"/>
      <c r="D297" s="450"/>
      <c r="E297" s="459"/>
      <c r="F297" s="450"/>
      <c r="G297" s="450"/>
      <c r="H297" s="450"/>
      <c r="I297" s="450"/>
      <c r="J297" s="450"/>
      <c r="M297" s="347"/>
      <c r="O297" s="371"/>
    </row>
    <row r="298" spans="2:21" ht="36.75" customHeight="1" x14ac:dyDescent="0.5">
      <c r="B298" s="350"/>
      <c r="C298" s="292"/>
      <c r="D298" s="450" t="str">
        <f>IF(O298&lt;0,"Net loss after taxation","Net profit after taxation")</f>
        <v>Net profit after taxation</v>
      </c>
      <c r="E298" s="459"/>
      <c r="F298" s="450"/>
      <c r="G298" s="450"/>
      <c r="H298" s="450"/>
      <c r="I298" s="450"/>
      <c r="J298" s="450"/>
      <c r="M298" s="347"/>
      <c r="O298" s="351">
        <f>SUM(O294:O297)</f>
        <v>0</v>
      </c>
      <c r="U298" s="331" t="b">
        <f>O298=O449</f>
        <v>1</v>
      </c>
    </row>
    <row r="299" spans="2:21" ht="36.75" customHeight="1" x14ac:dyDescent="0.5">
      <c r="B299" s="350"/>
      <c r="C299" s="292"/>
      <c r="D299" s="450" t="s">
        <v>646</v>
      </c>
      <c r="E299" s="459"/>
      <c r="F299" s="450"/>
      <c r="G299" s="450"/>
      <c r="H299" s="450"/>
      <c r="I299" s="450"/>
      <c r="J299" s="450"/>
      <c r="M299" s="347"/>
      <c r="O299" s="351">
        <f>-SUM(TrialBalance!L164:L165)</f>
        <v>0</v>
      </c>
    </row>
    <row r="300" spans="2:21" ht="9" customHeight="1" x14ac:dyDescent="0.5">
      <c r="B300" s="350"/>
      <c r="C300" s="292"/>
      <c r="D300" s="450"/>
      <c r="E300" s="459"/>
      <c r="F300" s="450"/>
      <c r="G300" s="450"/>
      <c r="H300" s="450"/>
      <c r="I300" s="450"/>
      <c r="J300" s="450"/>
      <c r="M300" s="347"/>
      <c r="O300" s="372"/>
    </row>
    <row r="301" spans="2:21" ht="9" customHeight="1" x14ac:dyDescent="0.5">
      <c r="B301" s="350"/>
      <c r="C301" s="292"/>
      <c r="D301" s="450"/>
      <c r="E301" s="459"/>
      <c r="F301" s="450"/>
      <c r="G301" s="450"/>
      <c r="H301" s="450"/>
      <c r="I301" s="450"/>
      <c r="J301" s="450"/>
      <c r="M301" s="347"/>
      <c r="O301" s="351"/>
    </row>
    <row r="302" spans="2:21" ht="36.75" customHeight="1" x14ac:dyDescent="0.5">
      <c r="B302" s="350"/>
      <c r="C302" s="292"/>
      <c r="D302" s="450" t="str">
        <f>IF(O302&lt;0,"Net loss for the year","Net profit for the year")</f>
        <v>Net profit for the year</v>
      </c>
      <c r="E302" s="459"/>
      <c r="F302" s="450"/>
      <c r="G302" s="450"/>
      <c r="H302" s="450"/>
      <c r="I302" s="450"/>
      <c r="J302" s="450"/>
      <c r="M302" s="347"/>
      <c r="O302" s="351">
        <f>SUM(O298:O301)</f>
        <v>0</v>
      </c>
    </row>
    <row r="303" spans="2:21" ht="9" customHeight="1" thickBot="1" x14ac:dyDescent="0.55000000000000004">
      <c r="B303" s="350"/>
      <c r="C303" s="292"/>
      <c r="D303" s="450"/>
      <c r="E303" s="450"/>
      <c r="F303" s="450"/>
      <c r="G303" s="450"/>
      <c r="H303" s="450"/>
      <c r="I303" s="450"/>
      <c r="J303" s="450"/>
      <c r="M303" s="347"/>
      <c r="O303" s="373"/>
    </row>
    <row r="304" spans="2:21" ht="9" customHeight="1" thickTop="1" x14ac:dyDescent="0.5">
      <c r="B304" s="350"/>
      <c r="C304" s="292"/>
      <c r="D304" s="450"/>
      <c r="E304" s="450"/>
      <c r="F304" s="450"/>
      <c r="G304" s="450"/>
      <c r="H304" s="450"/>
      <c r="I304" s="450"/>
      <c r="J304" s="450"/>
      <c r="M304" s="347"/>
      <c r="O304" s="347"/>
    </row>
    <row r="305" spans="2:18" ht="36" customHeight="1" x14ac:dyDescent="0.5">
      <c r="B305" s="350"/>
      <c r="C305" s="292"/>
      <c r="D305" s="450" t="str">
        <f>IF(Criteria!F83="No","The company did not have any operations in the current financial year."," ")</f>
        <v xml:space="preserve"> </v>
      </c>
      <c r="E305" s="450"/>
      <c r="F305" s="450"/>
      <c r="G305" s="450"/>
      <c r="H305" s="450"/>
      <c r="I305" s="450"/>
      <c r="J305" s="450"/>
      <c r="M305" s="347"/>
      <c r="O305" s="347"/>
      <c r="R305" s="348" t="str">
        <f>IF(D305=" ","DELETE"," ")</f>
        <v>DELETE</v>
      </c>
    </row>
    <row r="306" spans="2:18" ht="36" customHeight="1" x14ac:dyDescent="0.5">
      <c r="B306" s="350"/>
      <c r="C306" s="292"/>
      <c r="D306" s="450" t="s">
        <v>1084</v>
      </c>
      <c r="E306" s="450"/>
      <c r="F306" s="450"/>
      <c r="G306" s="450"/>
      <c r="H306" s="450"/>
      <c r="I306" s="450"/>
      <c r="J306" s="450"/>
      <c r="M306" s="347"/>
      <c r="O306" s="347"/>
    </row>
    <row r="307" spans="2:18" ht="36" customHeight="1" x14ac:dyDescent="0.5">
      <c r="B307" s="350"/>
      <c r="C307" s="292"/>
      <c r="D307" s="450" t="str">
        <f>CONCATENATE("Statements and the ",IF(MAX(Criteria!I38:I42)&gt;1,"directors are","director is")," of the opinion that no further comment thereon is")</f>
        <v>Statements and the directors are of the opinion that no further comment thereon is</v>
      </c>
      <c r="E307" s="450"/>
      <c r="F307" s="450"/>
      <c r="G307" s="450"/>
      <c r="H307" s="450"/>
      <c r="I307" s="450"/>
      <c r="J307" s="450"/>
      <c r="M307" s="347"/>
      <c r="O307" s="347"/>
    </row>
    <row r="308" spans="2:18" ht="36" customHeight="1" x14ac:dyDescent="0.5">
      <c r="B308" s="350"/>
      <c r="C308" s="292"/>
      <c r="D308" s="450" t="s">
        <v>1129</v>
      </c>
      <c r="E308" s="450"/>
      <c r="F308" s="450"/>
      <c r="G308" s="450"/>
      <c r="H308" s="450"/>
      <c r="I308" s="450"/>
      <c r="J308" s="450"/>
      <c r="M308" s="347"/>
      <c r="O308" s="347"/>
    </row>
    <row r="309" spans="2:18" ht="36" customHeight="1" x14ac:dyDescent="0.5">
      <c r="B309" s="350"/>
      <c r="C309" s="292"/>
      <c r="D309" s="450"/>
      <c r="E309" s="450"/>
      <c r="F309" s="450"/>
      <c r="G309" s="450"/>
      <c r="H309" s="450"/>
      <c r="I309" s="450"/>
      <c r="J309" s="450"/>
      <c r="M309" s="347"/>
      <c r="O309" s="347"/>
    </row>
    <row r="310" spans="2:18" ht="36" customHeight="1" x14ac:dyDescent="0.45">
      <c r="B310" s="350"/>
    </row>
    <row r="311" spans="2:18" ht="36" customHeight="1" x14ac:dyDescent="0.45">
      <c r="B311" s="350"/>
    </row>
    <row r="312" spans="2:18" ht="36" customHeight="1" x14ac:dyDescent="0.5">
      <c r="B312" s="350"/>
      <c r="C312" s="292"/>
      <c r="D312" s="450"/>
      <c r="E312" s="450"/>
      <c r="F312" s="450"/>
      <c r="G312" s="450"/>
      <c r="H312" s="450"/>
      <c r="I312" s="450"/>
      <c r="J312" s="450"/>
      <c r="M312" s="347"/>
      <c r="O312" s="295" t="s">
        <v>89</v>
      </c>
      <c r="P312" s="295"/>
      <c r="Q312" s="292">
        <f>MAX($Q$105:Q311)+1</f>
        <v>5</v>
      </c>
    </row>
    <row r="313" spans="2:18" ht="36" customHeight="1" x14ac:dyDescent="0.5">
      <c r="D313" s="456" t="str">
        <f>Criteria!E9</f>
        <v>HOLDING COMPANY 268 (PROPRIETARY) LIMITED</v>
      </c>
      <c r="E313" s="450"/>
      <c r="F313" s="450"/>
      <c r="G313" s="450"/>
      <c r="H313" s="450"/>
      <c r="I313" s="450"/>
      <c r="J313" s="450"/>
      <c r="M313" s="347"/>
      <c r="O313" s="347"/>
    </row>
    <row r="314" spans="2:18" ht="36" customHeight="1" x14ac:dyDescent="0.5">
      <c r="D314" s="456" t="str">
        <f>Criteria!E10</f>
        <v>CONSOLIDATED FINANCIAL STATEMENTS</v>
      </c>
      <c r="E314" s="450"/>
      <c r="F314" s="450"/>
      <c r="G314" s="450"/>
      <c r="H314" s="450"/>
      <c r="I314" s="450"/>
      <c r="J314" s="450"/>
      <c r="M314" s="347"/>
      <c r="O314" s="347"/>
      <c r="R314" s="348" t="str">
        <f>IF(D314=0,"DELETE"," ")</f>
        <v xml:space="preserve"> </v>
      </c>
    </row>
    <row r="315" spans="2:18" ht="36" customHeight="1" x14ac:dyDescent="0.5">
      <c r="D315" s="450"/>
      <c r="E315" s="450"/>
      <c r="F315" s="450"/>
      <c r="G315" s="450"/>
      <c r="H315" s="450"/>
      <c r="I315" s="450"/>
      <c r="J315" s="450"/>
      <c r="M315" s="347"/>
      <c r="O315" s="347"/>
    </row>
    <row r="316" spans="2:18" ht="36" customHeight="1" x14ac:dyDescent="0.5">
      <c r="D316" s="456" t="str">
        <f>D257</f>
        <v>DIRECTORS' REPORT FOR THE YEAR ENDED</v>
      </c>
      <c r="E316" s="450"/>
      <c r="F316" s="450"/>
      <c r="G316" s="450"/>
      <c r="H316" s="450"/>
      <c r="I316" s="450"/>
      <c r="J316" s="450"/>
      <c r="M316" s="358"/>
      <c r="N316" s="358"/>
      <c r="O316" s="347"/>
    </row>
    <row r="317" spans="2:18" ht="36" customHeight="1" x14ac:dyDescent="0.5">
      <c r="D317" s="456" t="str">
        <f>Criteria!E20</f>
        <v>28 FEBRUARY 2025</v>
      </c>
      <c r="E317" s="450"/>
      <c r="F317" s="450"/>
      <c r="G317" s="450"/>
      <c r="H317" s="450"/>
      <c r="I317" s="450"/>
      <c r="J317" s="450" t="s">
        <v>231</v>
      </c>
      <c r="M317" s="358"/>
      <c r="N317" s="358"/>
      <c r="O317" s="347"/>
    </row>
    <row r="318" spans="2:18" ht="36" customHeight="1" x14ac:dyDescent="0.5">
      <c r="D318" s="457"/>
      <c r="E318" s="457"/>
      <c r="F318" s="457"/>
      <c r="G318" s="457"/>
      <c r="H318" s="457"/>
      <c r="I318" s="457"/>
      <c r="J318" s="457"/>
      <c r="K318" s="359"/>
      <c r="L318" s="359"/>
      <c r="M318" s="360"/>
      <c r="N318" s="360"/>
      <c r="O318" s="361"/>
      <c r="P318" s="361"/>
      <c r="Q318" s="359"/>
    </row>
    <row r="319" spans="2:18" ht="36" customHeight="1" x14ac:dyDescent="0.5">
      <c r="D319" s="450"/>
      <c r="E319" s="450"/>
      <c r="F319" s="450"/>
      <c r="G319" s="450"/>
      <c r="H319" s="450"/>
      <c r="I319" s="450"/>
      <c r="J319" s="450"/>
      <c r="M319" s="385"/>
      <c r="N319" s="385"/>
      <c r="O319" s="356"/>
      <c r="P319" s="356"/>
    </row>
    <row r="320" spans="2:18" ht="36" customHeight="1" x14ac:dyDescent="0.5">
      <c r="C320" s="292">
        <f>MAX(C$261:C319)+1</f>
        <v>4</v>
      </c>
      <c r="D320" s="456" t="s">
        <v>646</v>
      </c>
      <c r="E320" s="450"/>
      <c r="F320" s="450"/>
      <c r="G320" s="450"/>
      <c r="H320" s="450"/>
      <c r="I320" s="450"/>
      <c r="J320" s="450"/>
      <c r="M320" s="347"/>
      <c r="O320" s="347"/>
    </row>
    <row r="321" spans="2:18" ht="36" customHeight="1" x14ac:dyDescent="0.5">
      <c r="C321" s="292"/>
      <c r="D321" s="456"/>
      <c r="E321" s="450"/>
      <c r="F321" s="450"/>
      <c r="G321" s="450"/>
      <c r="H321" s="450"/>
      <c r="I321" s="450"/>
      <c r="J321" s="450"/>
      <c r="M321" s="347"/>
      <c r="O321" s="347"/>
    </row>
    <row r="322" spans="2:18" ht="36" customHeight="1" x14ac:dyDescent="0.5">
      <c r="C322" s="292"/>
      <c r="D322" s="450" t="str">
        <f>IF(Criteria!F89="Yes",Criteria!G89,"No dividends have been declared nor are any recommended.")</f>
        <v>No dividends have been declared nor are any recommended.</v>
      </c>
      <c r="E322" s="450"/>
      <c r="F322" s="450"/>
      <c r="G322" s="450"/>
      <c r="H322" s="450"/>
      <c r="I322" s="450"/>
      <c r="J322" s="450"/>
      <c r="M322" s="347"/>
      <c r="O322" s="347"/>
    </row>
    <row r="323" spans="2:18" ht="36" customHeight="1" x14ac:dyDescent="0.5">
      <c r="C323" s="292"/>
      <c r="D323" s="450" t="str">
        <f>IF(Criteria!F89="Yes",Criteria!G90," ")</f>
        <v xml:space="preserve"> </v>
      </c>
      <c r="E323" s="450"/>
      <c r="F323" s="450"/>
      <c r="G323" s="450"/>
      <c r="H323" s="450"/>
      <c r="I323" s="450"/>
      <c r="J323" s="450"/>
      <c r="M323" s="347"/>
      <c r="O323" s="347"/>
      <c r="R323" s="348" t="str">
        <f>IF(D323=" ","DELETE"," ")</f>
        <v>DELETE</v>
      </c>
    </row>
    <row r="324" spans="2:18" ht="36" customHeight="1" x14ac:dyDescent="0.5">
      <c r="C324" s="292"/>
      <c r="D324" s="450"/>
      <c r="E324" s="450"/>
      <c r="F324" s="450"/>
      <c r="G324" s="450"/>
      <c r="H324" s="450"/>
      <c r="I324" s="450"/>
      <c r="J324" s="450"/>
      <c r="M324" s="347"/>
      <c r="O324" s="347"/>
    </row>
    <row r="325" spans="2:18" ht="36" customHeight="1" x14ac:dyDescent="0.5">
      <c r="C325" s="292">
        <f>MAX(C$261:C324)+1</f>
        <v>5</v>
      </c>
      <c r="D325" s="456" t="s">
        <v>515</v>
      </c>
      <c r="E325" s="450"/>
      <c r="F325" s="450"/>
      <c r="G325" s="450"/>
      <c r="H325" s="450"/>
      <c r="I325" s="450"/>
      <c r="J325" s="450"/>
      <c r="M325" s="347"/>
      <c r="O325" s="347"/>
    </row>
    <row r="326" spans="2:18" ht="36" customHeight="1" x14ac:dyDescent="0.5">
      <c r="C326" s="292"/>
      <c r="D326" s="456"/>
      <c r="E326" s="450"/>
      <c r="F326" s="450"/>
      <c r="G326" s="450"/>
      <c r="H326" s="450"/>
      <c r="I326" s="450"/>
      <c r="J326" s="450"/>
      <c r="M326" s="347"/>
      <c r="O326" s="347"/>
    </row>
    <row r="327" spans="2:18" ht="36" customHeight="1" x14ac:dyDescent="0.5">
      <c r="C327" s="292"/>
      <c r="D327" s="450" t="str">
        <f>CONCATENATE("The authorised and issued share capital are presented at Note ",B1810," of the Notes to the")</f>
        <v>The authorised and issued share capital are presented at Note 19 of the Notes to the</v>
      </c>
      <c r="E327" s="450"/>
      <c r="F327" s="450"/>
      <c r="G327" s="450"/>
      <c r="H327" s="450"/>
      <c r="I327" s="450"/>
      <c r="J327" s="450"/>
      <c r="M327" s="347"/>
      <c r="O327" s="347"/>
    </row>
    <row r="328" spans="2:18" ht="36" customHeight="1" x14ac:dyDescent="0.5">
      <c r="C328" s="292"/>
      <c r="D328" s="450" t="s">
        <v>1083</v>
      </c>
      <c r="E328" s="450"/>
      <c r="F328" s="450"/>
      <c r="G328" s="450"/>
      <c r="H328" s="450"/>
      <c r="I328" s="450"/>
      <c r="J328" s="450"/>
      <c r="M328" s="347"/>
      <c r="O328" s="347"/>
    </row>
    <row r="329" spans="2:18" ht="36" customHeight="1" x14ac:dyDescent="0.5">
      <c r="C329" s="292"/>
      <c r="D329" s="450" t="str">
        <f>IF(Criteria!F92="No","The authorised and issued share capital remained unchanged during the financial year",Criteria!G93)</f>
        <v>The authorised and issued share capital remained unchanged during the financial year</v>
      </c>
      <c r="E329" s="450"/>
      <c r="F329" s="450"/>
      <c r="G329" s="450"/>
      <c r="H329" s="450"/>
      <c r="I329" s="450"/>
      <c r="J329" s="450"/>
      <c r="M329" s="347"/>
      <c r="O329" s="347"/>
    </row>
    <row r="330" spans="2:18" ht="36" customHeight="1" x14ac:dyDescent="0.5">
      <c r="C330" s="292"/>
      <c r="D330" s="450" t="str">
        <f>IF(Criteria!F92="Yes",Criteria!G94,"under review. ")</f>
        <v xml:space="preserve">under review. </v>
      </c>
      <c r="E330" s="450"/>
      <c r="F330" s="450"/>
      <c r="G330" s="450"/>
      <c r="H330" s="450"/>
      <c r="I330" s="450"/>
      <c r="J330" s="450"/>
      <c r="M330" s="347"/>
      <c r="O330" s="347"/>
      <c r="R330" s="348" t="str">
        <f>IF(D330=0,"DELETE"," ")</f>
        <v xml:space="preserve"> </v>
      </c>
    </row>
    <row r="331" spans="2:18" ht="36" customHeight="1" x14ac:dyDescent="0.5">
      <c r="B331" s="350"/>
      <c r="C331" s="350"/>
      <c r="D331" s="459"/>
      <c r="E331" s="459"/>
      <c r="F331" s="459"/>
      <c r="G331" s="459"/>
      <c r="H331" s="459"/>
      <c r="I331" s="459"/>
      <c r="J331" s="459"/>
      <c r="K331" s="350"/>
      <c r="L331" s="350"/>
      <c r="M331" s="350"/>
      <c r="N331" s="350"/>
      <c r="O331" s="350"/>
      <c r="P331" s="350"/>
      <c r="Q331" s="350"/>
      <c r="R331" s="349"/>
    </row>
    <row r="332" spans="2:18" ht="36" customHeight="1" x14ac:dyDescent="0.5">
      <c r="B332" s="350"/>
      <c r="C332" s="292">
        <f>MAX(C$261:C331)+1</f>
        <v>6</v>
      </c>
      <c r="D332" s="456" t="s">
        <v>1050</v>
      </c>
      <c r="E332" s="450"/>
      <c r="F332" s="450"/>
      <c r="G332" s="450"/>
      <c r="H332" s="450"/>
      <c r="I332" s="450"/>
      <c r="J332" s="450"/>
      <c r="M332" s="347"/>
      <c r="O332" s="347"/>
    </row>
    <row r="333" spans="2:18" ht="36" customHeight="1" x14ac:dyDescent="0.5">
      <c r="B333" s="350"/>
      <c r="C333" s="292"/>
      <c r="D333" s="456"/>
      <c r="E333" s="450"/>
      <c r="F333" s="450"/>
      <c r="G333" s="450"/>
      <c r="H333" s="450"/>
      <c r="I333" s="450"/>
      <c r="J333" s="450"/>
      <c r="M333" s="347"/>
      <c r="O333" s="347"/>
    </row>
    <row r="334" spans="2:18" ht="36" customHeight="1" x14ac:dyDescent="0.5">
      <c r="B334" s="350"/>
      <c r="D334" s="450" t="str">
        <f>IF(Criteria!F96="Yes",Criteria!G97,"No fundamental change in the nature or use of fixed assets took place during the")</f>
        <v>No fundamental change in the nature or use of fixed assets took place during the</v>
      </c>
      <c r="E334" s="450"/>
      <c r="F334" s="450"/>
      <c r="G334" s="450"/>
      <c r="H334" s="450"/>
      <c r="I334" s="450"/>
      <c r="J334" s="450"/>
      <c r="M334" s="347"/>
      <c r="O334" s="347"/>
    </row>
    <row r="335" spans="2:18" ht="36" customHeight="1" x14ac:dyDescent="0.5">
      <c r="B335" s="350"/>
      <c r="D335" s="450" t="str">
        <f>IF(Criteria!F96="Yes"," ","financial year.")</f>
        <v>financial year.</v>
      </c>
      <c r="E335" s="450"/>
      <c r="F335" s="450"/>
      <c r="G335" s="450"/>
      <c r="H335" s="450"/>
      <c r="I335" s="450"/>
      <c r="J335" s="450"/>
      <c r="M335" s="347"/>
      <c r="O335" s="347"/>
      <c r="R335" s="348" t="str">
        <f>IF(D335=" ","DELETE"," ")</f>
        <v xml:space="preserve"> </v>
      </c>
    </row>
    <row r="336" spans="2:18" ht="36" customHeight="1" x14ac:dyDescent="0.5">
      <c r="B336" s="350"/>
      <c r="C336" s="350"/>
      <c r="D336" s="459"/>
      <c r="E336" s="459"/>
      <c r="F336" s="459"/>
      <c r="G336" s="459"/>
      <c r="H336" s="459"/>
      <c r="I336" s="459"/>
      <c r="J336" s="459"/>
      <c r="K336" s="350"/>
      <c r="L336" s="350"/>
      <c r="M336" s="350"/>
      <c r="N336" s="350"/>
      <c r="O336" s="350"/>
      <c r="P336" s="350"/>
      <c r="Q336" s="350"/>
      <c r="R336" s="349"/>
    </row>
    <row r="337" spans="2:18" ht="36" customHeight="1" x14ac:dyDescent="0.5">
      <c r="B337" s="350"/>
      <c r="C337" s="292">
        <f>MAX(C$261:C336)+1</f>
        <v>7</v>
      </c>
      <c r="D337" s="456" t="str">
        <f>IF(MAX(Criteria!I38:I42)&gt;1,"Directors","Director")</f>
        <v>Directors</v>
      </c>
      <c r="E337" s="450"/>
      <c r="F337" s="450"/>
      <c r="G337" s="450"/>
      <c r="H337" s="450"/>
      <c r="I337" s="450"/>
      <c r="J337" s="450"/>
      <c r="M337" s="347"/>
      <c r="O337" s="347"/>
    </row>
    <row r="338" spans="2:18" ht="36" customHeight="1" x14ac:dyDescent="0.5">
      <c r="B338" s="350"/>
      <c r="C338" s="292"/>
      <c r="D338" s="456"/>
      <c r="E338" s="450"/>
      <c r="F338" s="450"/>
      <c r="G338" s="450"/>
      <c r="H338" s="450"/>
      <c r="I338" s="450"/>
      <c r="J338" s="450"/>
      <c r="M338" s="347"/>
      <c r="O338" s="347"/>
    </row>
    <row r="339" spans="2:18" ht="36" customHeight="1" x14ac:dyDescent="0.5">
      <c r="B339" s="350"/>
      <c r="C339" s="292"/>
      <c r="D339" s="450" t="str">
        <f>IF(MAX(Criteria!I38:I42)&gt;1,"The directors in office at the date of the financial year end are as follows:","The director in office at the date of the financial year end is as follows:")</f>
        <v>The directors in office at the date of the financial year end are as follows:</v>
      </c>
      <c r="E339" s="450"/>
      <c r="F339" s="450"/>
      <c r="G339" s="450"/>
      <c r="H339" s="450"/>
      <c r="I339" s="450"/>
      <c r="J339" s="450"/>
      <c r="M339" s="347"/>
      <c r="O339" s="347"/>
    </row>
    <row r="340" spans="2:18" ht="36" customHeight="1" x14ac:dyDescent="0.5">
      <c r="B340" s="350"/>
      <c r="C340" s="292"/>
      <c r="D340" s="456"/>
      <c r="E340" s="450"/>
      <c r="F340" s="450"/>
      <c r="G340" s="450"/>
      <c r="H340" s="450"/>
      <c r="I340" s="450"/>
      <c r="J340" s="450"/>
      <c r="M340" s="435" t="s">
        <v>667</v>
      </c>
      <c r="O340" s="347"/>
    </row>
    <row r="341" spans="2:18" ht="36" customHeight="1" x14ac:dyDescent="0.5">
      <c r="C341" s="292"/>
      <c r="D341" s="450" t="str">
        <f>Criteria!E38</f>
        <v>A Director</v>
      </c>
      <c r="E341" s="450"/>
      <c r="F341" s="450"/>
      <c r="G341" s="450"/>
      <c r="H341" s="450"/>
      <c r="I341" s="450"/>
      <c r="J341" s="450"/>
      <c r="M341" s="437" t="str">
        <f>Criteria!G38</f>
        <v>RSA</v>
      </c>
      <c r="O341" s="347"/>
    </row>
    <row r="342" spans="2:18" ht="36" customHeight="1" x14ac:dyDescent="0.5">
      <c r="C342" s="292"/>
      <c r="D342" s="450" t="str">
        <f>Criteria!E39</f>
        <v>B Director</v>
      </c>
      <c r="E342" s="450"/>
      <c r="F342" s="450"/>
      <c r="G342" s="450"/>
      <c r="H342" s="450"/>
      <c r="I342" s="450"/>
      <c r="J342" s="450"/>
      <c r="M342" s="437" t="str">
        <f>Criteria!G39</f>
        <v>RSA</v>
      </c>
      <c r="O342" s="347"/>
      <c r="R342" s="348" t="str">
        <f>IF(D342=0,"DELETE"," ")</f>
        <v xml:space="preserve"> </v>
      </c>
    </row>
    <row r="343" spans="2:18" ht="36" customHeight="1" x14ac:dyDescent="0.5">
      <c r="C343" s="292"/>
      <c r="D343" s="450">
        <f>Criteria!E40</f>
        <v>0</v>
      </c>
      <c r="E343" s="450"/>
      <c r="F343" s="450"/>
      <c r="G343" s="450"/>
      <c r="H343" s="450"/>
      <c r="I343" s="450"/>
      <c r="J343" s="450"/>
      <c r="M343" s="437">
        <f>Criteria!G40</f>
        <v>0</v>
      </c>
      <c r="O343" s="347"/>
      <c r="R343" s="348" t="str">
        <f t="shared" ref="R343:R345" si="2">IF(D343=0,"DELETE"," ")</f>
        <v>DELETE</v>
      </c>
    </row>
    <row r="344" spans="2:18" ht="36" customHeight="1" x14ac:dyDescent="0.5">
      <c r="C344" s="292"/>
      <c r="D344" s="450">
        <f>Criteria!E41</f>
        <v>0</v>
      </c>
      <c r="E344" s="450"/>
      <c r="F344" s="450"/>
      <c r="G344" s="450"/>
      <c r="H344" s="450"/>
      <c r="I344" s="450"/>
      <c r="J344" s="450"/>
      <c r="M344" s="437">
        <f>Criteria!G41</f>
        <v>0</v>
      </c>
      <c r="O344" s="347"/>
      <c r="R344" s="348" t="str">
        <f t="shared" si="2"/>
        <v>DELETE</v>
      </c>
    </row>
    <row r="345" spans="2:18" ht="36" customHeight="1" x14ac:dyDescent="0.5">
      <c r="C345" s="292"/>
      <c r="D345" s="450">
        <f>Criteria!E42</f>
        <v>0</v>
      </c>
      <c r="E345" s="450"/>
      <c r="F345" s="450"/>
      <c r="G345" s="450"/>
      <c r="H345" s="450"/>
      <c r="I345" s="450"/>
      <c r="J345" s="450"/>
      <c r="M345" s="437">
        <f>Criteria!G42</f>
        <v>0</v>
      </c>
      <c r="O345" s="347"/>
      <c r="R345" s="348" t="str">
        <f t="shared" si="2"/>
        <v>DELETE</v>
      </c>
    </row>
    <row r="346" spans="2:18" ht="36" customHeight="1" x14ac:dyDescent="0.5">
      <c r="C346" s="292"/>
      <c r="D346" s="450"/>
      <c r="E346" s="450"/>
      <c r="F346" s="450"/>
      <c r="G346" s="450"/>
      <c r="H346" s="450"/>
      <c r="I346" s="450"/>
      <c r="J346" s="450"/>
      <c r="M346" s="347"/>
      <c r="O346" s="347"/>
    </row>
    <row r="347" spans="2:18" ht="36" customHeight="1" x14ac:dyDescent="0.5">
      <c r="C347" s="292"/>
      <c r="D347" s="450" t="str">
        <f>IF(Criteria!G47="Yes",Criteria!G48,"There have been no changes to the directorate during the period under review.")</f>
        <v>There have been no changes to the directorate during the period under review.</v>
      </c>
      <c r="E347" s="450"/>
      <c r="F347" s="450"/>
      <c r="G347" s="450"/>
      <c r="H347" s="450"/>
      <c r="I347" s="450"/>
      <c r="J347" s="450"/>
      <c r="M347" s="347"/>
      <c r="O347" s="347"/>
    </row>
    <row r="348" spans="2:18" ht="36" customHeight="1" x14ac:dyDescent="0.5">
      <c r="C348" s="292"/>
      <c r="D348" s="450" t="str">
        <f>IF(Criteria!G47="Yes",Criteria!G49," ")</f>
        <v xml:space="preserve"> </v>
      </c>
      <c r="E348" s="450"/>
      <c r="F348" s="450"/>
      <c r="G348" s="450"/>
      <c r="H348" s="450"/>
      <c r="I348" s="450"/>
      <c r="J348" s="450"/>
      <c r="M348" s="347"/>
      <c r="O348" s="347"/>
      <c r="R348" s="348" t="str">
        <f>IF(D348=" ","DELETE",IF(D348=0,"DELETE"," "))</f>
        <v>DELETE</v>
      </c>
    </row>
    <row r="349" spans="2:18" ht="36" customHeight="1" x14ac:dyDescent="0.5">
      <c r="D349" s="450"/>
      <c r="E349" s="450"/>
      <c r="F349" s="450"/>
      <c r="G349" s="450"/>
      <c r="H349" s="450"/>
      <c r="I349" s="450"/>
      <c r="J349" s="450"/>
      <c r="M349" s="347"/>
      <c r="O349" s="347"/>
    </row>
    <row r="350" spans="2:18" ht="36" customHeight="1" x14ac:dyDescent="0.5">
      <c r="C350" s="292">
        <f>MAX(C$261:C349)+1</f>
        <v>8</v>
      </c>
      <c r="D350" s="456" t="s">
        <v>1051</v>
      </c>
      <c r="E350" s="450"/>
      <c r="F350" s="450"/>
      <c r="G350" s="450"/>
      <c r="H350" s="450"/>
      <c r="I350" s="450"/>
      <c r="J350" s="450"/>
      <c r="M350" s="347"/>
      <c r="O350" s="347"/>
    </row>
    <row r="351" spans="2:18" ht="36" customHeight="1" x14ac:dyDescent="0.5">
      <c r="C351" s="292"/>
      <c r="D351" s="456"/>
      <c r="E351" s="450"/>
      <c r="F351" s="450"/>
      <c r="G351" s="450"/>
      <c r="H351" s="450"/>
      <c r="I351" s="450"/>
      <c r="J351" s="450"/>
      <c r="M351" s="347"/>
      <c r="O351" s="347"/>
    </row>
    <row r="352" spans="2:18" ht="36" customHeight="1" x14ac:dyDescent="0.5">
      <c r="C352" s="292"/>
      <c r="D352" s="450" t="s">
        <v>1085</v>
      </c>
      <c r="E352" s="450"/>
      <c r="F352" s="450"/>
      <c r="G352" s="450"/>
      <c r="H352" s="450"/>
      <c r="I352" s="450"/>
      <c r="J352" s="450"/>
      <c r="M352" s="347"/>
      <c r="O352" s="347"/>
    </row>
    <row r="353" spans="3:18" ht="36" customHeight="1" x14ac:dyDescent="0.5">
      <c r="C353" s="292"/>
      <c r="D353" s="450" t="s">
        <v>1130</v>
      </c>
      <c r="E353" s="450"/>
      <c r="F353" s="450"/>
      <c r="G353" s="450"/>
      <c r="H353" s="450"/>
      <c r="I353" s="450"/>
      <c r="J353" s="450"/>
      <c r="M353" s="347"/>
      <c r="O353" s="347"/>
    </row>
    <row r="354" spans="3:18" ht="36" customHeight="1" x14ac:dyDescent="0.5">
      <c r="C354" s="292"/>
      <c r="D354" s="450" t="s">
        <v>1134</v>
      </c>
      <c r="E354" s="450"/>
      <c r="F354" s="450"/>
      <c r="G354" s="450"/>
      <c r="H354" s="450"/>
      <c r="I354" s="450"/>
      <c r="J354" s="450"/>
      <c r="M354" s="347"/>
      <c r="O354" s="347"/>
    </row>
    <row r="355" spans="3:18" ht="36" customHeight="1" x14ac:dyDescent="0.5">
      <c r="C355" s="292"/>
      <c r="D355" s="450" t="s">
        <v>1133</v>
      </c>
      <c r="E355" s="450"/>
      <c r="F355" s="450"/>
      <c r="G355" s="450"/>
      <c r="H355" s="450"/>
      <c r="I355" s="450"/>
      <c r="J355" s="450"/>
      <c r="M355" s="347"/>
      <c r="O355" s="347"/>
    </row>
    <row r="356" spans="3:18" ht="36" customHeight="1" x14ac:dyDescent="0.5">
      <c r="C356" s="292"/>
      <c r="D356" s="450" t="s">
        <v>1132</v>
      </c>
      <c r="E356" s="450"/>
      <c r="F356" s="450"/>
      <c r="G356" s="450"/>
      <c r="H356" s="450"/>
      <c r="I356" s="450"/>
      <c r="J356" s="450"/>
      <c r="M356" s="347"/>
      <c r="O356" s="347"/>
    </row>
    <row r="357" spans="3:18" ht="36" customHeight="1" x14ac:dyDescent="0.5">
      <c r="C357" s="292"/>
      <c r="D357" s="450"/>
      <c r="E357" s="450"/>
      <c r="F357" s="450"/>
      <c r="G357" s="450"/>
      <c r="H357" s="450"/>
      <c r="I357" s="450"/>
      <c r="J357" s="450"/>
      <c r="M357" s="347"/>
      <c r="O357" s="347"/>
    </row>
    <row r="358" spans="3:18" ht="36" customHeight="1" x14ac:dyDescent="0.5">
      <c r="C358" s="292"/>
      <c r="D358" s="450"/>
      <c r="E358" s="450"/>
      <c r="F358" s="450"/>
      <c r="G358" s="450"/>
      <c r="H358" s="450"/>
      <c r="I358" s="450"/>
      <c r="J358" s="450"/>
      <c r="M358" s="347"/>
      <c r="O358" s="347"/>
    </row>
    <row r="359" spans="3:18" ht="36" customHeight="1" x14ac:dyDescent="0.5">
      <c r="C359" s="292"/>
      <c r="D359" s="450"/>
      <c r="E359" s="450"/>
      <c r="F359" s="450"/>
      <c r="G359" s="450"/>
      <c r="H359" s="450"/>
      <c r="I359" s="450"/>
      <c r="J359" s="450"/>
      <c r="M359" s="347"/>
      <c r="O359" s="347"/>
    </row>
    <row r="360" spans="3:18" ht="36" customHeight="1" x14ac:dyDescent="0.5">
      <c r="C360" s="292"/>
      <c r="D360" s="450"/>
      <c r="E360" s="450"/>
      <c r="F360" s="450"/>
      <c r="G360" s="450"/>
      <c r="H360" s="450"/>
      <c r="I360" s="450"/>
      <c r="J360" s="450"/>
      <c r="M360" s="347"/>
      <c r="O360" s="295" t="s">
        <v>89</v>
      </c>
      <c r="P360" s="295"/>
      <c r="Q360" s="292">
        <f>MAX($Q$105:Q359)+1</f>
        <v>6</v>
      </c>
    </row>
    <row r="361" spans="3:18" ht="36" customHeight="1" x14ac:dyDescent="0.5">
      <c r="C361" s="292"/>
      <c r="D361" s="456" t="str">
        <f>Criteria!E9</f>
        <v>HOLDING COMPANY 268 (PROPRIETARY) LIMITED</v>
      </c>
      <c r="E361" s="450"/>
      <c r="F361" s="450"/>
      <c r="G361" s="450"/>
      <c r="H361" s="450"/>
      <c r="I361" s="450"/>
      <c r="J361" s="450"/>
      <c r="M361" s="347"/>
      <c r="O361" s="347"/>
    </row>
    <row r="362" spans="3:18" ht="36" customHeight="1" x14ac:dyDescent="0.5">
      <c r="C362" s="292"/>
      <c r="D362" s="456" t="str">
        <f>Criteria!E10</f>
        <v>CONSOLIDATED FINANCIAL STATEMENTS</v>
      </c>
      <c r="E362" s="450"/>
      <c r="F362" s="450"/>
      <c r="G362" s="450"/>
      <c r="H362" s="450"/>
      <c r="I362" s="450"/>
      <c r="J362" s="450"/>
      <c r="M362" s="347"/>
      <c r="O362" s="347"/>
      <c r="R362" s="348" t="str">
        <f>IF(D362=0,"DELETE"," ")</f>
        <v xml:space="preserve"> </v>
      </c>
    </row>
    <row r="363" spans="3:18" ht="36" customHeight="1" x14ac:dyDescent="0.5">
      <c r="C363" s="292"/>
      <c r="D363" s="450"/>
      <c r="E363" s="450"/>
      <c r="F363" s="450"/>
      <c r="G363" s="450"/>
      <c r="H363" s="450"/>
      <c r="I363" s="450"/>
      <c r="J363" s="450"/>
      <c r="M363" s="347"/>
      <c r="O363" s="347"/>
    </row>
    <row r="364" spans="3:18" ht="36" customHeight="1" x14ac:dyDescent="0.5">
      <c r="C364" s="292"/>
      <c r="D364" s="456" t="str">
        <f>D257</f>
        <v>DIRECTORS' REPORT FOR THE YEAR ENDED</v>
      </c>
      <c r="E364" s="450"/>
      <c r="F364" s="450"/>
      <c r="G364" s="450"/>
      <c r="H364" s="450"/>
      <c r="I364" s="450"/>
      <c r="J364" s="450"/>
      <c r="M364" s="358"/>
      <c r="N364" s="358"/>
      <c r="O364" s="347"/>
    </row>
    <row r="365" spans="3:18" ht="36" customHeight="1" x14ac:dyDescent="0.5">
      <c r="C365" s="292"/>
      <c r="D365" s="456" t="str">
        <f>Criteria!E20</f>
        <v>28 FEBRUARY 2025</v>
      </c>
      <c r="E365" s="450"/>
      <c r="F365" s="450"/>
      <c r="G365" s="450"/>
      <c r="H365" s="450"/>
      <c r="I365" s="450"/>
      <c r="J365" s="450" t="s">
        <v>231</v>
      </c>
      <c r="M365" s="358"/>
      <c r="N365" s="358"/>
      <c r="O365" s="347"/>
    </row>
    <row r="366" spans="3:18" ht="36" customHeight="1" x14ac:dyDescent="0.5">
      <c r="C366" s="292"/>
      <c r="D366" s="457"/>
      <c r="E366" s="457"/>
      <c r="F366" s="457"/>
      <c r="G366" s="457"/>
      <c r="H366" s="457"/>
      <c r="I366" s="457"/>
      <c r="J366" s="457"/>
      <c r="K366" s="359"/>
      <c r="L366" s="359"/>
      <c r="M366" s="360"/>
      <c r="N366" s="360"/>
      <c r="O366" s="361"/>
      <c r="P366" s="361"/>
      <c r="Q366" s="359"/>
    </row>
    <row r="367" spans="3:18" ht="36" customHeight="1" x14ac:dyDescent="0.5">
      <c r="D367" s="450"/>
      <c r="E367" s="450"/>
      <c r="F367" s="450"/>
      <c r="G367" s="450"/>
      <c r="H367" s="450"/>
      <c r="I367" s="450"/>
      <c r="J367" s="450"/>
      <c r="M367" s="347"/>
      <c r="O367" s="347"/>
    </row>
    <row r="368" spans="3:18" ht="36" customHeight="1" x14ac:dyDescent="0.5">
      <c r="C368" s="292">
        <f>MAX(C$261:C367)+1</f>
        <v>9</v>
      </c>
      <c r="D368" s="456" t="s">
        <v>1052</v>
      </c>
      <c r="E368" s="450"/>
      <c r="F368" s="450"/>
      <c r="G368" s="450"/>
      <c r="H368" s="450"/>
      <c r="I368" s="450"/>
      <c r="J368" s="450"/>
      <c r="M368" s="347"/>
      <c r="O368" s="347"/>
    </row>
    <row r="369" spans="3:18" ht="36" customHeight="1" x14ac:dyDescent="0.5">
      <c r="C369" s="292"/>
      <c r="D369" s="456"/>
      <c r="E369" s="450"/>
      <c r="F369" s="450"/>
      <c r="G369" s="450"/>
      <c r="H369" s="450"/>
      <c r="I369" s="450"/>
      <c r="J369" s="450"/>
      <c r="M369" s="347"/>
      <c r="O369" s="347"/>
    </row>
    <row r="370" spans="3:18" ht="36" customHeight="1" x14ac:dyDescent="0.5">
      <c r="D370" s="450" t="str">
        <f>IF(Criteria!F99="No","No material fact or event that could have a major impact on the financial position of",Criteria!G101 )</f>
        <v>No material fact or event that could have a major impact on the financial position of</v>
      </c>
      <c r="E370" s="450"/>
      <c r="F370" s="450"/>
      <c r="G370" s="450"/>
      <c r="H370" s="450"/>
      <c r="I370" s="450"/>
      <c r="J370" s="450"/>
      <c r="M370" s="347"/>
      <c r="O370" s="347"/>
    </row>
    <row r="371" spans="3:18" ht="36" customHeight="1" x14ac:dyDescent="0.5">
      <c r="D371" s="450" t="str">
        <f>IF(Criteria!F99="No","the group or its results took place between the date of the Consolidated Financial",Criteria!G102)</f>
        <v>the group or its results took place between the date of the Consolidated Financial</v>
      </c>
      <c r="E371" s="450"/>
      <c r="F371" s="450"/>
      <c r="G371" s="450"/>
      <c r="H371" s="450"/>
      <c r="I371" s="450"/>
      <c r="J371" s="450"/>
      <c r="M371" s="347"/>
      <c r="O371" s="347"/>
      <c r="R371" s="348" t="str">
        <f>IF(D371=0,"DELETE"," ")</f>
        <v xml:space="preserve"> </v>
      </c>
    </row>
    <row r="372" spans="3:18" ht="36" customHeight="1" x14ac:dyDescent="0.5">
      <c r="D372" s="450" t="str">
        <f>IF(Criteria!F99="No","Statements and the date of approval thereof. ",Criteria!G103)</f>
        <v xml:space="preserve">Statements and the date of approval thereof. </v>
      </c>
      <c r="E372" s="450"/>
      <c r="F372" s="450"/>
      <c r="G372" s="450"/>
      <c r="H372" s="450"/>
      <c r="I372" s="450"/>
      <c r="J372" s="450"/>
      <c r="M372" s="347"/>
      <c r="O372" s="347"/>
      <c r="R372" s="348" t="str">
        <f>IF(D372=0,"DELETE"," ")</f>
        <v xml:space="preserve"> </v>
      </c>
    </row>
    <row r="373" spans="3:18" ht="36" customHeight="1" x14ac:dyDescent="0.5">
      <c r="D373" s="450"/>
      <c r="E373" s="450"/>
      <c r="F373" s="450"/>
      <c r="G373" s="450"/>
      <c r="H373" s="450"/>
      <c r="I373" s="450"/>
      <c r="J373" s="450"/>
      <c r="M373" s="347"/>
      <c r="O373" s="347"/>
    </row>
    <row r="374" spans="3:18" ht="36" customHeight="1" x14ac:dyDescent="0.5">
      <c r="D374" s="450"/>
      <c r="E374" s="450"/>
      <c r="F374" s="450"/>
      <c r="G374" s="450"/>
      <c r="H374" s="450"/>
      <c r="I374" s="450"/>
      <c r="J374" s="450"/>
      <c r="M374" s="347"/>
      <c r="O374" s="347"/>
    </row>
    <row r="375" spans="3:18" ht="36" customHeight="1" x14ac:dyDescent="0.5">
      <c r="D375" s="450"/>
      <c r="E375" s="450"/>
      <c r="F375" s="450"/>
      <c r="G375" s="450"/>
      <c r="H375" s="450"/>
      <c r="I375" s="450"/>
      <c r="J375" s="450"/>
      <c r="M375" s="347"/>
      <c r="O375" s="347"/>
    </row>
    <row r="376" spans="3:18" ht="36" customHeight="1" x14ac:dyDescent="0.5">
      <c r="D376" s="450"/>
      <c r="E376" s="450"/>
      <c r="F376" s="450"/>
      <c r="G376" s="450"/>
      <c r="H376" s="450"/>
      <c r="I376" s="450"/>
      <c r="J376" s="450"/>
      <c r="M376" s="347"/>
      <c r="O376" s="347"/>
    </row>
    <row r="377" spans="3:18" ht="36" customHeight="1" x14ac:dyDescent="0.5">
      <c r="D377" s="450"/>
      <c r="E377" s="450"/>
      <c r="F377" s="450"/>
      <c r="G377" s="450"/>
      <c r="H377" s="450"/>
      <c r="I377" s="450"/>
      <c r="J377" s="450"/>
      <c r="M377" s="347"/>
      <c r="O377" s="295" t="s">
        <v>89</v>
      </c>
      <c r="P377" s="295"/>
      <c r="Q377" s="292">
        <f>MAX($Q$105:Q376)+1</f>
        <v>7</v>
      </c>
      <c r="R377" s="348" t="str">
        <f>IF(R385="DELETE","DELETE"," ")</f>
        <v>DELETE</v>
      </c>
    </row>
    <row r="378" spans="3:18" ht="36" customHeight="1" x14ac:dyDescent="0.5">
      <c r="D378" s="456" t="str">
        <f>Criteria!E9</f>
        <v>HOLDING COMPANY 268 (PROPRIETARY) LIMITED</v>
      </c>
      <c r="E378" s="450"/>
      <c r="F378" s="450"/>
      <c r="G378" s="450"/>
      <c r="H378" s="450"/>
      <c r="I378" s="450"/>
      <c r="J378" s="450"/>
      <c r="M378" s="347"/>
      <c r="O378" s="347"/>
      <c r="R378" s="348" t="str">
        <f>R$377</f>
        <v>DELETE</v>
      </c>
    </row>
    <row r="379" spans="3:18" ht="36" customHeight="1" x14ac:dyDescent="0.5">
      <c r="D379" s="456" t="str">
        <f>Criteria!E10</f>
        <v>CONSOLIDATED FINANCIAL STATEMENTS</v>
      </c>
      <c r="E379" s="450"/>
      <c r="F379" s="450"/>
      <c r="G379" s="450"/>
      <c r="H379" s="450"/>
      <c r="I379" s="450"/>
      <c r="J379" s="450"/>
      <c r="M379" s="347"/>
      <c r="O379" s="347"/>
      <c r="R379" s="348" t="str">
        <f>IF(R$377="DELETE","DELETE",IF(D379=0,"DELETE"," "))</f>
        <v>DELETE</v>
      </c>
    </row>
    <row r="380" spans="3:18" ht="36" customHeight="1" x14ac:dyDescent="0.5">
      <c r="D380" s="450"/>
      <c r="E380" s="450"/>
      <c r="F380" s="450"/>
      <c r="G380" s="450"/>
      <c r="H380" s="450"/>
      <c r="I380" s="450"/>
      <c r="J380" s="450"/>
      <c r="M380" s="347"/>
      <c r="O380" s="347"/>
      <c r="R380" s="348" t="str">
        <f t="shared" ref="R380:R383" si="3">R$377</f>
        <v>DELETE</v>
      </c>
    </row>
    <row r="381" spans="3:18" ht="36" customHeight="1" x14ac:dyDescent="0.5">
      <c r="D381" s="456" t="str">
        <f>D257</f>
        <v>DIRECTORS' REPORT FOR THE YEAR ENDED</v>
      </c>
      <c r="E381" s="450"/>
      <c r="F381" s="450"/>
      <c r="G381" s="450"/>
      <c r="H381" s="450"/>
      <c r="I381" s="450"/>
      <c r="J381" s="450"/>
      <c r="M381" s="358"/>
      <c r="N381" s="358"/>
      <c r="O381" s="347"/>
      <c r="R381" s="348" t="str">
        <f t="shared" si="3"/>
        <v>DELETE</v>
      </c>
    </row>
    <row r="382" spans="3:18" ht="36" customHeight="1" x14ac:dyDescent="0.5">
      <c r="D382" s="456" t="str">
        <f>Criteria!E20</f>
        <v>28 FEBRUARY 2025</v>
      </c>
      <c r="E382" s="450"/>
      <c r="F382" s="450"/>
      <c r="G382" s="450"/>
      <c r="H382" s="450"/>
      <c r="I382" s="450"/>
      <c r="J382" s="450" t="s">
        <v>231</v>
      </c>
      <c r="M382" s="358"/>
      <c r="N382" s="358"/>
      <c r="O382" s="347"/>
      <c r="R382" s="348" t="str">
        <f t="shared" si="3"/>
        <v>DELETE</v>
      </c>
    </row>
    <row r="383" spans="3:18" ht="36" customHeight="1" x14ac:dyDescent="0.5">
      <c r="D383" s="457"/>
      <c r="E383" s="457"/>
      <c r="F383" s="457"/>
      <c r="G383" s="457"/>
      <c r="H383" s="457"/>
      <c r="I383" s="457"/>
      <c r="J383" s="457"/>
      <c r="K383" s="359"/>
      <c r="L383" s="359"/>
      <c r="M383" s="360"/>
      <c r="N383" s="360"/>
      <c r="O383" s="361"/>
      <c r="P383" s="361"/>
      <c r="Q383" s="359"/>
      <c r="R383" s="348" t="str">
        <f t="shared" si="3"/>
        <v>DELETE</v>
      </c>
    </row>
    <row r="384" spans="3:18" ht="36" customHeight="1" x14ac:dyDescent="0.5">
      <c r="D384" s="450"/>
      <c r="E384" s="450"/>
      <c r="F384" s="450"/>
      <c r="G384" s="450"/>
      <c r="H384" s="450"/>
      <c r="I384" s="450"/>
      <c r="J384" s="450"/>
      <c r="M384" s="347"/>
      <c r="O384" s="347"/>
      <c r="R384" s="348" t="str">
        <f>R385</f>
        <v>DELETE</v>
      </c>
    </row>
    <row r="385" spans="3:18" ht="36" customHeight="1" x14ac:dyDescent="0.5">
      <c r="C385" s="292">
        <f>MAX(C$261:C384)+1</f>
        <v>10</v>
      </c>
      <c r="D385" s="456" t="s">
        <v>1053</v>
      </c>
      <c r="E385" s="450"/>
      <c r="F385" s="450"/>
      <c r="G385" s="450"/>
      <c r="H385" s="450"/>
      <c r="I385" s="450"/>
      <c r="J385" s="450"/>
      <c r="M385" s="347"/>
      <c r="O385" s="347"/>
      <c r="R385" s="348" t="str">
        <f>R387</f>
        <v>DELETE</v>
      </c>
    </row>
    <row r="386" spans="3:18" ht="36" customHeight="1" x14ac:dyDescent="0.5">
      <c r="C386" s="292"/>
      <c r="D386" s="456"/>
      <c r="E386" s="450"/>
      <c r="F386" s="450"/>
      <c r="G386" s="450"/>
      <c r="H386" s="450"/>
      <c r="I386" s="450"/>
      <c r="J386" s="450"/>
      <c r="M386" s="347"/>
      <c r="O386" s="347"/>
      <c r="R386" s="348" t="str">
        <f>R387</f>
        <v>DELETE</v>
      </c>
    </row>
    <row r="387" spans="3:18" ht="36" customHeight="1" x14ac:dyDescent="0.5">
      <c r="C387" s="352"/>
      <c r="D387" s="450" t="str">
        <f>IF(Criteria!F105="No","No provision is being made for deferred taxation as there are no temporary differences"," ")</f>
        <v xml:space="preserve"> </v>
      </c>
      <c r="E387" s="450"/>
      <c r="F387" s="450"/>
      <c r="G387" s="450"/>
      <c r="H387" s="450"/>
      <c r="I387" s="450"/>
      <c r="J387" s="450"/>
      <c r="M387" s="347"/>
      <c r="O387" s="347"/>
      <c r="R387" s="348" t="str">
        <f>IF(D387=" ","DELETE"," ")</f>
        <v>DELETE</v>
      </c>
    </row>
    <row r="388" spans="3:18" ht="36" customHeight="1" x14ac:dyDescent="0.5">
      <c r="C388" s="352"/>
      <c r="D388" s="450" t="str">
        <f>IF(Criteria!F105="No","between the tax bases of assets and liabilities and their carrying values for financial"," ")</f>
        <v xml:space="preserve"> </v>
      </c>
      <c r="E388" s="450"/>
      <c r="F388" s="450"/>
      <c r="G388" s="450"/>
      <c r="H388" s="450"/>
      <c r="I388" s="450"/>
      <c r="J388" s="450"/>
      <c r="M388" s="347"/>
      <c r="O388" s="347"/>
      <c r="R388" s="348" t="str">
        <f>IF(D388=" ","DELETE"," ")</f>
        <v>DELETE</v>
      </c>
    </row>
    <row r="389" spans="3:18" ht="36" customHeight="1" x14ac:dyDescent="0.5">
      <c r="C389" s="352"/>
      <c r="D389" s="450" t="str">
        <f>IF(Criteria!F105="No","reporting purposes."," ")</f>
        <v xml:space="preserve"> </v>
      </c>
      <c r="E389" s="450"/>
      <c r="F389" s="450"/>
      <c r="G389" s="450"/>
      <c r="H389" s="450"/>
      <c r="I389" s="450"/>
      <c r="J389" s="450"/>
      <c r="M389" s="347"/>
      <c r="O389" s="347"/>
      <c r="R389" s="348" t="str">
        <f>IF(D389=" ","DELETE"," ")</f>
        <v>DELETE</v>
      </c>
    </row>
    <row r="390" spans="3:18" ht="36" customHeight="1" x14ac:dyDescent="0.5">
      <c r="C390" s="352"/>
      <c r="D390" s="450"/>
      <c r="E390" s="450"/>
      <c r="F390" s="450"/>
      <c r="G390" s="450"/>
      <c r="H390" s="450"/>
      <c r="I390" s="450"/>
      <c r="J390" s="450"/>
      <c r="M390" s="347"/>
      <c r="O390" s="347"/>
      <c r="R390" s="348" t="str">
        <f t="shared" ref="R390:R393" si="4">R$377</f>
        <v>DELETE</v>
      </c>
    </row>
    <row r="391" spans="3:18" ht="36" customHeight="1" x14ac:dyDescent="0.5">
      <c r="C391" s="352"/>
      <c r="D391" s="450"/>
      <c r="E391" s="450"/>
      <c r="F391" s="450"/>
      <c r="G391" s="450"/>
      <c r="H391" s="450"/>
      <c r="I391" s="450"/>
      <c r="J391" s="450"/>
      <c r="M391" s="347"/>
      <c r="O391" s="347"/>
      <c r="R391" s="348" t="str">
        <f t="shared" si="4"/>
        <v>DELETE</v>
      </c>
    </row>
    <row r="392" spans="3:18" ht="36" customHeight="1" x14ac:dyDescent="0.5">
      <c r="C392" s="352"/>
      <c r="D392" s="450"/>
      <c r="E392" s="450"/>
      <c r="F392" s="450"/>
      <c r="G392" s="450"/>
      <c r="H392" s="450"/>
      <c r="I392" s="450"/>
      <c r="J392" s="450"/>
      <c r="M392" s="347"/>
      <c r="O392" s="347"/>
      <c r="R392" s="348" t="str">
        <f t="shared" si="4"/>
        <v>DELETE</v>
      </c>
    </row>
    <row r="393" spans="3:18" ht="36" customHeight="1" x14ac:dyDescent="0.5">
      <c r="C393" s="352"/>
      <c r="D393" s="450"/>
      <c r="E393" s="450"/>
      <c r="F393" s="450"/>
      <c r="G393" s="450"/>
      <c r="H393" s="450"/>
      <c r="I393" s="450"/>
      <c r="J393" s="450"/>
      <c r="M393" s="347"/>
      <c r="O393" s="347"/>
      <c r="R393" s="348" t="str">
        <f t="shared" si="4"/>
        <v>DELETE</v>
      </c>
    </row>
    <row r="394" spans="3:18" ht="36" customHeight="1" x14ac:dyDescent="0.5">
      <c r="C394" s="352"/>
      <c r="D394" s="450"/>
      <c r="E394" s="450"/>
      <c r="F394" s="450"/>
      <c r="G394" s="450"/>
      <c r="H394" s="450"/>
      <c r="I394" s="450"/>
      <c r="J394" s="450"/>
      <c r="M394" s="347"/>
      <c r="O394" s="295" t="s">
        <v>89</v>
      </c>
      <c r="P394" s="295"/>
      <c r="Q394" s="292">
        <f>MAX($Q$105:Q393)+1</f>
        <v>8</v>
      </c>
      <c r="R394" s="348" t="str">
        <f>IF(R402="DELETE","DELETE"," ")</f>
        <v xml:space="preserve"> </v>
      </c>
    </row>
    <row r="395" spans="3:18" ht="36" customHeight="1" x14ac:dyDescent="0.5">
      <c r="C395" s="352"/>
      <c r="D395" s="456" t="str">
        <f>Criteria!E9</f>
        <v>HOLDING COMPANY 268 (PROPRIETARY) LIMITED</v>
      </c>
      <c r="E395" s="450"/>
      <c r="F395" s="450"/>
      <c r="G395" s="450"/>
      <c r="H395" s="450"/>
      <c r="I395" s="450"/>
      <c r="J395" s="450"/>
      <c r="M395" s="347"/>
      <c r="O395" s="347"/>
      <c r="R395" s="348" t="str">
        <f>R$394</f>
        <v xml:space="preserve"> </v>
      </c>
    </row>
    <row r="396" spans="3:18" ht="36" customHeight="1" x14ac:dyDescent="0.5">
      <c r="C396" s="352"/>
      <c r="D396" s="456" t="str">
        <f>Criteria!E10</f>
        <v>CONSOLIDATED FINANCIAL STATEMENTS</v>
      </c>
      <c r="E396" s="450"/>
      <c r="F396" s="450"/>
      <c r="G396" s="450"/>
      <c r="H396" s="450"/>
      <c r="I396" s="450"/>
      <c r="J396" s="450"/>
      <c r="M396" s="347"/>
      <c r="O396" s="347"/>
      <c r="R396" s="348" t="str">
        <f>IF(R$394="DELETE","DELETE",IF(D396=0,"DELETE"," "))</f>
        <v xml:space="preserve"> </v>
      </c>
    </row>
    <row r="397" spans="3:18" ht="36" customHeight="1" x14ac:dyDescent="0.5">
      <c r="C397" s="352"/>
      <c r="D397" s="450"/>
      <c r="E397" s="450"/>
      <c r="F397" s="450"/>
      <c r="G397" s="450"/>
      <c r="H397" s="450"/>
      <c r="I397" s="450"/>
      <c r="J397" s="450"/>
      <c r="M397" s="347"/>
      <c r="O397" s="347"/>
      <c r="R397" s="348" t="str">
        <f t="shared" ref="R397:R400" si="5">R$394</f>
        <v xml:space="preserve"> </v>
      </c>
    </row>
    <row r="398" spans="3:18" ht="36" customHeight="1" x14ac:dyDescent="0.5">
      <c r="C398" s="352"/>
      <c r="D398" s="456" t="str">
        <f>D257</f>
        <v>DIRECTORS' REPORT FOR THE YEAR ENDED</v>
      </c>
      <c r="E398" s="450"/>
      <c r="F398" s="450"/>
      <c r="G398" s="450"/>
      <c r="H398" s="450"/>
      <c r="I398" s="450"/>
      <c r="J398" s="450"/>
      <c r="M398" s="358"/>
      <c r="N398" s="358"/>
      <c r="O398" s="347"/>
      <c r="R398" s="348" t="str">
        <f t="shared" si="5"/>
        <v xml:space="preserve"> </v>
      </c>
    </row>
    <row r="399" spans="3:18" ht="36" customHeight="1" x14ac:dyDescent="0.5">
      <c r="C399" s="352"/>
      <c r="D399" s="456" t="str">
        <f>Criteria!E20</f>
        <v>28 FEBRUARY 2025</v>
      </c>
      <c r="E399" s="450"/>
      <c r="F399" s="450"/>
      <c r="G399" s="450"/>
      <c r="H399" s="450"/>
      <c r="I399" s="450"/>
      <c r="J399" s="450" t="s">
        <v>231</v>
      </c>
      <c r="M399" s="358"/>
      <c r="N399" s="358"/>
      <c r="O399" s="347"/>
      <c r="R399" s="348" t="str">
        <f t="shared" si="5"/>
        <v xml:space="preserve"> </v>
      </c>
    </row>
    <row r="400" spans="3:18" ht="36" customHeight="1" x14ac:dyDescent="0.5">
      <c r="C400" s="352"/>
      <c r="D400" s="457"/>
      <c r="E400" s="457"/>
      <c r="F400" s="457"/>
      <c r="G400" s="457"/>
      <c r="H400" s="457"/>
      <c r="I400" s="457"/>
      <c r="J400" s="457"/>
      <c r="K400" s="359"/>
      <c r="L400" s="359"/>
      <c r="M400" s="360"/>
      <c r="N400" s="360"/>
      <c r="O400" s="361"/>
      <c r="P400" s="361"/>
      <c r="Q400" s="359"/>
      <c r="R400" s="348" t="str">
        <f t="shared" si="5"/>
        <v xml:space="preserve"> </v>
      </c>
    </row>
    <row r="401" spans="3:18" ht="36" customHeight="1" x14ac:dyDescent="0.5">
      <c r="D401" s="450"/>
      <c r="E401" s="450"/>
      <c r="F401" s="450"/>
      <c r="G401" s="450"/>
      <c r="H401" s="450"/>
      <c r="I401" s="450"/>
      <c r="J401" s="450"/>
      <c r="M401" s="347"/>
      <c r="O401" s="347"/>
      <c r="R401" s="348" t="str">
        <f>R402</f>
        <v xml:space="preserve"> </v>
      </c>
    </row>
    <row r="402" spans="3:18" ht="36" customHeight="1" x14ac:dyDescent="0.5">
      <c r="C402" s="292">
        <f>MAX(C$261:C401)+1</f>
        <v>11</v>
      </c>
      <c r="D402" s="456" t="s">
        <v>1054</v>
      </c>
      <c r="E402" s="450"/>
      <c r="F402" s="450"/>
      <c r="G402" s="450"/>
      <c r="H402" s="450"/>
      <c r="I402" s="450"/>
      <c r="J402" s="450"/>
      <c r="M402" s="347"/>
      <c r="O402" s="347"/>
      <c r="R402" s="348" t="str">
        <f>R404</f>
        <v xml:space="preserve"> </v>
      </c>
    </row>
    <row r="403" spans="3:18" ht="36" customHeight="1" x14ac:dyDescent="0.5">
      <c r="C403" s="292"/>
      <c r="D403" s="456"/>
      <c r="E403" s="450"/>
      <c r="F403" s="450"/>
      <c r="G403" s="450"/>
      <c r="H403" s="450"/>
      <c r="I403" s="450"/>
      <c r="J403" s="450"/>
      <c r="M403" s="347"/>
      <c r="O403" s="347"/>
      <c r="R403" s="348" t="str">
        <f>R404</f>
        <v xml:space="preserve"> </v>
      </c>
    </row>
    <row r="404" spans="3:18" ht="36" customHeight="1" x14ac:dyDescent="0.5">
      <c r="D404" s="458" t="str">
        <f>IF(Criteria!F107="No","As the group's cash flow is comprehensively disclosed in the Statement of"," ")</f>
        <v>As the group's cash flow is comprehensively disclosed in the Statement of</v>
      </c>
      <c r="E404" s="459"/>
      <c r="F404" s="450"/>
      <c r="G404" s="450"/>
      <c r="H404" s="450"/>
      <c r="I404" s="450"/>
      <c r="J404" s="450"/>
      <c r="M404" s="347"/>
      <c r="O404" s="347"/>
      <c r="R404" s="348" t="str">
        <f>IF(D404=" ","DELETE"," ")</f>
        <v xml:space="preserve"> </v>
      </c>
    </row>
    <row r="405" spans="3:18" ht="36" customHeight="1" x14ac:dyDescent="0.5">
      <c r="D405" s="458" t="str">
        <f>IF(Criteria!F107="No","Comprehensive Income, a separate Statement of Cash Flows is considered to be of no"," ")</f>
        <v>Comprehensive Income, a separate Statement of Cash Flows is considered to be of no</v>
      </c>
      <c r="E405" s="459"/>
      <c r="F405" s="450"/>
      <c r="G405" s="450"/>
      <c r="H405" s="450"/>
      <c r="I405" s="450"/>
      <c r="J405" s="450"/>
      <c r="M405" s="347"/>
      <c r="O405" s="347"/>
      <c r="R405" s="348" t="str">
        <f>IF(D405=" ","DELETE"," ")</f>
        <v xml:space="preserve"> </v>
      </c>
    </row>
    <row r="406" spans="3:18" ht="36" customHeight="1" x14ac:dyDescent="0.5">
      <c r="D406" s="458" t="str">
        <f>IF(Criteria!F107="No","value and is therefore not presented."," ")</f>
        <v>value and is therefore not presented.</v>
      </c>
      <c r="E406" s="459"/>
      <c r="F406" s="450"/>
      <c r="G406" s="450"/>
      <c r="H406" s="450"/>
      <c r="I406" s="450"/>
      <c r="J406" s="450"/>
      <c r="M406" s="347"/>
      <c r="O406" s="347"/>
      <c r="R406" s="348" t="str">
        <f>IF(D406=" ","DELETE"," ")</f>
        <v xml:space="preserve"> </v>
      </c>
    </row>
    <row r="407" spans="3:18" ht="36" customHeight="1" x14ac:dyDescent="0.5">
      <c r="D407" s="450"/>
      <c r="E407" s="450"/>
      <c r="F407" s="450"/>
      <c r="G407" s="450"/>
      <c r="H407" s="450"/>
      <c r="I407" s="450"/>
      <c r="J407" s="450"/>
      <c r="M407" s="347"/>
      <c r="O407" s="347"/>
      <c r="R407" s="348" t="str">
        <f t="shared" ref="R407:R410" si="6">R$394</f>
        <v xml:space="preserve"> </v>
      </c>
    </row>
    <row r="408" spans="3:18" ht="36" customHeight="1" x14ac:dyDescent="0.5">
      <c r="D408" s="450"/>
      <c r="E408" s="450"/>
      <c r="F408" s="450"/>
      <c r="G408" s="450"/>
      <c r="H408" s="450"/>
      <c r="I408" s="450"/>
      <c r="J408" s="450"/>
      <c r="M408" s="347"/>
      <c r="O408" s="347"/>
      <c r="R408" s="348" t="str">
        <f t="shared" si="6"/>
        <v xml:space="preserve"> </v>
      </c>
    </row>
    <row r="409" spans="3:18" ht="36" customHeight="1" x14ac:dyDescent="0.5">
      <c r="D409" s="450"/>
      <c r="E409" s="450"/>
      <c r="F409" s="450"/>
      <c r="G409" s="450"/>
      <c r="H409" s="450"/>
      <c r="I409" s="450"/>
      <c r="J409" s="450"/>
      <c r="M409" s="347"/>
      <c r="O409" s="347"/>
      <c r="R409" s="348" t="str">
        <f t="shared" si="6"/>
        <v xml:space="preserve"> </v>
      </c>
    </row>
    <row r="410" spans="3:18" ht="36" customHeight="1" x14ac:dyDescent="0.5">
      <c r="D410" s="450"/>
      <c r="E410" s="450"/>
      <c r="F410" s="450"/>
      <c r="G410" s="450"/>
      <c r="H410" s="450"/>
      <c r="I410" s="450"/>
      <c r="J410" s="450"/>
      <c r="M410" s="347"/>
      <c r="O410" s="347"/>
      <c r="R410" s="348" t="str">
        <f t="shared" si="6"/>
        <v xml:space="preserve"> </v>
      </c>
    </row>
    <row r="411" spans="3:18" ht="36" customHeight="1" x14ac:dyDescent="0.45">
      <c r="M411" s="347"/>
      <c r="O411" s="295" t="s">
        <v>89</v>
      </c>
      <c r="Q411" s="292">
        <f>MAX($Q$105:Q410)+1</f>
        <v>9</v>
      </c>
    </row>
    <row r="412" spans="3:18" ht="36" customHeight="1" x14ac:dyDescent="0.5">
      <c r="C412" s="353"/>
      <c r="D412" s="433" t="str">
        <f>Criteria!E9</f>
        <v>HOLDING COMPANY 268 (PROPRIETARY) LIMITED</v>
      </c>
      <c r="E412" s="434"/>
      <c r="F412" s="434"/>
      <c r="G412" s="434"/>
      <c r="H412" s="434"/>
      <c r="I412" s="353"/>
      <c r="J412" s="353"/>
      <c r="M412" s="347"/>
      <c r="O412" s="347"/>
    </row>
    <row r="413" spans="3:18" ht="36" customHeight="1" x14ac:dyDescent="0.5">
      <c r="C413" s="353"/>
      <c r="D413" s="433" t="str">
        <f>Criteria!E10</f>
        <v>CONSOLIDATED FINANCIAL STATEMENTS</v>
      </c>
      <c r="E413" s="434"/>
      <c r="F413" s="434"/>
      <c r="G413" s="434"/>
      <c r="H413" s="434"/>
      <c r="I413" s="353"/>
      <c r="J413" s="353"/>
      <c r="M413" s="347"/>
      <c r="O413" s="347"/>
      <c r="R413" s="348" t="str">
        <f>IF(D413=0,"DELETE"," ")</f>
        <v xml:space="preserve"> </v>
      </c>
    </row>
    <row r="414" spans="3:18" ht="36" customHeight="1" x14ac:dyDescent="0.5">
      <c r="C414" s="353"/>
      <c r="D414" s="434"/>
      <c r="E414" s="434"/>
      <c r="F414" s="434"/>
      <c r="G414" s="434"/>
      <c r="H414" s="434"/>
      <c r="I414" s="353"/>
      <c r="J414" s="353"/>
      <c r="M414" s="347"/>
      <c r="O414" s="347"/>
    </row>
    <row r="415" spans="3:18" ht="36" customHeight="1" x14ac:dyDescent="0.5">
      <c r="C415" s="353"/>
      <c r="D415" s="433" t="s">
        <v>996</v>
      </c>
      <c r="E415" s="434"/>
      <c r="F415" s="434"/>
      <c r="G415" s="434"/>
      <c r="H415" s="434"/>
      <c r="I415" s="353"/>
      <c r="J415" s="353"/>
      <c r="M415" s="347"/>
      <c r="O415" s="347"/>
    </row>
    <row r="416" spans="3:18" ht="36" customHeight="1" x14ac:dyDescent="0.5">
      <c r="C416" s="353"/>
      <c r="D416" s="433" t="str">
        <f>CONCATENATE("YEAR ENDED ",Criteria!E20)</f>
        <v>YEAR ENDED 28 FEBRUARY 2025</v>
      </c>
      <c r="E416" s="434"/>
      <c r="F416" s="434"/>
      <c r="G416" s="434"/>
      <c r="H416" s="434"/>
      <c r="I416" s="353"/>
      <c r="J416" s="353"/>
      <c r="M416" s="347"/>
      <c r="O416" s="347"/>
    </row>
    <row r="417" spans="3:23" ht="36" customHeight="1" x14ac:dyDescent="0.5">
      <c r="C417" s="353"/>
      <c r="D417" s="434"/>
      <c r="E417" s="434"/>
      <c r="F417" s="434"/>
      <c r="G417" s="434"/>
      <c r="H417" s="434"/>
      <c r="I417" s="353"/>
      <c r="J417" s="353"/>
      <c r="K417" s="359"/>
      <c r="L417" s="359"/>
      <c r="M417" s="361"/>
      <c r="N417" s="361"/>
      <c r="O417" s="361"/>
    </row>
    <row r="418" spans="3:23" ht="36" customHeight="1" x14ac:dyDescent="0.5">
      <c r="C418" s="353"/>
      <c r="D418" s="444"/>
      <c r="E418" s="444"/>
      <c r="F418" s="444"/>
      <c r="G418" s="444"/>
      <c r="H418" s="444"/>
      <c r="I418" s="411"/>
      <c r="J418" s="411"/>
      <c r="K418" s="292"/>
      <c r="L418" s="292"/>
      <c r="M418" s="294"/>
      <c r="N418" s="294"/>
      <c r="O418" s="294"/>
      <c r="P418" s="301"/>
      <c r="Q418" s="364"/>
    </row>
    <row r="419" spans="3:23" ht="36" customHeight="1" x14ac:dyDescent="0.5">
      <c r="C419" s="353"/>
      <c r="D419" s="434"/>
      <c r="E419" s="434"/>
      <c r="F419" s="434"/>
      <c r="G419" s="434"/>
      <c r="H419" s="434"/>
      <c r="I419" s="353"/>
      <c r="J419" s="353"/>
      <c r="K419" s="292" t="s">
        <v>1041</v>
      </c>
      <c r="L419" s="350"/>
      <c r="M419" s="350"/>
      <c r="N419" s="292"/>
      <c r="O419" s="294">
        <f>Criteria!E22</f>
        <v>2025</v>
      </c>
      <c r="P419" s="294"/>
    </row>
    <row r="420" spans="3:23" ht="36" customHeight="1" x14ac:dyDescent="0.5">
      <c r="C420" s="353"/>
      <c r="D420" s="434"/>
      <c r="E420" s="434"/>
      <c r="F420" s="434"/>
      <c r="G420" s="434"/>
      <c r="H420" s="434"/>
      <c r="I420" s="353"/>
      <c r="J420" s="353"/>
      <c r="K420" s="292"/>
      <c r="L420" s="350"/>
      <c r="M420" s="350"/>
      <c r="N420" s="292"/>
      <c r="O420" s="295"/>
      <c r="P420" s="295"/>
    </row>
    <row r="421" spans="3:23" ht="36" customHeight="1" x14ac:dyDescent="0.5">
      <c r="C421" s="353"/>
      <c r="D421" s="434" t="s">
        <v>836</v>
      </c>
      <c r="E421" s="434"/>
      <c r="F421" s="434"/>
      <c r="G421" s="434"/>
      <c r="H421" s="434"/>
      <c r="I421" s="353"/>
      <c r="J421" s="353"/>
      <c r="K421" s="292">
        <f>B885</f>
        <v>3</v>
      </c>
      <c r="L421" s="350"/>
      <c r="M421" s="350"/>
      <c r="N421" s="292"/>
      <c r="O421" s="296">
        <f>-SUM(TrialBalance!L4:L11)-SUM(TrialBalanceA!I4:I11)-SUM(TrialBalanceB!I4:I11)-SUM(TrialBalanceC!I4:I11)</f>
        <v>0</v>
      </c>
      <c r="P421" s="295"/>
      <c r="S421" s="333">
        <f>O421</f>
        <v>0</v>
      </c>
      <c r="T421" s="333"/>
      <c r="U421" s="331" t="b">
        <f>O421=O896</f>
        <v>1</v>
      </c>
    </row>
    <row r="422" spans="3:23" ht="36" customHeight="1" x14ac:dyDescent="0.5">
      <c r="C422" s="353"/>
      <c r="D422" s="434"/>
      <c r="E422" s="434"/>
      <c r="F422" s="434"/>
      <c r="G422" s="434"/>
      <c r="H422" s="434"/>
      <c r="I422" s="353"/>
      <c r="J422" s="353"/>
      <c r="K422" s="292"/>
      <c r="L422" s="350"/>
      <c r="M422" s="350"/>
      <c r="N422" s="292"/>
      <c r="O422" s="296"/>
      <c r="P422" s="295"/>
    </row>
    <row r="423" spans="3:23" ht="36" customHeight="1" x14ac:dyDescent="0.5">
      <c r="C423" s="353"/>
      <c r="D423" s="434" t="s">
        <v>1036</v>
      </c>
      <c r="E423" s="434"/>
      <c r="F423" s="434"/>
      <c r="G423" s="434"/>
      <c r="H423" s="434"/>
      <c r="I423" s="353"/>
      <c r="J423" s="353"/>
      <c r="K423" s="292"/>
      <c r="L423" s="350"/>
      <c r="M423" s="350"/>
      <c r="N423" s="292"/>
      <c r="O423" s="302">
        <f>-SUM(TrialBalance!L12:L26)-SUM(TrialBalanceA!I12:I26)-SUM(TrialBalanceB!I12:I26)-SUM(TrialBalanceC!I12:I26)</f>
        <v>0</v>
      </c>
      <c r="P423" s="295"/>
      <c r="R423" s="348" t="str">
        <f t="shared" ref="R423" si="7">IF(O423=0,"DELETE"," ")</f>
        <v>DELETE</v>
      </c>
      <c r="S423" s="333">
        <f>O423</f>
        <v>0</v>
      </c>
      <c r="T423" s="333"/>
    </row>
    <row r="424" spans="3:23" ht="9" customHeight="1" x14ac:dyDescent="0.5">
      <c r="C424" s="353"/>
      <c r="D424" s="434"/>
      <c r="E424" s="434"/>
      <c r="F424" s="434"/>
      <c r="G424" s="434"/>
      <c r="H424" s="434"/>
      <c r="I424" s="353"/>
      <c r="J424" s="353"/>
      <c r="K424" s="292"/>
      <c r="L424" s="350"/>
      <c r="M424" s="350"/>
      <c r="N424" s="292"/>
      <c r="O424" s="298"/>
      <c r="P424" s="295"/>
      <c r="R424" s="348" t="str">
        <f>R423</f>
        <v>DELETE</v>
      </c>
    </row>
    <row r="425" spans="3:23" ht="9" customHeight="1" x14ac:dyDescent="0.5">
      <c r="C425" s="353"/>
      <c r="D425" s="434"/>
      <c r="E425" s="434"/>
      <c r="F425" s="434"/>
      <c r="G425" s="434"/>
      <c r="H425" s="434"/>
      <c r="I425" s="353"/>
      <c r="J425" s="353"/>
      <c r="K425" s="292"/>
      <c r="L425" s="350"/>
      <c r="M425" s="350"/>
      <c r="N425" s="292"/>
      <c r="O425" s="296"/>
      <c r="P425" s="295"/>
      <c r="R425" s="348" t="str">
        <f>R424</f>
        <v>DELETE</v>
      </c>
    </row>
    <row r="426" spans="3:23" ht="36" customHeight="1" x14ac:dyDescent="0.5">
      <c r="C426" s="353"/>
      <c r="D426" s="443" t="str">
        <f>IF(W426=2,"Gross profit","Gross loss")</f>
        <v>Gross profit</v>
      </c>
      <c r="E426" s="434"/>
      <c r="F426" s="434"/>
      <c r="G426" s="434"/>
      <c r="H426" s="434"/>
      <c r="I426" s="353"/>
      <c r="J426" s="428"/>
      <c r="K426" s="303"/>
      <c r="L426" s="350"/>
      <c r="M426" s="350"/>
      <c r="N426" s="292"/>
      <c r="O426" s="296">
        <f>SUM(S421:S423)</f>
        <v>0</v>
      </c>
      <c r="P426" s="295"/>
      <c r="R426" s="348" t="str">
        <f>R425</f>
        <v>DELETE</v>
      </c>
      <c r="W426" s="331">
        <f>IF(O426&lt;0,1,2)</f>
        <v>2</v>
      </c>
    </row>
    <row r="427" spans="3:23" ht="36" customHeight="1" x14ac:dyDescent="0.5">
      <c r="C427" s="353"/>
      <c r="D427" s="434"/>
      <c r="E427" s="434"/>
      <c r="F427" s="434"/>
      <c r="G427" s="434"/>
      <c r="H427" s="434"/>
      <c r="I427" s="353"/>
      <c r="J427" s="353"/>
      <c r="K427" s="292"/>
      <c r="L427" s="350"/>
      <c r="M427" s="350"/>
      <c r="N427" s="292"/>
      <c r="O427" s="296"/>
      <c r="P427" s="295"/>
      <c r="R427" s="348" t="str">
        <f>R426</f>
        <v>DELETE</v>
      </c>
    </row>
    <row r="428" spans="3:23" ht="36" customHeight="1" x14ac:dyDescent="0.5">
      <c r="C428" s="353"/>
      <c r="D428" s="434" t="s">
        <v>1037</v>
      </c>
      <c r="E428" s="434"/>
      <c r="F428" s="434"/>
      <c r="G428" s="434"/>
      <c r="H428" s="434"/>
      <c r="I428" s="353"/>
      <c r="J428" s="353"/>
      <c r="K428" s="292">
        <f>B913</f>
        <v>4</v>
      </c>
      <c r="L428" s="350"/>
      <c r="M428" s="350"/>
      <c r="N428" s="292"/>
      <c r="O428" s="296">
        <f>-SUM(TrialBalance!L27:L33)-SUM(TrialBalanceA!I27:I33)-SUM(TrialBalanceB!I27:I33)-SUM(TrialBalanceC!I27:I33)</f>
        <v>0</v>
      </c>
      <c r="P428" s="295"/>
      <c r="R428" s="348" t="str">
        <f t="shared" ref="R428:R432" si="8">IF(O428=0,"DELETE"," ")</f>
        <v>DELETE</v>
      </c>
      <c r="S428" s="333">
        <f>O428</f>
        <v>0</v>
      </c>
      <c r="T428" s="333"/>
      <c r="U428" s="331" t="b">
        <f>O428=O941</f>
        <v>1</v>
      </c>
    </row>
    <row r="429" spans="3:23" ht="36" customHeight="1" x14ac:dyDescent="0.5">
      <c r="C429" s="353"/>
      <c r="D429" s="434"/>
      <c r="E429" s="434"/>
      <c r="F429" s="434"/>
      <c r="G429" s="434"/>
      <c r="H429" s="434"/>
      <c r="I429" s="353"/>
      <c r="J429" s="353"/>
      <c r="K429" s="292"/>
      <c r="L429" s="350"/>
      <c r="M429" s="350"/>
      <c r="N429" s="292"/>
      <c r="O429" s="296"/>
      <c r="P429" s="295"/>
      <c r="R429" s="348" t="str">
        <f>R428</f>
        <v>DELETE</v>
      </c>
    </row>
    <row r="430" spans="3:23" ht="36" customHeight="1" x14ac:dyDescent="0.5">
      <c r="C430" s="353"/>
      <c r="D430" s="434" t="s">
        <v>1038</v>
      </c>
      <c r="E430" s="434"/>
      <c r="F430" s="434"/>
      <c r="G430" s="434"/>
      <c r="H430" s="434"/>
      <c r="I430" s="353"/>
      <c r="J430" s="353"/>
      <c r="K430" s="292"/>
      <c r="L430" s="350"/>
      <c r="M430" s="350"/>
      <c r="N430" s="292"/>
      <c r="O430" s="300">
        <f>-SUM(TrialBalance!L39:L82)-SUM(TrialBalanceA!I39:I82)-SUM(TrialBalanceB!I39:I82)-SUM(TrialBalanceC!I39:I82)</f>
        <v>0</v>
      </c>
      <c r="P430" s="295"/>
      <c r="R430" s="348" t="str">
        <f t="shared" si="8"/>
        <v>DELETE</v>
      </c>
      <c r="S430" s="333">
        <f>O430</f>
        <v>0</v>
      </c>
      <c r="T430" s="333"/>
    </row>
    <row r="431" spans="3:23" ht="36" customHeight="1" x14ac:dyDescent="0.5">
      <c r="C431" s="353"/>
      <c r="D431" s="434"/>
      <c r="E431" s="434"/>
      <c r="F431" s="434"/>
      <c r="G431" s="434"/>
      <c r="H431" s="434"/>
      <c r="I431" s="353"/>
      <c r="J431" s="353"/>
      <c r="K431" s="292"/>
      <c r="L431" s="350"/>
      <c r="M431" s="350"/>
      <c r="N431" s="292"/>
      <c r="O431" s="296"/>
      <c r="P431" s="295"/>
      <c r="R431" s="348" t="str">
        <f>R430</f>
        <v>DELETE</v>
      </c>
    </row>
    <row r="432" spans="3:23" ht="36" customHeight="1" x14ac:dyDescent="0.5">
      <c r="C432" s="353"/>
      <c r="D432" s="434" t="s">
        <v>1039</v>
      </c>
      <c r="E432" s="434"/>
      <c r="F432" s="434"/>
      <c r="G432" s="434"/>
      <c r="H432" s="434"/>
      <c r="I432" s="353"/>
      <c r="J432" s="353"/>
      <c r="K432" s="292"/>
      <c r="L432" s="350"/>
      <c r="M432" s="350"/>
      <c r="N432" s="292"/>
      <c r="O432" s="300">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P432" s="295"/>
      <c r="R432" s="348" t="str">
        <f t="shared" si="8"/>
        <v>DELETE</v>
      </c>
      <c r="S432" s="333">
        <f>O432</f>
        <v>0</v>
      </c>
      <c r="T432" s="333"/>
    </row>
    <row r="433" spans="3:25" ht="36" customHeight="1" x14ac:dyDescent="0.5">
      <c r="C433" s="353"/>
      <c r="D433" s="434"/>
      <c r="E433" s="434"/>
      <c r="F433" s="434"/>
      <c r="G433" s="434"/>
      <c r="H433" s="434"/>
      <c r="I433" s="353"/>
      <c r="J433" s="353"/>
      <c r="K433" s="292"/>
      <c r="L433" s="350"/>
      <c r="M433" s="350"/>
      <c r="N433" s="292"/>
      <c r="O433" s="296"/>
      <c r="P433" s="295"/>
      <c r="R433" s="348" t="str">
        <f>R432</f>
        <v>DELETE</v>
      </c>
    </row>
    <row r="434" spans="3:25" ht="9" customHeight="1" x14ac:dyDescent="0.5">
      <c r="C434" s="353"/>
      <c r="D434" s="434"/>
      <c r="E434" s="434"/>
      <c r="F434" s="434"/>
      <c r="G434" s="434"/>
      <c r="H434" s="434"/>
      <c r="I434" s="353"/>
      <c r="J434" s="353"/>
      <c r="K434" s="292"/>
      <c r="L434" s="350"/>
      <c r="M434" s="350"/>
      <c r="N434" s="292"/>
      <c r="O434" s="298"/>
      <c r="P434" s="295"/>
      <c r="R434" s="348" t="str">
        <f>R436</f>
        <v>DELETE</v>
      </c>
    </row>
    <row r="435" spans="3:25" ht="9" customHeight="1" x14ac:dyDescent="0.5">
      <c r="C435" s="353"/>
      <c r="D435" s="434"/>
      <c r="E435" s="434"/>
      <c r="F435" s="434"/>
      <c r="G435" s="434"/>
      <c r="H435" s="434"/>
      <c r="I435" s="353"/>
      <c r="J435" s="353"/>
      <c r="K435" s="292"/>
      <c r="L435" s="350"/>
      <c r="M435" s="350"/>
      <c r="N435" s="292"/>
      <c r="O435" s="296"/>
      <c r="P435" s="295"/>
      <c r="R435" s="348" t="str">
        <f>R436</f>
        <v>DELETE</v>
      </c>
    </row>
    <row r="436" spans="3:25" ht="36" customHeight="1" x14ac:dyDescent="0.5">
      <c r="C436" s="353"/>
      <c r="D436" s="443" t="str">
        <f>IF(W436=2,"Operating profit","Operating loss")</f>
        <v>Operating profit</v>
      </c>
      <c r="E436" s="434"/>
      <c r="F436" s="434"/>
      <c r="G436" s="434"/>
      <c r="H436" s="434"/>
      <c r="I436" s="353"/>
      <c r="J436" s="353"/>
      <c r="K436" s="292">
        <f>B958</f>
        <v>5</v>
      </c>
      <c r="L436" s="350"/>
      <c r="M436" s="350"/>
      <c r="N436" s="292"/>
      <c r="O436" s="296">
        <f>SUM(S421:S433)</f>
        <v>0</v>
      </c>
      <c r="P436" s="295"/>
      <c r="R436" s="348" t="str">
        <f t="shared" ref="R436:R440" si="9">IF(O436=0,"DELETE"," ")</f>
        <v>DELETE</v>
      </c>
      <c r="W436" s="331">
        <f>IF(O436&lt;0,1,2)</f>
        <v>2</v>
      </c>
      <c r="Y436" s="331"/>
    </row>
    <row r="437" spans="3:25" ht="36" customHeight="1" x14ac:dyDescent="0.5">
      <c r="C437" s="353"/>
      <c r="D437" s="434"/>
      <c r="E437" s="434"/>
      <c r="F437" s="434"/>
      <c r="G437" s="434"/>
      <c r="H437" s="434"/>
      <c r="I437" s="353"/>
      <c r="J437" s="353"/>
      <c r="K437" s="292"/>
      <c r="L437" s="350"/>
      <c r="M437" s="350"/>
      <c r="N437" s="292"/>
      <c r="O437" s="296"/>
      <c r="P437" s="295"/>
      <c r="R437" s="348" t="str">
        <f>R436</f>
        <v>DELETE</v>
      </c>
    </row>
    <row r="438" spans="3:25" ht="36" customHeight="1" x14ac:dyDescent="0.5">
      <c r="C438" s="353"/>
      <c r="D438" s="434" t="s">
        <v>191</v>
      </c>
      <c r="E438" s="434"/>
      <c r="F438" s="434"/>
      <c r="G438" s="434"/>
      <c r="H438" s="434"/>
      <c r="I438" s="353"/>
      <c r="J438" s="353"/>
      <c r="K438" s="292">
        <f>B1071</f>
        <v>6</v>
      </c>
      <c r="L438" s="350"/>
      <c r="M438" s="350"/>
      <c r="N438" s="292"/>
      <c r="O438" s="296">
        <f>-SUM(TrialBalance!L83:L93)-SUM(TrialBalance!L95:L97)+IF(TrialBalance!L94&lt;0,-TrialBalance!L94,0)-SUM(TrialBalanceA!I83:I93)-SUM(TrialBalanceA!I95:I97)+IF(TrialBalanceA!I94&lt;0,-TrialBalanceA!I94,0)-SUM(TrialBalanceB!I83:I93)-SUM(TrialBalanceB!I95:I97)+IF(TrialBalanceB!I94&lt;0,-TrialBalanceB!I94,0)-SUM(TrialBalanceC!I83:I93)-SUM(TrialBalanceC!I95:I97)+IF(TrialBalanceC!I94&lt;0,-TrialBalanceC!I94,0)</f>
        <v>0</v>
      </c>
      <c r="P438" s="295"/>
      <c r="R438" s="348" t="str">
        <f t="shared" si="9"/>
        <v>DELETE</v>
      </c>
      <c r="S438" s="333">
        <f>O438</f>
        <v>0</v>
      </c>
      <c r="T438" s="333"/>
      <c r="U438" s="331" t="b">
        <f>O438=O1114</f>
        <v>1</v>
      </c>
    </row>
    <row r="439" spans="3:25" ht="36" customHeight="1" x14ac:dyDescent="0.5">
      <c r="C439" s="353"/>
      <c r="D439" s="434"/>
      <c r="E439" s="434"/>
      <c r="F439" s="434"/>
      <c r="G439" s="434"/>
      <c r="H439" s="434"/>
      <c r="I439" s="353"/>
      <c r="J439" s="353"/>
      <c r="K439" s="292"/>
      <c r="L439" s="350"/>
      <c r="M439" s="350"/>
      <c r="N439" s="292"/>
      <c r="O439" s="296"/>
      <c r="P439" s="295"/>
      <c r="R439" s="348" t="str">
        <f>R438</f>
        <v>DELETE</v>
      </c>
    </row>
    <row r="440" spans="3:25" ht="36" customHeight="1" x14ac:dyDescent="0.5">
      <c r="C440" s="353"/>
      <c r="D440" s="434" t="s">
        <v>1040</v>
      </c>
      <c r="E440" s="434"/>
      <c r="F440" s="434"/>
      <c r="G440" s="434"/>
      <c r="H440" s="434"/>
      <c r="I440" s="353"/>
      <c r="J440" s="353"/>
      <c r="K440" s="292">
        <f>B1131</f>
        <v>7</v>
      </c>
      <c r="L440" s="350"/>
      <c r="M440" s="350"/>
      <c r="N440" s="292"/>
      <c r="O440" s="300">
        <f>-SUM(TrialBalance!L142:L154)-SUM(TrialBalanceA!I142:I154)-SUM(TrialBalanceB!I142:I154)-SUM(TrialBalanceC!I142:I154)</f>
        <v>0</v>
      </c>
      <c r="P440" s="295"/>
      <c r="R440" s="348" t="str">
        <f t="shared" si="9"/>
        <v>DELETE</v>
      </c>
      <c r="S440" s="333">
        <f>O440</f>
        <v>0</v>
      </c>
      <c r="T440" s="333"/>
      <c r="U440" s="331" t="b">
        <f>-O440=O1179</f>
        <v>1</v>
      </c>
    </row>
    <row r="441" spans="3:25" ht="36" customHeight="1" x14ac:dyDescent="0.5">
      <c r="C441" s="353"/>
      <c r="D441" s="434"/>
      <c r="E441" s="434"/>
      <c r="F441" s="434"/>
      <c r="G441" s="434"/>
      <c r="H441" s="434"/>
      <c r="I441" s="353"/>
      <c r="J441" s="353"/>
      <c r="K441" s="292"/>
      <c r="L441" s="350"/>
      <c r="M441" s="350"/>
      <c r="N441" s="292"/>
      <c r="O441" s="296"/>
      <c r="P441" s="295"/>
      <c r="R441" s="348" t="str">
        <f>R440</f>
        <v>DELETE</v>
      </c>
    </row>
    <row r="442" spans="3:25" ht="9" customHeight="1" x14ac:dyDescent="0.5">
      <c r="C442" s="353"/>
      <c r="D442" s="434"/>
      <c r="E442" s="434"/>
      <c r="F442" s="434"/>
      <c r="G442" s="434"/>
      <c r="H442" s="434"/>
      <c r="I442" s="353"/>
      <c r="J442" s="353"/>
      <c r="K442" s="292"/>
      <c r="L442" s="350"/>
      <c r="M442" s="350"/>
      <c r="N442" s="292"/>
      <c r="O442" s="298"/>
      <c r="P442" s="295"/>
    </row>
    <row r="443" spans="3:25" ht="9" customHeight="1" x14ac:dyDescent="0.5">
      <c r="C443" s="353"/>
      <c r="D443" s="434"/>
      <c r="E443" s="434"/>
      <c r="F443" s="434"/>
      <c r="G443" s="434"/>
      <c r="H443" s="434"/>
      <c r="I443" s="353"/>
      <c r="J443" s="353"/>
      <c r="K443" s="292"/>
      <c r="L443" s="350"/>
      <c r="M443" s="350"/>
      <c r="N443" s="292"/>
      <c r="O443" s="296"/>
      <c r="P443" s="295"/>
    </row>
    <row r="444" spans="3:25" ht="36" customHeight="1" x14ac:dyDescent="0.5">
      <c r="C444" s="353"/>
      <c r="D444" s="443" t="str">
        <f>IF(W444=2,"Net profit before taxation","Net loss before taxation")</f>
        <v>Net profit before taxation</v>
      </c>
      <c r="E444" s="434"/>
      <c r="F444" s="434"/>
      <c r="G444" s="434"/>
      <c r="H444" s="434"/>
      <c r="I444" s="353"/>
      <c r="J444" s="353"/>
      <c r="K444" s="292"/>
      <c r="L444" s="350"/>
      <c r="M444" s="350"/>
      <c r="N444" s="292"/>
      <c r="O444" s="296">
        <f>SUM(S421:S441)</f>
        <v>0</v>
      </c>
      <c r="P444" s="295"/>
      <c r="W444" s="331">
        <f>IF(O444&lt;0,1,2)</f>
        <v>2</v>
      </c>
    </row>
    <row r="445" spans="3:25" ht="36" customHeight="1" x14ac:dyDescent="0.5">
      <c r="C445" s="353"/>
      <c r="D445" s="434"/>
      <c r="E445" s="434"/>
      <c r="F445" s="434"/>
      <c r="G445" s="434"/>
      <c r="H445" s="434"/>
      <c r="I445" s="353"/>
      <c r="J445" s="353"/>
      <c r="K445" s="292"/>
      <c r="L445" s="350"/>
      <c r="M445" s="350"/>
      <c r="N445" s="292"/>
      <c r="O445" s="296"/>
      <c r="P445" s="295"/>
    </row>
    <row r="446" spans="3:25" ht="36" customHeight="1" x14ac:dyDescent="0.5">
      <c r="C446" s="353"/>
      <c r="D446" s="434" t="s">
        <v>762</v>
      </c>
      <c r="E446" s="434"/>
      <c r="F446" s="434"/>
      <c r="G446" s="434"/>
      <c r="H446" s="434"/>
      <c r="I446" s="353"/>
      <c r="J446" s="353"/>
      <c r="K446" s="292"/>
      <c r="L446" s="350"/>
      <c r="M446" s="350"/>
      <c r="N446" s="292"/>
      <c r="O446" s="300">
        <f>-SUM(TrialBalance!L157:L163)</f>
        <v>0</v>
      </c>
      <c r="P446" s="295"/>
    </row>
    <row r="447" spans="3:25" ht="9" customHeight="1" x14ac:dyDescent="0.5">
      <c r="C447" s="353"/>
      <c r="D447" s="434"/>
      <c r="E447" s="434"/>
      <c r="F447" s="434"/>
      <c r="G447" s="434"/>
      <c r="H447" s="434"/>
      <c r="I447" s="353"/>
      <c r="J447" s="353"/>
      <c r="K447" s="292"/>
      <c r="L447" s="350"/>
      <c r="M447" s="350"/>
      <c r="N447" s="292"/>
      <c r="O447" s="298"/>
      <c r="P447" s="295"/>
      <c r="U447" s="334"/>
      <c r="V447" s="334"/>
    </row>
    <row r="448" spans="3:25" ht="9" customHeight="1" x14ac:dyDescent="0.5">
      <c r="C448" s="353"/>
      <c r="D448" s="434"/>
      <c r="E448" s="434"/>
      <c r="F448" s="434"/>
      <c r="G448" s="434"/>
      <c r="H448" s="434"/>
      <c r="I448" s="353"/>
      <c r="J448" s="353"/>
      <c r="K448" s="292"/>
      <c r="L448" s="350"/>
      <c r="M448" s="350"/>
      <c r="N448" s="292"/>
      <c r="O448" s="296"/>
      <c r="P448" s="295"/>
    </row>
    <row r="449" spans="3:23" ht="36.75" customHeight="1" x14ac:dyDescent="0.5">
      <c r="C449" s="353"/>
      <c r="D449" s="443" t="str">
        <f>IF(W449=2,"Net profit for the year after taxation","Net loss for the year after taxation")</f>
        <v>Net profit for the year after taxation</v>
      </c>
      <c r="E449" s="434"/>
      <c r="F449" s="434"/>
      <c r="G449" s="434"/>
      <c r="H449" s="434"/>
      <c r="I449" s="353"/>
      <c r="J449" s="353"/>
      <c r="K449" s="292"/>
      <c r="L449" s="350"/>
      <c r="M449" s="350"/>
      <c r="N449" s="292"/>
      <c r="O449" s="296">
        <f>SUM(O444:O447)</f>
        <v>0</v>
      </c>
      <c r="P449" s="295"/>
      <c r="U449" s="331" t="b">
        <f>O449=-SUM(TrialBalance!L5:L33)-SUM(TrialBalance!L39:L163)-SUM(TrialBalanceA!I5:I156)-SUM(TrialBalanceB!I5:I156)-SUM(TrialBalanceC!I5:I156)</f>
        <v>1</v>
      </c>
      <c r="W449" s="331">
        <f>IF(O449&lt;0,1,2)</f>
        <v>2</v>
      </c>
    </row>
    <row r="450" spans="3:23" ht="9" customHeight="1" thickBot="1" x14ac:dyDescent="0.55000000000000004">
      <c r="C450" s="353"/>
      <c r="D450" s="434"/>
      <c r="E450" s="434"/>
      <c r="F450" s="434"/>
      <c r="G450" s="434"/>
      <c r="H450" s="434"/>
      <c r="I450" s="353"/>
      <c r="J450" s="353"/>
      <c r="K450" s="292"/>
      <c r="L450" s="350"/>
      <c r="M450" s="350"/>
      <c r="N450" s="292"/>
      <c r="O450" s="299"/>
      <c r="P450" s="295"/>
    </row>
    <row r="451" spans="3:23" ht="9" customHeight="1" thickTop="1" x14ac:dyDescent="0.5">
      <c r="C451" s="353"/>
      <c r="D451" s="434"/>
      <c r="E451" s="434"/>
      <c r="F451" s="434"/>
      <c r="G451" s="434"/>
      <c r="H451" s="434"/>
      <c r="I451" s="353"/>
      <c r="J451" s="353"/>
      <c r="K451" s="292"/>
      <c r="L451" s="350"/>
      <c r="M451" s="350"/>
      <c r="N451" s="292"/>
      <c r="O451" s="310"/>
      <c r="P451" s="295"/>
    </row>
    <row r="452" spans="3:23" ht="36" customHeight="1" x14ac:dyDescent="0.5">
      <c r="C452" s="353"/>
      <c r="D452" s="434"/>
      <c r="E452" s="434"/>
      <c r="F452" s="434"/>
      <c r="G452" s="434"/>
      <c r="H452" s="434"/>
      <c r="I452" s="353"/>
      <c r="J452" s="353"/>
      <c r="K452" s="292"/>
      <c r="L452" s="350"/>
      <c r="M452" s="350"/>
      <c r="N452" s="292"/>
      <c r="O452" s="296"/>
      <c r="P452" s="295"/>
    </row>
    <row r="453" spans="3:23" ht="36" customHeight="1" x14ac:dyDescent="0.5">
      <c r="C453" s="353"/>
      <c r="D453" s="434"/>
      <c r="E453" s="434"/>
      <c r="F453" s="434"/>
      <c r="G453" s="434"/>
      <c r="H453" s="434"/>
      <c r="I453" s="353"/>
      <c r="J453" s="353"/>
      <c r="K453" s="292"/>
      <c r="L453" s="350"/>
      <c r="M453" s="350"/>
      <c r="N453" s="292"/>
      <c r="O453" s="295"/>
      <c r="P453" s="295"/>
      <c r="U453" s="331" t="b">
        <f>O449=O2447</f>
        <v>1</v>
      </c>
    </row>
    <row r="454" spans="3:23" ht="36" customHeight="1" x14ac:dyDescent="0.5">
      <c r="C454" s="353"/>
      <c r="D454" s="434"/>
      <c r="E454" s="434"/>
      <c r="F454" s="434"/>
      <c r="G454" s="434"/>
      <c r="H454" s="434"/>
      <c r="I454" s="353"/>
      <c r="J454" s="353"/>
      <c r="K454" s="292"/>
      <c r="L454" s="350"/>
      <c r="M454" s="350"/>
      <c r="N454" s="292"/>
      <c r="O454" s="295"/>
      <c r="P454" s="295"/>
    </row>
    <row r="455" spans="3:23" ht="36" customHeight="1" x14ac:dyDescent="0.5">
      <c r="C455" s="353"/>
      <c r="D455" s="434"/>
      <c r="E455" s="434"/>
      <c r="F455" s="434"/>
      <c r="G455" s="434"/>
      <c r="H455" s="434"/>
      <c r="I455" s="353"/>
      <c r="J455" s="353"/>
      <c r="K455" s="292"/>
      <c r="L455" s="350"/>
      <c r="M455" s="350"/>
      <c r="N455" s="292"/>
      <c r="O455" s="295"/>
      <c r="P455" s="295"/>
    </row>
    <row r="456" spans="3:23" ht="36" customHeight="1" x14ac:dyDescent="0.5">
      <c r="C456" s="353"/>
      <c r="D456" s="434"/>
      <c r="E456" s="434"/>
      <c r="F456" s="434"/>
      <c r="G456" s="434"/>
      <c r="H456" s="434"/>
      <c r="I456" s="353"/>
      <c r="J456" s="353"/>
      <c r="K456" s="292"/>
      <c r="L456" s="350"/>
      <c r="M456" s="350"/>
      <c r="N456" s="292"/>
      <c r="O456" s="295"/>
      <c r="P456" s="295"/>
    </row>
    <row r="457" spans="3:23" ht="36" customHeight="1" x14ac:dyDescent="0.5">
      <c r="C457" s="353"/>
      <c r="D457" s="434"/>
      <c r="E457" s="434"/>
      <c r="F457" s="434"/>
      <c r="G457" s="434"/>
      <c r="H457" s="434"/>
      <c r="I457" s="353"/>
      <c r="J457" s="353"/>
      <c r="K457" s="292"/>
      <c r="L457" s="350"/>
      <c r="M457" s="350"/>
      <c r="N457" s="292"/>
      <c r="O457" s="295"/>
      <c r="P457" s="295"/>
    </row>
    <row r="458" spans="3:23" ht="36" customHeight="1" x14ac:dyDescent="0.5">
      <c r="C458" s="353"/>
      <c r="D458" s="434"/>
      <c r="E458" s="434"/>
      <c r="F458" s="434"/>
      <c r="G458" s="434"/>
      <c r="H458" s="434"/>
      <c r="I458" s="353"/>
      <c r="J458" s="353"/>
      <c r="K458" s="292"/>
      <c r="L458" s="350"/>
      <c r="M458" s="350"/>
      <c r="N458" s="292"/>
      <c r="O458" s="295"/>
      <c r="P458" s="295"/>
    </row>
    <row r="459" spans="3:23" ht="36" customHeight="1" x14ac:dyDescent="0.5">
      <c r="C459" s="353"/>
      <c r="D459" s="434"/>
      <c r="E459" s="434"/>
      <c r="F459" s="434"/>
      <c r="G459" s="434"/>
      <c r="H459" s="434"/>
      <c r="I459" s="353"/>
      <c r="J459" s="353"/>
      <c r="K459" s="292"/>
      <c r="L459" s="350"/>
      <c r="M459" s="350"/>
      <c r="N459" s="292"/>
      <c r="O459" s="295"/>
      <c r="P459" s="295"/>
    </row>
    <row r="460" spans="3:23" ht="36" customHeight="1" x14ac:dyDescent="0.5">
      <c r="C460" s="353"/>
      <c r="D460" s="434"/>
      <c r="E460" s="434"/>
      <c r="F460" s="434"/>
      <c r="G460" s="434"/>
      <c r="H460" s="434"/>
      <c r="I460" s="353"/>
      <c r="J460" s="353"/>
      <c r="K460" s="292"/>
      <c r="L460" s="350"/>
      <c r="M460" s="350"/>
      <c r="N460" s="292"/>
      <c r="O460" s="295"/>
      <c r="P460" s="295"/>
    </row>
    <row r="461" spans="3:23" ht="36" customHeight="1" x14ac:dyDescent="0.5">
      <c r="C461" s="353"/>
      <c r="D461" s="434"/>
      <c r="E461" s="434"/>
      <c r="F461" s="434"/>
      <c r="G461" s="434"/>
      <c r="H461" s="434"/>
      <c r="I461" s="353"/>
      <c r="J461" s="353"/>
      <c r="K461" s="292"/>
      <c r="L461" s="292"/>
      <c r="M461" s="295"/>
      <c r="N461" s="295"/>
      <c r="O461" s="295"/>
      <c r="P461" s="295"/>
    </row>
    <row r="462" spans="3:23" ht="36" customHeight="1" x14ac:dyDescent="0.5">
      <c r="C462" s="353"/>
      <c r="D462" s="434"/>
      <c r="E462" s="434"/>
      <c r="F462" s="434"/>
      <c r="G462" s="434"/>
      <c r="H462" s="434"/>
      <c r="I462" s="353"/>
      <c r="J462" s="353"/>
      <c r="K462" s="292"/>
      <c r="L462" s="292"/>
      <c r="M462" s="330"/>
      <c r="N462" s="330"/>
      <c r="O462" s="330"/>
      <c r="P462" s="330"/>
    </row>
    <row r="463" spans="3:23" ht="36" customHeight="1" x14ac:dyDescent="0.5">
      <c r="C463" s="353"/>
      <c r="D463" s="434"/>
      <c r="E463" s="434"/>
      <c r="F463" s="434"/>
      <c r="G463" s="434"/>
      <c r="H463" s="434"/>
      <c r="I463" s="353"/>
      <c r="J463" s="353"/>
      <c r="M463" s="347"/>
      <c r="O463" s="347"/>
    </row>
    <row r="464" spans="3:23" ht="36" customHeight="1" x14ac:dyDescent="0.5">
      <c r="C464" s="353"/>
      <c r="D464" s="353"/>
      <c r="E464" s="353"/>
      <c r="F464" s="353"/>
      <c r="G464" s="353"/>
      <c r="H464" s="353"/>
      <c r="I464" s="353"/>
      <c r="J464" s="353"/>
      <c r="M464" s="347"/>
      <c r="O464" s="295" t="s">
        <v>89</v>
      </c>
      <c r="Q464" s="292">
        <f>MAX($Q$105:Q463)+1</f>
        <v>10</v>
      </c>
    </row>
    <row r="465" spans="3:24" ht="36" customHeight="1" x14ac:dyDescent="0.5">
      <c r="C465" s="353"/>
      <c r="D465" s="433" t="str">
        <f>Criteria!E9</f>
        <v>HOLDING COMPANY 268 (PROPRIETARY) LIMITED</v>
      </c>
      <c r="E465" s="434"/>
      <c r="F465" s="434"/>
      <c r="G465" s="434"/>
      <c r="H465" s="434"/>
      <c r="I465" s="353"/>
      <c r="J465" s="353"/>
      <c r="M465" s="347"/>
      <c r="O465" s="347"/>
      <c r="S465" s="335"/>
      <c r="T465" s="335"/>
      <c r="U465" s="335"/>
      <c r="V465" s="335"/>
    </row>
    <row r="466" spans="3:24" ht="36" customHeight="1" x14ac:dyDescent="0.5">
      <c r="C466" s="353"/>
      <c r="D466" s="433" t="str">
        <f>Criteria!E10</f>
        <v>CONSOLIDATED FINANCIAL STATEMENTS</v>
      </c>
      <c r="E466" s="434"/>
      <c r="F466" s="434"/>
      <c r="G466" s="434"/>
      <c r="H466" s="434"/>
      <c r="I466" s="353"/>
      <c r="J466" s="353"/>
      <c r="M466" s="347"/>
      <c r="O466" s="347"/>
      <c r="R466" s="348" t="str">
        <f>IF(D466=0,"DELETE"," ")</f>
        <v xml:space="preserve"> </v>
      </c>
      <c r="S466" s="335"/>
      <c r="T466" s="335"/>
      <c r="U466" s="335"/>
      <c r="V466" s="335"/>
    </row>
    <row r="467" spans="3:24" ht="36" customHeight="1" x14ac:dyDescent="0.5">
      <c r="C467" s="353"/>
      <c r="D467" s="434"/>
      <c r="E467" s="434"/>
      <c r="F467" s="434"/>
      <c r="G467" s="434"/>
      <c r="H467" s="434"/>
      <c r="I467" s="353"/>
      <c r="J467" s="353"/>
      <c r="M467" s="347"/>
      <c r="O467" s="347"/>
      <c r="S467" s="335"/>
      <c r="T467" s="335"/>
      <c r="U467" s="335"/>
      <c r="V467" s="335"/>
    </row>
    <row r="468" spans="3:24" ht="36" customHeight="1" x14ac:dyDescent="0.5">
      <c r="C468" s="353"/>
      <c r="D468" s="433" t="s">
        <v>1086</v>
      </c>
      <c r="E468" s="434"/>
      <c r="F468" s="434"/>
      <c r="G468" s="434"/>
      <c r="H468" s="433"/>
      <c r="I468" s="353"/>
      <c r="J468" s="353"/>
      <c r="M468" s="347"/>
      <c r="O468" s="347"/>
    </row>
    <row r="469" spans="3:24" ht="36" customHeight="1" x14ac:dyDescent="0.5">
      <c r="C469" s="353"/>
      <c r="D469" s="433" t="str">
        <f>Criteria!E20</f>
        <v>28 FEBRUARY 2025</v>
      </c>
      <c r="E469" s="434"/>
      <c r="F469" s="434"/>
      <c r="G469" s="434"/>
      <c r="H469" s="433"/>
      <c r="I469" s="353"/>
      <c r="J469" s="353"/>
      <c r="M469" s="347"/>
      <c r="O469" s="347"/>
    </row>
    <row r="470" spans="3:24" ht="36" customHeight="1" x14ac:dyDescent="0.5">
      <c r="C470" s="353"/>
      <c r="D470" s="434"/>
      <c r="E470" s="434"/>
      <c r="F470" s="434"/>
      <c r="G470" s="434"/>
      <c r="H470" s="434"/>
      <c r="I470" s="353"/>
      <c r="J470" s="353"/>
      <c r="M470" s="347"/>
      <c r="O470" s="347"/>
    </row>
    <row r="471" spans="3:24" ht="36" customHeight="1" x14ac:dyDescent="0.5">
      <c r="C471" s="353"/>
      <c r="D471" s="444"/>
      <c r="E471" s="444"/>
      <c r="F471" s="444"/>
      <c r="G471" s="444"/>
      <c r="H471" s="444"/>
      <c r="I471" s="411"/>
      <c r="J471" s="411"/>
      <c r="K471" s="364"/>
      <c r="L471" s="364"/>
      <c r="M471" s="367"/>
      <c r="N471" s="367"/>
      <c r="O471" s="367"/>
      <c r="P471" s="367"/>
      <c r="Q471" s="364"/>
    </row>
    <row r="472" spans="3:24" ht="36" customHeight="1" x14ac:dyDescent="0.5">
      <c r="C472" s="353"/>
      <c r="D472" s="434"/>
      <c r="E472" s="434"/>
      <c r="F472" s="434"/>
      <c r="G472" s="434"/>
      <c r="H472" s="434"/>
      <c r="I472" s="353"/>
      <c r="J472" s="353"/>
      <c r="K472" s="292" t="s">
        <v>1041</v>
      </c>
      <c r="L472" s="350"/>
      <c r="M472" s="350"/>
      <c r="N472" s="292"/>
      <c r="O472" s="294">
        <f>Criteria!E22</f>
        <v>2025</v>
      </c>
      <c r="P472" s="294"/>
    </row>
    <row r="473" spans="3:24" ht="36" customHeight="1" x14ac:dyDescent="0.5">
      <c r="C473" s="350"/>
      <c r="D473" s="433" t="s">
        <v>98</v>
      </c>
      <c r="E473" s="434"/>
      <c r="F473" s="434"/>
      <c r="G473" s="434"/>
      <c r="H473" s="434"/>
      <c r="I473" s="353"/>
      <c r="J473" s="353"/>
      <c r="K473" s="292"/>
      <c r="L473" s="350"/>
      <c r="M473" s="350"/>
      <c r="N473" s="292"/>
      <c r="O473" s="295"/>
      <c r="P473" s="295"/>
    </row>
    <row r="474" spans="3:24" ht="36" customHeight="1" x14ac:dyDescent="0.5">
      <c r="C474" s="353"/>
      <c r="D474" s="433" t="s">
        <v>1042</v>
      </c>
      <c r="E474" s="434"/>
      <c r="F474" s="434"/>
      <c r="G474" s="434"/>
      <c r="H474" s="434"/>
      <c r="I474" s="353"/>
      <c r="J474" s="353"/>
      <c r="K474" s="292"/>
      <c r="L474" s="350"/>
      <c r="M474" s="350"/>
      <c r="N474" s="292"/>
      <c r="O474" s="296">
        <f>SUM(O476:O486)</f>
        <v>0</v>
      </c>
      <c r="P474" s="295"/>
      <c r="R474" s="348" t="str">
        <f>IF(O474=0,"DELETE"," ")</f>
        <v>DELETE</v>
      </c>
      <c r="S474" s="333">
        <f>O474</f>
        <v>0</v>
      </c>
      <c r="T474" s="333"/>
      <c r="U474" s="333"/>
      <c r="V474" s="333"/>
    </row>
    <row r="475" spans="3:24" ht="9" customHeight="1" x14ac:dyDescent="0.5">
      <c r="C475" s="353"/>
      <c r="D475" s="433"/>
      <c r="E475" s="434"/>
      <c r="F475" s="434"/>
      <c r="G475" s="434"/>
      <c r="H475" s="434"/>
      <c r="I475" s="353"/>
      <c r="J475" s="353"/>
      <c r="K475" s="292"/>
      <c r="L475" s="350"/>
      <c r="M475" s="350"/>
      <c r="N475" s="292"/>
      <c r="O475" s="296"/>
      <c r="P475" s="295"/>
      <c r="R475" s="348" t="str">
        <f>R474</f>
        <v>DELETE</v>
      </c>
    </row>
    <row r="476" spans="3:24" ht="9" customHeight="1" x14ac:dyDescent="0.5">
      <c r="C476" s="353"/>
      <c r="D476" s="433"/>
      <c r="E476" s="434"/>
      <c r="F476" s="434"/>
      <c r="G476" s="434"/>
      <c r="H476" s="434"/>
      <c r="I476" s="353"/>
      <c r="J476" s="353"/>
      <c r="K476" s="292"/>
      <c r="L476" s="350"/>
      <c r="M476" s="350"/>
      <c r="N476" s="292"/>
      <c r="O476" s="407"/>
      <c r="P476" s="295"/>
      <c r="R476" s="348" t="str">
        <f>R474</f>
        <v>DELETE</v>
      </c>
    </row>
    <row r="477" spans="3:24" ht="36" customHeight="1" x14ac:dyDescent="0.5">
      <c r="C477" s="353"/>
      <c r="D477" s="434" t="s">
        <v>857</v>
      </c>
      <c r="E477" s="434"/>
      <c r="F477" s="434"/>
      <c r="G477" s="434"/>
      <c r="H477" s="434"/>
      <c r="I477" s="353"/>
      <c r="J477" s="353"/>
      <c r="K477" s="292">
        <f>B1196</f>
        <v>8</v>
      </c>
      <c r="L477" s="350"/>
      <c r="M477" s="350"/>
      <c r="N477" s="292"/>
      <c r="O477" s="408">
        <f>SUM(TrialBalance!L229:L239)</f>
        <v>0</v>
      </c>
      <c r="P477" s="295"/>
      <c r="R477" s="348" t="str">
        <f t="shared" ref="R477:R485" si="10">IF(O477=0,"DELETE"," ")</f>
        <v>DELETE</v>
      </c>
      <c r="U477" s="331" t="b">
        <f>O477=O1227</f>
        <v>1</v>
      </c>
    </row>
    <row r="478" spans="3:24" ht="36" customHeight="1" x14ac:dyDescent="0.5">
      <c r="C478" s="353"/>
      <c r="D478" s="434" t="s">
        <v>683</v>
      </c>
      <c r="E478" s="434"/>
      <c r="F478" s="434"/>
      <c r="G478" s="434"/>
      <c r="H478" s="434"/>
      <c r="I478" s="353"/>
      <c r="J478" s="353"/>
      <c r="K478" s="292">
        <f>B1307</f>
        <v>9</v>
      </c>
      <c r="L478" s="350"/>
      <c r="M478" s="350"/>
      <c r="N478" s="292"/>
      <c r="O478" s="408">
        <f>SUM(TrialBalance!L251:L282)</f>
        <v>0</v>
      </c>
      <c r="P478" s="295"/>
      <c r="R478" s="348" t="str">
        <f t="shared" si="10"/>
        <v>DELETE</v>
      </c>
      <c r="U478" s="336" t="b">
        <f>O478=O1334</f>
        <v>1</v>
      </c>
      <c r="V478" s="336"/>
      <c r="X478" s="336"/>
    </row>
    <row r="479" spans="3:24" ht="36" customHeight="1" x14ac:dyDescent="0.5">
      <c r="C479" s="353"/>
      <c r="D479" s="434" t="s">
        <v>937</v>
      </c>
      <c r="E479" s="434"/>
      <c r="F479" s="434"/>
      <c r="G479" s="434"/>
      <c r="H479" s="434"/>
      <c r="I479" s="353"/>
      <c r="J479" s="353"/>
      <c r="K479" s="292">
        <f>B1379</f>
        <v>10</v>
      </c>
      <c r="L479" s="350"/>
      <c r="M479" s="350"/>
      <c r="N479" s="292"/>
      <c r="O479" s="408">
        <f>SUM(TrialBalance!L240:L250)</f>
        <v>0</v>
      </c>
      <c r="P479" s="295"/>
      <c r="R479" s="348" t="str">
        <f t="shared" si="10"/>
        <v>DELETE</v>
      </c>
      <c r="U479" s="336" t="b">
        <f>O479=O1410</f>
        <v>1</v>
      </c>
      <c r="V479" s="336"/>
      <c r="X479" s="336"/>
    </row>
    <row r="480" spans="3:24" ht="36" customHeight="1" x14ac:dyDescent="0.5">
      <c r="C480" s="353"/>
      <c r="D480" s="434" t="s">
        <v>922</v>
      </c>
      <c r="E480" s="434"/>
      <c r="F480" s="434"/>
      <c r="G480" s="434"/>
      <c r="H480" s="434"/>
      <c r="I480" s="353"/>
      <c r="J480" s="353"/>
      <c r="K480" s="292">
        <f>B1492</f>
        <v>11</v>
      </c>
      <c r="L480" s="350"/>
      <c r="M480" s="350"/>
      <c r="N480" s="292"/>
      <c r="O480" s="408">
        <f>SUM(TrialBalance!L285:L301)</f>
        <v>0</v>
      </c>
      <c r="P480" s="295"/>
      <c r="R480" s="348" t="str">
        <f t="shared" si="10"/>
        <v>DELETE</v>
      </c>
      <c r="U480" s="336" t="b">
        <f>O480=O1560</f>
        <v>1</v>
      </c>
      <c r="V480" s="336"/>
      <c r="X480" s="336"/>
    </row>
    <row r="481" spans="3:24" ht="36" customHeight="1" x14ac:dyDescent="0.5">
      <c r="C481" s="353"/>
      <c r="D481" s="434" t="str">
        <f>IF(COUNTIF(TrialBalance!L304:L306,"&gt;0")&gt;1,"Investments in associates","Investment in associate")</f>
        <v>Investment in associate</v>
      </c>
      <c r="E481" s="434"/>
      <c r="F481" s="434"/>
      <c r="G481" s="434"/>
      <c r="H481" s="434"/>
      <c r="I481" s="353"/>
      <c r="J481" s="353"/>
      <c r="K481" s="292">
        <f>B1577</f>
        <v>12</v>
      </c>
      <c r="L481" s="350"/>
      <c r="M481" s="350"/>
      <c r="N481" s="292"/>
      <c r="O481" s="408">
        <f>SUM(TrialBalance!L304:L306)</f>
        <v>0</v>
      </c>
      <c r="P481" s="295"/>
      <c r="R481" s="348" t="str">
        <f t="shared" si="10"/>
        <v>DELETE</v>
      </c>
      <c r="U481" s="336" t="b">
        <f>O481=O1584</f>
        <v>1</v>
      </c>
      <c r="V481" s="336"/>
      <c r="X481" s="336"/>
    </row>
    <row r="482" spans="3:24" ht="36" customHeight="1" x14ac:dyDescent="0.5">
      <c r="C482" s="353"/>
      <c r="D482" s="434" t="str">
        <f>IF(COUNTIF(TrialBalance!L308:L312,"&gt;0")&gt;1,"Listed investments","Listed investment")</f>
        <v>Listed investment</v>
      </c>
      <c r="E482" s="434"/>
      <c r="F482" s="434"/>
      <c r="G482" s="434"/>
      <c r="H482" s="434"/>
      <c r="I482" s="353"/>
      <c r="J482" s="353"/>
      <c r="K482" s="292">
        <f>B1602</f>
        <v>13</v>
      </c>
      <c r="L482" s="350"/>
      <c r="M482" s="350"/>
      <c r="N482" s="292"/>
      <c r="O482" s="408">
        <f>SUM(TrialBalance!L308:L312)</f>
        <v>0</v>
      </c>
      <c r="P482" s="295"/>
      <c r="R482" s="348" t="str">
        <f t="shared" si="10"/>
        <v>DELETE</v>
      </c>
      <c r="U482" s="336" t="b">
        <f>O482=O1611</f>
        <v>1</v>
      </c>
      <c r="V482" s="336"/>
      <c r="X482" s="336"/>
    </row>
    <row r="483" spans="3:24" ht="36" customHeight="1" x14ac:dyDescent="0.5">
      <c r="C483" s="353"/>
      <c r="D483" s="434" t="str">
        <f>IF(COUNTIF(TrialBalance!L314:L318,"&gt;0")&gt;1,"Other investments","Other investment")</f>
        <v>Other investment</v>
      </c>
      <c r="E483" s="434"/>
      <c r="F483" s="434"/>
      <c r="G483" s="434"/>
      <c r="H483" s="434"/>
      <c r="I483" s="353"/>
      <c r="J483" s="353"/>
      <c r="K483" s="292">
        <f>B1634</f>
        <v>14</v>
      </c>
      <c r="L483" s="350"/>
      <c r="M483" s="350"/>
      <c r="N483" s="292"/>
      <c r="O483" s="408">
        <f>SUM(TrialBalance!L314:L318)</f>
        <v>0</v>
      </c>
      <c r="P483" s="295"/>
      <c r="R483" s="348" t="str">
        <f t="shared" si="10"/>
        <v>DELETE</v>
      </c>
      <c r="U483" s="336" t="b">
        <f>O483=O1643</f>
        <v>1</v>
      </c>
      <c r="V483" s="336"/>
      <c r="X483" s="336"/>
    </row>
    <row r="484" spans="3:24" ht="36" customHeight="1" x14ac:dyDescent="0.5">
      <c r="C484" s="353"/>
      <c r="D484" s="434" t="str">
        <f>IF(COUNTIF(TrialBalance!L319:L353,"&gt;0")&gt;1,"Non - current receivables","Non - current receivable")</f>
        <v>Non - current receivable</v>
      </c>
      <c r="E484" s="434"/>
      <c r="F484" s="434"/>
      <c r="G484" s="434"/>
      <c r="H484" s="434"/>
      <c r="I484" s="353"/>
      <c r="J484" s="353"/>
      <c r="K484" s="292">
        <f>B1665</f>
        <v>15</v>
      </c>
      <c r="L484" s="350"/>
      <c r="M484" s="350"/>
      <c r="N484" s="292"/>
      <c r="O484" s="408">
        <f>SUM(TrialBalance!L319:L353)</f>
        <v>0</v>
      </c>
      <c r="P484" s="295"/>
      <c r="R484" s="348" t="str">
        <f t="shared" si="10"/>
        <v>DELETE</v>
      </c>
      <c r="U484" s="336" t="b">
        <f>O484=O1707</f>
        <v>1</v>
      </c>
      <c r="V484" s="336"/>
    </row>
    <row r="485" spans="3:24" ht="36" customHeight="1" x14ac:dyDescent="0.5">
      <c r="C485" s="353"/>
      <c r="D485" s="434" t="s">
        <v>514</v>
      </c>
      <c r="E485" s="434"/>
      <c r="F485" s="434"/>
      <c r="G485" s="434"/>
      <c r="H485" s="434"/>
      <c r="I485" s="353"/>
      <c r="J485" s="353"/>
      <c r="K485" s="292">
        <f>B1972</f>
        <v>24</v>
      </c>
      <c r="L485" s="350"/>
      <c r="M485" s="350"/>
      <c r="N485" s="292"/>
      <c r="O485" s="408">
        <f>IF(SUM(TrialBalance!L221:L228)&gt;0,SUM(TrialBalance!L221:L228),0)</f>
        <v>0</v>
      </c>
      <c r="P485" s="295"/>
      <c r="R485" s="348" t="str">
        <f t="shared" si="10"/>
        <v>DELETE</v>
      </c>
      <c r="U485" s="336" t="str">
        <f>IF(O485=0,"TRUE",O485=-O2029)</f>
        <v>TRUE</v>
      </c>
      <c r="V485" s="336"/>
    </row>
    <row r="486" spans="3:24" ht="9" customHeight="1" x14ac:dyDescent="0.5">
      <c r="C486" s="353"/>
      <c r="D486" s="434"/>
      <c r="E486" s="434"/>
      <c r="F486" s="434"/>
      <c r="G486" s="434"/>
      <c r="H486" s="434"/>
      <c r="I486" s="353"/>
      <c r="J486" s="353"/>
      <c r="K486" s="292"/>
      <c r="L486" s="350"/>
      <c r="M486" s="350"/>
      <c r="N486" s="292"/>
      <c r="O486" s="409"/>
      <c r="P486" s="295"/>
      <c r="R486" s="348" t="str">
        <f>R474</f>
        <v>DELETE</v>
      </c>
    </row>
    <row r="487" spans="3:24" ht="9" customHeight="1" x14ac:dyDescent="0.5">
      <c r="C487" s="353"/>
      <c r="D487" s="434"/>
      <c r="E487" s="434"/>
      <c r="F487" s="434"/>
      <c r="G487" s="434"/>
      <c r="H487" s="434"/>
      <c r="I487" s="353"/>
      <c r="J487" s="353"/>
      <c r="K487" s="292"/>
      <c r="L487" s="350"/>
      <c r="M487" s="350"/>
      <c r="N487" s="292"/>
      <c r="O487" s="296"/>
      <c r="P487" s="295"/>
      <c r="R487" s="348" t="str">
        <f>R474</f>
        <v>DELETE</v>
      </c>
    </row>
    <row r="488" spans="3:24" ht="36" customHeight="1" x14ac:dyDescent="0.5">
      <c r="C488" s="353"/>
      <c r="D488" s="433" t="s">
        <v>1043</v>
      </c>
      <c r="E488" s="434"/>
      <c r="F488" s="434"/>
      <c r="G488" s="434"/>
      <c r="H488" s="434"/>
      <c r="I488" s="353"/>
      <c r="J488" s="353"/>
      <c r="K488" s="292"/>
      <c r="L488" s="350"/>
      <c r="M488" s="350"/>
      <c r="N488" s="292"/>
      <c r="O488" s="296">
        <f>SUM(O491:O495)</f>
        <v>0</v>
      </c>
      <c r="P488" s="295"/>
      <c r="R488" s="348" t="str">
        <f>IF(O488=0,"DELETE"," ")</f>
        <v>DELETE</v>
      </c>
      <c r="S488" s="333">
        <f>O488</f>
        <v>0</v>
      </c>
      <c r="T488" s="333"/>
      <c r="U488" s="333"/>
      <c r="V488" s="333"/>
    </row>
    <row r="489" spans="3:24" ht="9" customHeight="1" x14ac:dyDescent="0.5">
      <c r="C489" s="353"/>
      <c r="D489" s="434"/>
      <c r="E489" s="434"/>
      <c r="F489" s="434"/>
      <c r="G489" s="434"/>
      <c r="H489" s="434"/>
      <c r="I489" s="353"/>
      <c r="J489" s="353"/>
      <c r="K489" s="292"/>
      <c r="L489" s="350"/>
      <c r="M489" s="350"/>
      <c r="N489" s="292"/>
      <c r="O489" s="296"/>
      <c r="P489" s="295"/>
      <c r="R489" s="348" t="str">
        <f>R488</f>
        <v>DELETE</v>
      </c>
    </row>
    <row r="490" spans="3:24" ht="9" customHeight="1" x14ac:dyDescent="0.5">
      <c r="C490" s="353"/>
      <c r="D490" s="434"/>
      <c r="E490" s="434"/>
      <c r="F490" s="434"/>
      <c r="G490" s="434"/>
      <c r="H490" s="434"/>
      <c r="I490" s="353"/>
      <c r="J490" s="353"/>
      <c r="K490" s="292"/>
      <c r="L490" s="350"/>
      <c r="M490" s="350"/>
      <c r="N490" s="292"/>
      <c r="O490" s="407"/>
      <c r="P490" s="295"/>
      <c r="R490" s="348" t="str">
        <f>R488</f>
        <v>DELETE</v>
      </c>
    </row>
    <row r="491" spans="3:24" ht="36" customHeight="1" x14ac:dyDescent="0.5">
      <c r="C491" s="353"/>
      <c r="D491" s="434" t="s">
        <v>844</v>
      </c>
      <c r="E491" s="434"/>
      <c r="F491" s="434"/>
      <c r="G491" s="434"/>
      <c r="H491" s="434"/>
      <c r="I491" s="353"/>
      <c r="J491" s="353"/>
      <c r="K491" s="292">
        <f>B1724</f>
        <v>16</v>
      </c>
      <c r="L491" s="350"/>
      <c r="M491" s="350"/>
      <c r="N491" s="292"/>
      <c r="O491" s="408">
        <f>SUM(TrialBalance!L355:L358)</f>
        <v>0</v>
      </c>
      <c r="P491" s="295"/>
      <c r="R491" s="348" t="str">
        <f t="shared" ref="R491:R494" si="11">IF(O491=0,"DELETE"," ")</f>
        <v>DELETE</v>
      </c>
      <c r="U491" s="336" t="b">
        <f>O491=O1733</f>
        <v>1</v>
      </c>
      <c r="V491" s="336"/>
      <c r="X491" s="336"/>
    </row>
    <row r="492" spans="3:24" ht="36" customHeight="1" x14ac:dyDescent="0.5">
      <c r="C492" s="353"/>
      <c r="D492" s="434" t="s">
        <v>677</v>
      </c>
      <c r="E492" s="434"/>
      <c r="F492" s="434"/>
      <c r="G492" s="434"/>
      <c r="H492" s="434"/>
      <c r="I492" s="353"/>
      <c r="J492" s="353"/>
      <c r="K492" s="292">
        <f>B1750</f>
        <v>17</v>
      </c>
      <c r="L492" s="350"/>
      <c r="M492" s="350"/>
      <c r="N492" s="292"/>
      <c r="O492" s="408">
        <f>SUM(TrialBalance!L360:L365)+IF(TrialBalance!L399&gt;0,TrialBalance!L399,0)</f>
        <v>0</v>
      </c>
      <c r="P492" s="295"/>
      <c r="R492" s="348" t="str">
        <f t="shared" si="11"/>
        <v>DELETE</v>
      </c>
      <c r="U492" s="336" t="b">
        <f>O492=O1764</f>
        <v>1</v>
      </c>
      <c r="V492" s="336"/>
    </row>
    <row r="493" spans="3:24" ht="36" customHeight="1" x14ac:dyDescent="0.5">
      <c r="C493" s="353"/>
      <c r="D493" s="434" t="s">
        <v>643</v>
      </c>
      <c r="E493" s="434"/>
      <c r="F493" s="434"/>
      <c r="G493" s="434"/>
      <c r="H493" s="434"/>
      <c r="I493" s="353"/>
      <c r="J493" s="353"/>
      <c r="K493" s="292">
        <f>B1782</f>
        <v>18</v>
      </c>
      <c r="L493" s="350"/>
      <c r="M493" s="350"/>
      <c r="N493" s="292"/>
      <c r="O493" s="408">
        <f>TrialBalance!L373+IF(TrialBalance!L367&gt;0,TrialBalance!L367,0)+IF(TrialBalance!L368&gt;0,TrialBalance!L368,0)+IF(TrialBalance!L369&gt;0,TrialBalance!L369,0)+IF(TrialBalance!L370&gt;0,TrialBalance!L370,0)+IF(TrialBalance!L371&gt;0,TrialBalance!L371,0)+IF(TrialBalance!L372&gt;0,TrialBalance!L372,0)</f>
        <v>0</v>
      </c>
      <c r="P493" s="295"/>
      <c r="R493" s="348" t="str">
        <f t="shared" si="11"/>
        <v>DELETE</v>
      </c>
      <c r="U493" s="336" t="b">
        <f>O493=O1793</f>
        <v>1</v>
      </c>
      <c r="V493" s="336"/>
    </row>
    <row r="494" spans="3:24" ht="36" customHeight="1" x14ac:dyDescent="0.5">
      <c r="C494" s="353"/>
      <c r="D494" s="434" t="s">
        <v>615</v>
      </c>
      <c r="E494" s="434"/>
      <c r="F494" s="434"/>
      <c r="G494" s="434"/>
      <c r="H494" s="434"/>
      <c r="I494" s="353"/>
      <c r="J494" s="353"/>
      <c r="K494" s="292">
        <f>B2155</f>
        <v>29</v>
      </c>
      <c r="L494" s="350"/>
      <c r="M494" s="350"/>
      <c r="N494" s="292"/>
      <c r="O494" s="408">
        <f>IF(SUM(TrialBalance!L386:L392)&gt;0,SUM(TrialBalance!L386:L392),0)</f>
        <v>0</v>
      </c>
      <c r="P494" s="295"/>
      <c r="R494" s="348" t="str">
        <f t="shared" si="11"/>
        <v>DELETE</v>
      </c>
      <c r="U494" s="336" t="str">
        <f>IF(O494=0,"TRUE",O494=-O2166)</f>
        <v>TRUE</v>
      </c>
      <c r="V494" s="336"/>
    </row>
    <row r="495" spans="3:24" ht="9" customHeight="1" x14ac:dyDescent="0.5">
      <c r="C495" s="353"/>
      <c r="D495" s="434"/>
      <c r="E495" s="434"/>
      <c r="F495" s="434"/>
      <c r="G495" s="434"/>
      <c r="H495" s="434"/>
      <c r="I495" s="353"/>
      <c r="J495" s="353"/>
      <c r="K495" s="292"/>
      <c r="L495" s="350"/>
      <c r="M495" s="350"/>
      <c r="N495" s="292"/>
      <c r="O495" s="409"/>
      <c r="P495" s="295"/>
      <c r="R495" s="348" t="str">
        <f>R488</f>
        <v>DELETE</v>
      </c>
    </row>
    <row r="496" spans="3:24" ht="9" customHeight="1" x14ac:dyDescent="0.5">
      <c r="C496" s="353"/>
      <c r="D496" s="434"/>
      <c r="E496" s="434"/>
      <c r="F496" s="434"/>
      <c r="G496" s="434"/>
      <c r="H496" s="434"/>
      <c r="I496" s="353"/>
      <c r="J496" s="353"/>
      <c r="K496" s="292"/>
      <c r="L496" s="350"/>
      <c r="M496" s="350"/>
      <c r="N496" s="292"/>
      <c r="O496" s="296"/>
      <c r="P496" s="295"/>
      <c r="R496" s="348" t="str">
        <f>R488</f>
        <v>DELETE</v>
      </c>
    </row>
    <row r="497" spans="3:22" ht="9" customHeight="1" x14ac:dyDescent="0.5">
      <c r="C497" s="353"/>
      <c r="D497" s="434"/>
      <c r="E497" s="434"/>
      <c r="F497" s="434"/>
      <c r="G497" s="434"/>
      <c r="H497" s="434"/>
      <c r="I497" s="353"/>
      <c r="J497" s="353"/>
      <c r="K497" s="292"/>
      <c r="L497" s="350"/>
      <c r="M497" s="350"/>
      <c r="N497" s="292"/>
      <c r="O497" s="298"/>
      <c r="P497" s="295"/>
    </row>
    <row r="498" spans="3:22" ht="9" customHeight="1" x14ac:dyDescent="0.5">
      <c r="C498" s="353"/>
      <c r="D498" s="434"/>
      <c r="E498" s="434"/>
      <c r="F498" s="434"/>
      <c r="G498" s="434"/>
      <c r="H498" s="434"/>
      <c r="I498" s="353"/>
      <c r="J498" s="353"/>
      <c r="K498" s="292"/>
      <c r="L498" s="350"/>
      <c r="M498" s="350"/>
      <c r="N498" s="292"/>
      <c r="O498" s="296"/>
      <c r="P498" s="295"/>
    </row>
    <row r="499" spans="3:22" ht="36.75" customHeight="1" x14ac:dyDescent="0.5">
      <c r="C499" s="353"/>
      <c r="D499" s="433" t="s">
        <v>670</v>
      </c>
      <c r="E499" s="434"/>
      <c r="F499" s="434"/>
      <c r="G499" s="434"/>
      <c r="H499" s="434"/>
      <c r="I499" s="353"/>
      <c r="J499" s="353"/>
      <c r="K499" s="292"/>
      <c r="L499" s="350"/>
      <c r="M499" s="350"/>
      <c r="N499" s="292"/>
      <c r="O499" s="296">
        <f>SUM(S474:S497)</f>
        <v>0</v>
      </c>
      <c r="P499" s="295"/>
      <c r="U499" s="337" t="b">
        <f>O499=O534</f>
        <v>1</v>
      </c>
      <c r="V499" s="337"/>
    </row>
    <row r="500" spans="3:22" ht="9" customHeight="1" thickBot="1" x14ac:dyDescent="0.55000000000000004">
      <c r="C500" s="353"/>
      <c r="D500" s="434"/>
      <c r="E500" s="434"/>
      <c r="F500" s="434"/>
      <c r="G500" s="434"/>
      <c r="H500" s="434"/>
      <c r="I500" s="353"/>
      <c r="J500" s="353"/>
      <c r="K500" s="292"/>
      <c r="L500" s="350"/>
      <c r="M500" s="350"/>
      <c r="N500" s="292"/>
      <c r="O500" s="299"/>
      <c r="P500" s="295"/>
    </row>
    <row r="501" spans="3:22" ht="9" customHeight="1" thickTop="1" x14ac:dyDescent="0.5">
      <c r="C501" s="353"/>
      <c r="D501" s="434"/>
      <c r="E501" s="434"/>
      <c r="F501" s="434"/>
      <c r="G501" s="434"/>
      <c r="H501" s="434"/>
      <c r="I501" s="353"/>
      <c r="J501" s="353"/>
      <c r="K501" s="292"/>
      <c r="L501" s="350"/>
      <c r="M501" s="350"/>
      <c r="N501" s="292"/>
      <c r="O501" s="296"/>
      <c r="P501" s="295"/>
    </row>
    <row r="502" spans="3:22" ht="36" customHeight="1" x14ac:dyDescent="0.5">
      <c r="C502" s="353"/>
      <c r="D502" s="434"/>
      <c r="E502" s="434"/>
      <c r="F502" s="434"/>
      <c r="G502" s="434"/>
      <c r="H502" s="434"/>
      <c r="I502" s="353"/>
      <c r="J502" s="353"/>
      <c r="K502" s="292"/>
      <c r="L502" s="350"/>
      <c r="M502" s="350"/>
      <c r="N502" s="292"/>
      <c r="O502" s="296"/>
      <c r="P502" s="295"/>
    </row>
    <row r="503" spans="3:22" ht="36" customHeight="1" x14ac:dyDescent="0.5">
      <c r="C503" s="350"/>
      <c r="D503" s="433" t="s">
        <v>99</v>
      </c>
      <c r="E503" s="434"/>
      <c r="F503" s="434"/>
      <c r="G503" s="434"/>
      <c r="H503" s="434"/>
      <c r="I503" s="353"/>
      <c r="J503" s="353"/>
      <c r="K503" s="292"/>
      <c r="L503" s="350"/>
      <c r="M503" s="350"/>
      <c r="N503" s="292"/>
      <c r="O503" s="296"/>
      <c r="P503" s="295"/>
    </row>
    <row r="504" spans="3:22" ht="36" customHeight="1" x14ac:dyDescent="0.5">
      <c r="C504" s="353"/>
      <c r="D504" s="433" t="s">
        <v>1044</v>
      </c>
      <c r="E504" s="434"/>
      <c r="F504" s="434"/>
      <c r="G504" s="434"/>
      <c r="H504" s="434"/>
      <c r="I504" s="353"/>
      <c r="J504" s="353"/>
      <c r="K504" s="292"/>
      <c r="L504" s="350"/>
      <c r="M504" s="350"/>
      <c r="N504" s="292"/>
      <c r="O504" s="296">
        <f>SUM(O507:O510)</f>
        <v>0</v>
      </c>
      <c r="P504" s="295"/>
      <c r="S504" s="333">
        <f>O504</f>
        <v>0</v>
      </c>
      <c r="T504" s="333"/>
      <c r="U504" s="333"/>
      <c r="V504" s="333"/>
    </row>
    <row r="505" spans="3:22" ht="9" customHeight="1" x14ac:dyDescent="0.5">
      <c r="C505" s="353"/>
      <c r="D505" s="434"/>
      <c r="E505" s="434"/>
      <c r="F505" s="434"/>
      <c r="G505" s="434"/>
      <c r="H505" s="434"/>
      <c r="I505" s="353"/>
      <c r="J505" s="353"/>
      <c r="K505" s="292"/>
      <c r="L505" s="350"/>
      <c r="M505" s="350"/>
      <c r="N505" s="292"/>
      <c r="O505" s="296"/>
      <c r="P505" s="295"/>
    </row>
    <row r="506" spans="3:22" ht="9" customHeight="1" x14ac:dyDescent="0.5">
      <c r="C506" s="353"/>
      <c r="D506" s="434"/>
      <c r="E506" s="434"/>
      <c r="F506" s="434"/>
      <c r="G506" s="434"/>
      <c r="H506" s="434"/>
      <c r="I506" s="353"/>
      <c r="J506" s="353"/>
      <c r="K506" s="292"/>
      <c r="L506" s="350"/>
      <c r="M506" s="350"/>
      <c r="N506" s="292"/>
      <c r="O506" s="407"/>
      <c r="P506" s="295"/>
    </row>
    <row r="507" spans="3:22" ht="36" customHeight="1" x14ac:dyDescent="0.5">
      <c r="C507" s="353"/>
      <c r="D507" s="434" t="s">
        <v>515</v>
      </c>
      <c r="E507" s="434"/>
      <c r="F507" s="434"/>
      <c r="G507" s="434"/>
      <c r="H507" s="434"/>
      <c r="I507" s="353"/>
      <c r="J507" s="353"/>
      <c r="K507" s="292">
        <f>B1810</f>
        <v>19</v>
      </c>
      <c r="L507" s="350"/>
      <c r="M507" s="350"/>
      <c r="N507" s="292"/>
      <c r="O507" s="408">
        <f>-SUM(TrialBalance!L170:L171)</f>
        <v>0</v>
      </c>
      <c r="P507" s="295"/>
      <c r="U507" s="336" t="b">
        <f>O1817=O507</f>
        <v>1</v>
      </c>
      <c r="V507" s="336"/>
    </row>
    <row r="508" spans="3:22" ht="36" customHeight="1" x14ac:dyDescent="0.5">
      <c r="C508" s="353"/>
      <c r="D508" s="434" t="s">
        <v>516</v>
      </c>
      <c r="E508" s="434"/>
      <c r="F508" s="434"/>
      <c r="G508" s="434"/>
      <c r="H508" s="434"/>
      <c r="I508" s="353"/>
      <c r="J508" s="353"/>
      <c r="K508" s="292">
        <f>B1833</f>
        <v>20</v>
      </c>
      <c r="L508" s="350"/>
      <c r="M508" s="350"/>
      <c r="N508" s="292"/>
      <c r="O508" s="408">
        <f>-SUM(TrialBalance!L173:L175)</f>
        <v>0</v>
      </c>
      <c r="P508" s="295"/>
      <c r="R508" s="348" t="str">
        <f t="shared" ref="R508:R509" si="12">IF(O508=0,"DELETE"," ")</f>
        <v>DELETE</v>
      </c>
      <c r="U508" s="336" t="b">
        <f>O508=O1840</f>
        <v>1</v>
      </c>
      <c r="V508" s="336"/>
    </row>
    <row r="509" spans="3:22" ht="36" customHeight="1" x14ac:dyDescent="0.5">
      <c r="C509" s="353"/>
      <c r="D509" s="434" t="s">
        <v>13</v>
      </c>
      <c r="E509" s="434"/>
      <c r="F509" s="434"/>
      <c r="G509" s="434"/>
      <c r="H509" s="434"/>
      <c r="I509" s="353"/>
      <c r="J509" s="353"/>
      <c r="K509" s="292">
        <f>B1857</f>
        <v>21</v>
      </c>
      <c r="L509" s="350"/>
      <c r="M509" s="350"/>
      <c r="N509" s="292"/>
      <c r="O509" s="408">
        <f>-SUM(TrialBalance!L177:L179)-SUM(TrialBalance!L181:L183)</f>
        <v>0</v>
      </c>
      <c r="P509" s="295"/>
      <c r="R509" s="348" t="str">
        <f t="shared" si="12"/>
        <v>DELETE</v>
      </c>
      <c r="U509" s="336" t="b">
        <f>O509=O1876</f>
        <v>1</v>
      </c>
      <c r="V509" s="336"/>
    </row>
    <row r="510" spans="3:22" ht="36" customHeight="1" x14ac:dyDescent="0.5">
      <c r="C510" s="353"/>
      <c r="D510" s="443" t="str">
        <f>IF(O510&lt;0,"Accumulated loss","Retained income")</f>
        <v>Retained income</v>
      </c>
      <c r="E510" s="434"/>
      <c r="F510" s="434"/>
      <c r="G510" s="434"/>
      <c r="H510" s="434"/>
      <c r="I510" s="353"/>
      <c r="J510" s="353"/>
      <c r="K510" s="292"/>
      <c r="L510" s="350"/>
      <c r="M510" s="350"/>
      <c r="N510" s="292"/>
      <c r="O510" s="410">
        <f>-TrialBalance!L184-SUM(TrialBalance!L5:L166)</f>
        <v>0</v>
      </c>
      <c r="P510" s="295"/>
      <c r="U510" s="336" t="b">
        <f>O510=O588</f>
        <v>1</v>
      </c>
      <c r="V510" s="336"/>
    </row>
    <row r="511" spans="3:22" ht="9" customHeight="1" x14ac:dyDescent="0.5">
      <c r="C511" s="353"/>
      <c r="D511" s="434"/>
      <c r="E511" s="434"/>
      <c r="F511" s="434"/>
      <c r="G511" s="434"/>
      <c r="H511" s="434"/>
      <c r="I511" s="353"/>
      <c r="J511" s="353"/>
      <c r="K511" s="292"/>
      <c r="L511" s="350"/>
      <c r="M511" s="350"/>
      <c r="N511" s="292"/>
      <c r="O511" s="409"/>
      <c r="P511" s="295"/>
    </row>
    <row r="512" spans="3:22" ht="9" customHeight="1" x14ac:dyDescent="0.5">
      <c r="C512" s="353"/>
      <c r="D512" s="434"/>
      <c r="E512" s="434"/>
      <c r="F512" s="434"/>
      <c r="G512" s="434"/>
      <c r="H512" s="434"/>
      <c r="I512" s="353"/>
      <c r="J512" s="353"/>
      <c r="K512" s="292"/>
      <c r="L512" s="350"/>
      <c r="M512" s="350"/>
      <c r="N512" s="292"/>
      <c r="O512" s="296"/>
      <c r="P512" s="295"/>
    </row>
    <row r="513" spans="3:22" ht="36" customHeight="1" x14ac:dyDescent="0.5">
      <c r="C513" s="353"/>
      <c r="D513" s="433" t="s">
        <v>1045</v>
      </c>
      <c r="E513" s="434"/>
      <c r="F513" s="434"/>
      <c r="G513" s="434"/>
      <c r="H513" s="434"/>
      <c r="I513" s="353"/>
      <c r="J513" s="353"/>
      <c r="K513" s="292"/>
      <c r="L513" s="350"/>
      <c r="M513" s="350"/>
      <c r="N513" s="292"/>
      <c r="O513" s="296">
        <f>SUM(O516:O519)</f>
        <v>0</v>
      </c>
      <c r="P513" s="295"/>
      <c r="R513" s="348" t="str">
        <f t="shared" ref="R513" si="13">IF(O513=0,"DELETE"," ")</f>
        <v>DELETE</v>
      </c>
      <c r="S513" s="333">
        <f>O513</f>
        <v>0</v>
      </c>
      <c r="T513" s="333"/>
      <c r="U513" s="333"/>
      <c r="V513" s="333"/>
    </row>
    <row r="514" spans="3:22" ht="9" customHeight="1" x14ac:dyDescent="0.5">
      <c r="C514" s="353"/>
      <c r="D514" s="434"/>
      <c r="E514" s="434"/>
      <c r="F514" s="434"/>
      <c r="G514" s="434"/>
      <c r="H514" s="434"/>
      <c r="I514" s="353"/>
      <c r="J514" s="353"/>
      <c r="K514" s="292"/>
      <c r="L514" s="350"/>
      <c r="M514" s="350"/>
      <c r="N514" s="292"/>
      <c r="O514" s="296"/>
      <c r="P514" s="295"/>
      <c r="R514" s="348" t="str">
        <f>R513</f>
        <v>DELETE</v>
      </c>
    </row>
    <row r="515" spans="3:22" ht="9" customHeight="1" x14ac:dyDescent="0.5">
      <c r="C515" s="353"/>
      <c r="D515" s="434"/>
      <c r="E515" s="434"/>
      <c r="F515" s="434"/>
      <c r="G515" s="434"/>
      <c r="H515" s="434"/>
      <c r="I515" s="353"/>
      <c r="J515" s="353"/>
      <c r="K515" s="292"/>
      <c r="L515" s="350"/>
      <c r="M515" s="350"/>
      <c r="N515" s="292"/>
      <c r="O515" s="407"/>
      <c r="P515" s="295"/>
      <c r="R515" s="348" t="str">
        <f>R513</f>
        <v>DELETE</v>
      </c>
    </row>
    <row r="516" spans="3:22" ht="36" customHeight="1" x14ac:dyDescent="0.5">
      <c r="C516" s="353"/>
      <c r="D516" s="434" t="str">
        <f>IF(COUNTIF(TrialBalance!L186:L200,"&lt;0")&gt;1,"Interest bearing borrowings","Interest bearing borrowing")</f>
        <v>Interest bearing borrowing</v>
      </c>
      <c r="E516" s="434"/>
      <c r="F516" s="434"/>
      <c r="G516" s="434"/>
      <c r="H516" s="434"/>
      <c r="I516" s="353"/>
      <c r="J516" s="353"/>
      <c r="K516" s="292">
        <f>B1893</f>
        <v>22</v>
      </c>
      <c r="L516" s="350"/>
      <c r="M516" s="350"/>
      <c r="N516" s="292"/>
      <c r="O516" s="408">
        <f>-SUM(TrialBalance!L186:L201)</f>
        <v>0</v>
      </c>
      <c r="P516" s="295"/>
      <c r="R516" s="348" t="str">
        <f t="shared" ref="R516:R518" si="14">IF(O516=0,"DELETE"," ")</f>
        <v>DELETE</v>
      </c>
      <c r="U516" s="331" t="b">
        <f>O516=O1916</f>
        <v>1</v>
      </c>
    </row>
    <row r="517" spans="3:22" ht="36" customHeight="1" x14ac:dyDescent="0.5">
      <c r="C517" s="353"/>
      <c r="D517" s="434" t="str">
        <f>IF(COUNTIF(TrialBalance!L203:L219,"&lt;0")&gt;1,"Interest free borrowings","Interest free borrowing")</f>
        <v>Interest free borrowing</v>
      </c>
      <c r="E517" s="434"/>
      <c r="F517" s="434"/>
      <c r="G517" s="434"/>
      <c r="H517" s="434"/>
      <c r="I517" s="353"/>
      <c r="J517" s="353"/>
      <c r="K517" s="292">
        <f>B1933</f>
        <v>23</v>
      </c>
      <c r="L517" s="350"/>
      <c r="M517" s="350"/>
      <c r="N517" s="292"/>
      <c r="O517" s="408">
        <f>-SUM(TrialBalance!L203:L219)</f>
        <v>0</v>
      </c>
      <c r="P517" s="295"/>
      <c r="R517" s="348" t="str">
        <f t="shared" si="14"/>
        <v>DELETE</v>
      </c>
      <c r="U517" s="331" t="b">
        <f>O517=O1954</f>
        <v>1</v>
      </c>
    </row>
    <row r="518" spans="3:22" ht="36" customHeight="1" x14ac:dyDescent="0.5">
      <c r="C518" s="353"/>
      <c r="D518" s="434" t="s">
        <v>517</v>
      </c>
      <c r="E518" s="434"/>
      <c r="F518" s="434"/>
      <c r="G518" s="434"/>
      <c r="H518" s="434"/>
      <c r="I518" s="353"/>
      <c r="J518" s="353"/>
      <c r="K518" s="292">
        <f>B1972</f>
        <v>24</v>
      </c>
      <c r="L518" s="350"/>
      <c r="M518" s="350"/>
      <c r="N518" s="292"/>
      <c r="O518" s="408">
        <f>IF(SUM(TrialBalance!L221:L228)&gt;0,0,-SUM(TrialBalance!L221:L228))</f>
        <v>0</v>
      </c>
      <c r="P518" s="295"/>
      <c r="R518" s="348" t="str">
        <f t="shared" si="14"/>
        <v>DELETE</v>
      </c>
      <c r="U518" s="336" t="str">
        <f>IF(O518=0,"TRUE",O518=O2029)</f>
        <v>TRUE</v>
      </c>
      <c r="V518" s="336"/>
    </row>
    <row r="519" spans="3:22" ht="9" customHeight="1" x14ac:dyDescent="0.5">
      <c r="C519" s="353"/>
      <c r="D519" s="434"/>
      <c r="E519" s="434"/>
      <c r="F519" s="434"/>
      <c r="G519" s="434"/>
      <c r="H519" s="434"/>
      <c r="I519" s="353"/>
      <c r="J519" s="353"/>
      <c r="K519" s="292"/>
      <c r="L519" s="350"/>
      <c r="M519" s="350"/>
      <c r="N519" s="292"/>
      <c r="O519" s="409"/>
      <c r="P519" s="295"/>
      <c r="R519" s="348" t="str">
        <f>R513</f>
        <v>DELETE</v>
      </c>
    </row>
    <row r="520" spans="3:22" ht="9" customHeight="1" x14ac:dyDescent="0.5">
      <c r="C520" s="353"/>
      <c r="D520" s="434"/>
      <c r="E520" s="434"/>
      <c r="F520" s="434"/>
      <c r="G520" s="434"/>
      <c r="H520" s="434"/>
      <c r="I520" s="353"/>
      <c r="J520" s="353"/>
      <c r="K520" s="292"/>
      <c r="L520" s="350"/>
      <c r="M520" s="350"/>
      <c r="N520" s="292"/>
      <c r="O520" s="296"/>
      <c r="P520" s="295"/>
      <c r="R520" s="348" t="str">
        <f>R513</f>
        <v>DELETE</v>
      </c>
    </row>
    <row r="521" spans="3:22" ht="36" customHeight="1" x14ac:dyDescent="0.5">
      <c r="C521" s="353"/>
      <c r="D521" s="433" t="s">
        <v>1046</v>
      </c>
      <c r="E521" s="434"/>
      <c r="F521" s="434"/>
      <c r="G521" s="434"/>
      <c r="H521" s="434"/>
      <c r="I521" s="353"/>
      <c r="J521" s="353"/>
      <c r="K521" s="292"/>
      <c r="L521" s="350"/>
      <c r="M521" s="350"/>
      <c r="N521" s="292"/>
      <c r="O521" s="296">
        <f>SUM(O524:O529)</f>
        <v>0</v>
      </c>
      <c r="P521" s="295"/>
      <c r="R521" s="348" t="str">
        <f t="shared" ref="R521" si="15">IF(O521=0,"DELETE"," ")</f>
        <v>DELETE</v>
      </c>
      <c r="S521" s="333">
        <f>O521</f>
        <v>0</v>
      </c>
      <c r="T521" s="333"/>
      <c r="U521" s="333"/>
      <c r="V521" s="333"/>
    </row>
    <row r="522" spans="3:22" ht="9" customHeight="1" x14ac:dyDescent="0.5">
      <c r="C522" s="353"/>
      <c r="D522" s="434"/>
      <c r="E522" s="434"/>
      <c r="F522" s="434"/>
      <c r="G522" s="434"/>
      <c r="H522" s="434"/>
      <c r="I522" s="353"/>
      <c r="J522" s="353"/>
      <c r="K522" s="292"/>
      <c r="L522" s="350"/>
      <c r="M522" s="350"/>
      <c r="N522" s="292"/>
      <c r="O522" s="296"/>
      <c r="P522" s="295"/>
      <c r="R522" s="348" t="str">
        <f>R521</f>
        <v>DELETE</v>
      </c>
    </row>
    <row r="523" spans="3:22" ht="9" customHeight="1" x14ac:dyDescent="0.5">
      <c r="C523" s="353"/>
      <c r="D523" s="434"/>
      <c r="E523" s="434"/>
      <c r="F523" s="434"/>
      <c r="G523" s="434"/>
      <c r="H523" s="434"/>
      <c r="I523" s="353"/>
      <c r="J523" s="353"/>
      <c r="K523" s="292"/>
      <c r="L523" s="350"/>
      <c r="M523" s="350"/>
      <c r="N523" s="292"/>
      <c r="O523" s="407"/>
      <c r="P523" s="295"/>
      <c r="R523" s="348" t="str">
        <f>R521</f>
        <v>DELETE</v>
      </c>
    </row>
    <row r="524" spans="3:22" ht="36" customHeight="1" x14ac:dyDescent="0.5">
      <c r="C524" s="353"/>
      <c r="D524" s="434" t="s">
        <v>684</v>
      </c>
      <c r="E524" s="434"/>
      <c r="F524" s="434"/>
      <c r="G524" s="434"/>
      <c r="H524" s="434"/>
      <c r="I524" s="353"/>
      <c r="J524" s="353"/>
      <c r="K524" s="292">
        <f>B2051</f>
        <v>25</v>
      </c>
      <c r="L524" s="350"/>
      <c r="M524" s="350"/>
      <c r="N524" s="292"/>
      <c r="O524" s="408">
        <f>-SUM(TrialBalance!L379:L384)-IF(TrialBalance!L399&lt;0,TrialBalance!L399,0)</f>
        <v>0</v>
      </c>
      <c r="P524" s="295"/>
      <c r="R524" s="348" t="str">
        <f t="shared" ref="R524:R529" si="16">IF(O524=0,"DELETE"," ")</f>
        <v>DELETE</v>
      </c>
      <c r="U524" s="331" t="b">
        <f>O524=O2061</f>
        <v>1</v>
      </c>
    </row>
    <row r="525" spans="3:22" ht="36" customHeight="1" x14ac:dyDescent="0.5">
      <c r="C525" s="353"/>
      <c r="D525" s="434" t="str">
        <f>IF(COUNTIF(TrialBalance!L367:L372,"&lt;0")&gt;1,"Bank overdrafts","Bank overdraft")</f>
        <v>Bank overdraft</v>
      </c>
      <c r="E525" s="434"/>
      <c r="F525" s="434"/>
      <c r="G525" s="434"/>
      <c r="H525" s="434"/>
      <c r="I525" s="353"/>
      <c r="J525" s="353"/>
      <c r="K525" s="292">
        <f>B2078</f>
        <v>26</v>
      </c>
      <c r="L525" s="350"/>
      <c r="M525" s="350"/>
      <c r="N525" s="292"/>
      <c r="O525" s="408">
        <f>IF(TrialBalance!L367&lt;0,-TrialBalance!L367,0)+IF(TrialBalance!L368&lt;0,-TrialBalance!L368,0)+IF(TrialBalance!L369&lt;0,-TrialBalance!L369,0)+IF(TrialBalance!L370&lt;0,-TrialBalance!L370,0)+IF(TrialBalance!L371&lt;0,-TrialBalance!L371,0)+IF(TrialBalance!L372&lt;0,-TrialBalance!L372,0)</f>
        <v>0</v>
      </c>
      <c r="P525" s="295"/>
      <c r="R525" s="348" t="str">
        <f t="shared" si="16"/>
        <v>DELETE</v>
      </c>
      <c r="U525" s="331" t="b">
        <f>O525=O2088</f>
        <v>1</v>
      </c>
    </row>
    <row r="526" spans="3:22" ht="36" customHeight="1" x14ac:dyDescent="0.5">
      <c r="C526" s="353"/>
      <c r="D526" s="434" t="str">
        <f>IF(COUNTIF(TrialBalance!L375:L377,"&lt;0")&gt;1,"Short term loans","Short term loan")</f>
        <v>Short term loan</v>
      </c>
      <c r="E526" s="434"/>
      <c r="F526" s="434"/>
      <c r="G526" s="434"/>
      <c r="H526" s="434"/>
      <c r="I526" s="353"/>
      <c r="J526" s="353"/>
      <c r="K526" s="292">
        <f>B2105</f>
        <v>27</v>
      </c>
      <c r="L526" s="350"/>
      <c r="M526" s="350"/>
      <c r="N526" s="292"/>
      <c r="O526" s="408">
        <f>-SUM(TrialBalance!L375:L377)</f>
        <v>0</v>
      </c>
      <c r="P526" s="295"/>
      <c r="R526" s="348" t="str">
        <f t="shared" si="16"/>
        <v>DELETE</v>
      </c>
      <c r="U526" s="331" t="b">
        <f>O526=O2112</f>
        <v>1</v>
      </c>
    </row>
    <row r="527" spans="3:22" ht="36" customHeight="1" x14ac:dyDescent="0.5">
      <c r="C527" s="353"/>
      <c r="D527" s="434" t="str">
        <f>IF(COUNTIF(TrialBalance!L186:L200,"&lt;0")&gt;1,"Current portion of interest bearing loans","Current portion of interest bearing loan")</f>
        <v>Current portion of interest bearing loan</v>
      </c>
      <c r="E527" s="434"/>
      <c r="F527" s="434"/>
      <c r="G527" s="434"/>
      <c r="H527" s="434"/>
      <c r="I527" s="353"/>
      <c r="J527" s="353"/>
      <c r="K527" s="292">
        <f>B1893</f>
        <v>22</v>
      </c>
      <c r="L527" s="350"/>
      <c r="M527" s="350"/>
      <c r="N527" s="292"/>
      <c r="O527" s="408">
        <f>-TrialBalance!L378</f>
        <v>0</v>
      </c>
      <c r="P527" s="295"/>
      <c r="R527" s="348" t="str">
        <f t="shared" si="16"/>
        <v>DELETE</v>
      </c>
      <c r="U527" s="331" t="b">
        <f>O527=O1913</f>
        <v>1</v>
      </c>
    </row>
    <row r="528" spans="3:22" ht="36" customHeight="1" x14ac:dyDescent="0.5">
      <c r="C528" s="353"/>
      <c r="D528" s="434" t="str">
        <f>IF(COUNTIF(TrialBalance!L393:L397,"&lt;0")&gt;1,"Provisions","Provision")</f>
        <v>Provision</v>
      </c>
      <c r="E528" s="434"/>
      <c r="F528" s="434"/>
      <c r="G528" s="434"/>
      <c r="H528" s="434"/>
      <c r="I528" s="353"/>
      <c r="J528" s="353"/>
      <c r="K528" s="292">
        <f>B2129</f>
        <v>28</v>
      </c>
      <c r="L528" s="350"/>
      <c r="M528" s="350"/>
      <c r="N528" s="292"/>
      <c r="O528" s="408">
        <f>-SUM(TrialBalance!L393:L397)</f>
        <v>0</v>
      </c>
      <c r="P528" s="295"/>
      <c r="R528" s="348" t="str">
        <f t="shared" si="16"/>
        <v>DELETE</v>
      </c>
      <c r="U528" s="331" t="b">
        <f>O528=O2138</f>
        <v>1</v>
      </c>
    </row>
    <row r="529" spans="3:21" ht="36" customHeight="1" x14ac:dyDescent="0.5">
      <c r="C529" s="353"/>
      <c r="D529" s="434" t="s">
        <v>518</v>
      </c>
      <c r="E529" s="434"/>
      <c r="F529" s="434"/>
      <c r="G529" s="434"/>
      <c r="H529" s="434"/>
      <c r="I529" s="353"/>
      <c r="J529" s="353"/>
      <c r="K529" s="292">
        <f>B2155</f>
        <v>29</v>
      </c>
      <c r="L529" s="350"/>
      <c r="M529" s="350"/>
      <c r="N529" s="292"/>
      <c r="O529" s="408">
        <f>IF(-SUM(TrialBalance!L386:L392)&gt;0,-SUM(TrialBalance!L386:L392),0)</f>
        <v>0</v>
      </c>
      <c r="P529" s="295"/>
      <c r="R529" s="348" t="str">
        <f t="shared" si="16"/>
        <v>DELETE</v>
      </c>
      <c r="U529" s="336" t="str">
        <f>IF(O529=0,"TRUE",O529=O2166)</f>
        <v>TRUE</v>
      </c>
    </row>
    <row r="530" spans="3:21" ht="9" customHeight="1" x14ac:dyDescent="0.5">
      <c r="C530" s="353"/>
      <c r="D530" s="434"/>
      <c r="E530" s="434"/>
      <c r="F530" s="434"/>
      <c r="G530" s="434"/>
      <c r="H530" s="434"/>
      <c r="I530" s="353"/>
      <c r="J530" s="353"/>
      <c r="K530" s="292"/>
      <c r="L530" s="350"/>
      <c r="M530" s="350"/>
      <c r="N530" s="292"/>
      <c r="O530" s="409"/>
      <c r="P530" s="295"/>
      <c r="R530" s="348" t="str">
        <f>R521</f>
        <v>DELETE</v>
      </c>
    </row>
    <row r="531" spans="3:21" ht="9" customHeight="1" x14ac:dyDescent="0.5">
      <c r="C531" s="353"/>
      <c r="D531" s="434"/>
      <c r="E531" s="434"/>
      <c r="F531" s="434"/>
      <c r="G531" s="434"/>
      <c r="H531" s="434"/>
      <c r="I531" s="353"/>
      <c r="J531" s="353"/>
      <c r="K531" s="292"/>
      <c r="L531" s="350"/>
      <c r="M531" s="350"/>
      <c r="N531" s="292"/>
      <c r="O531" s="296"/>
      <c r="P531" s="295"/>
      <c r="R531" s="348" t="str">
        <f>R521</f>
        <v>DELETE</v>
      </c>
    </row>
    <row r="532" spans="3:21" ht="9" customHeight="1" x14ac:dyDescent="0.5">
      <c r="C532" s="353"/>
      <c r="D532" s="434"/>
      <c r="E532" s="434"/>
      <c r="F532" s="434"/>
      <c r="G532" s="434"/>
      <c r="H532" s="434"/>
      <c r="I532" s="353"/>
      <c r="J532" s="353"/>
      <c r="K532" s="292"/>
      <c r="L532" s="350"/>
      <c r="M532" s="350"/>
      <c r="N532" s="292"/>
      <c r="O532" s="298"/>
      <c r="P532" s="295"/>
    </row>
    <row r="533" spans="3:21" ht="9" customHeight="1" x14ac:dyDescent="0.5">
      <c r="C533" s="353"/>
      <c r="D533" s="434"/>
      <c r="E533" s="434"/>
      <c r="F533" s="434"/>
      <c r="G533" s="434"/>
      <c r="H533" s="434"/>
      <c r="I533" s="353"/>
      <c r="J533" s="353"/>
      <c r="K533" s="292"/>
      <c r="L533" s="350"/>
      <c r="M533" s="350"/>
      <c r="N533" s="292"/>
      <c r="O533" s="296"/>
      <c r="P533" s="295"/>
    </row>
    <row r="534" spans="3:21" ht="36.75" customHeight="1" x14ac:dyDescent="0.5">
      <c r="C534" s="353"/>
      <c r="D534" s="433" t="s">
        <v>1047</v>
      </c>
      <c r="E534" s="434"/>
      <c r="F534" s="434"/>
      <c r="G534" s="434"/>
      <c r="H534" s="434"/>
      <c r="I534" s="353"/>
      <c r="J534" s="429"/>
      <c r="K534" s="292"/>
      <c r="L534" s="350"/>
      <c r="M534" s="350"/>
      <c r="N534" s="292"/>
      <c r="O534" s="296">
        <f>SUM(S504:S531)</f>
        <v>0</v>
      </c>
      <c r="P534" s="295"/>
      <c r="R534" s="445"/>
    </row>
    <row r="535" spans="3:21" ht="9" customHeight="1" thickBot="1" x14ac:dyDescent="0.55000000000000004">
      <c r="C535" s="353"/>
      <c r="D535" s="434"/>
      <c r="E535" s="434"/>
      <c r="F535" s="434"/>
      <c r="G535" s="434"/>
      <c r="H535" s="434"/>
      <c r="I535" s="353"/>
      <c r="J535" s="429"/>
      <c r="K535" s="292"/>
      <c r="L535" s="350"/>
      <c r="M535" s="350"/>
      <c r="N535" s="292"/>
      <c r="O535" s="299"/>
      <c r="P535" s="295"/>
    </row>
    <row r="536" spans="3:21" ht="9" customHeight="1" thickTop="1" x14ac:dyDescent="0.5">
      <c r="C536" s="353"/>
      <c r="D536" s="434"/>
      <c r="E536" s="434"/>
      <c r="F536" s="434"/>
      <c r="G536" s="434"/>
      <c r="H536" s="434"/>
      <c r="I536" s="353"/>
      <c r="J536" s="429"/>
      <c r="K536" s="292"/>
      <c r="L536" s="350"/>
      <c r="M536" s="350"/>
      <c r="N536" s="292"/>
      <c r="O536" s="296"/>
      <c r="P536" s="295"/>
    </row>
    <row r="537" spans="3:21" ht="36" customHeight="1" x14ac:dyDescent="0.5">
      <c r="C537" s="353"/>
      <c r="D537" s="434"/>
      <c r="E537" s="434"/>
      <c r="F537" s="434"/>
      <c r="G537" s="434"/>
      <c r="H537" s="434"/>
      <c r="I537" s="353"/>
      <c r="J537" s="429"/>
      <c r="K537" s="292"/>
      <c r="L537" s="350"/>
      <c r="M537" s="350"/>
      <c r="N537" s="292"/>
      <c r="O537" s="296"/>
      <c r="P537" s="295"/>
    </row>
    <row r="538" spans="3:21" ht="36" customHeight="1" x14ac:dyDescent="0.5">
      <c r="C538" s="353"/>
      <c r="D538" s="434"/>
      <c r="E538" s="434"/>
      <c r="F538" s="434"/>
      <c r="G538" s="434"/>
      <c r="H538" s="434"/>
      <c r="I538" s="353"/>
      <c r="J538" s="353"/>
      <c r="M538" s="347"/>
      <c r="O538" s="347"/>
    </row>
    <row r="539" spans="3:21" ht="36" customHeight="1" x14ac:dyDescent="0.5">
      <c r="C539" s="353"/>
      <c r="D539" s="353"/>
      <c r="E539" s="353"/>
      <c r="F539" s="353"/>
      <c r="G539" s="353"/>
      <c r="H539" s="353"/>
      <c r="I539" s="353"/>
      <c r="J539" s="353"/>
      <c r="M539" s="347"/>
      <c r="O539" s="295" t="s">
        <v>89</v>
      </c>
      <c r="Q539" s="292">
        <f>MAX($Q$105:Q538)+1</f>
        <v>11</v>
      </c>
    </row>
    <row r="540" spans="3:21" ht="36" customHeight="1" x14ac:dyDescent="0.5">
      <c r="C540" s="450"/>
      <c r="D540" s="456" t="str">
        <f>Criteria!E9</f>
        <v>HOLDING COMPANY 268 (PROPRIETARY) LIMITED</v>
      </c>
      <c r="E540" s="450"/>
      <c r="F540" s="450"/>
      <c r="G540" s="450"/>
      <c r="H540" s="353"/>
      <c r="I540" s="353"/>
      <c r="J540" s="353"/>
      <c r="M540" s="347"/>
      <c r="O540" s="347"/>
    </row>
    <row r="541" spans="3:21" ht="36" customHeight="1" x14ac:dyDescent="0.5">
      <c r="C541" s="450"/>
      <c r="D541" s="456" t="str">
        <f>Criteria!E10</f>
        <v>CONSOLIDATED FINANCIAL STATEMENTS</v>
      </c>
      <c r="E541" s="450"/>
      <c r="F541" s="450"/>
      <c r="G541" s="450"/>
      <c r="H541" s="353"/>
      <c r="I541" s="353"/>
      <c r="J541" s="353"/>
      <c r="M541" s="347"/>
      <c r="O541" s="347"/>
      <c r="R541" s="348" t="str">
        <f>IF(D541=0,"DELETE"," ")</f>
        <v xml:space="preserve"> </v>
      </c>
    </row>
    <row r="542" spans="3:21" ht="36" customHeight="1" x14ac:dyDescent="0.5">
      <c r="C542" s="450"/>
      <c r="D542" s="450"/>
      <c r="E542" s="450"/>
      <c r="F542" s="450"/>
      <c r="G542" s="450"/>
      <c r="H542" s="353"/>
      <c r="I542" s="353"/>
      <c r="J542" s="353"/>
      <c r="M542" s="347"/>
      <c r="O542" s="347"/>
    </row>
    <row r="543" spans="3:21" ht="36" customHeight="1" x14ac:dyDescent="0.5">
      <c r="C543" s="450"/>
      <c r="D543" s="456" t="s">
        <v>1207</v>
      </c>
      <c r="E543" s="450"/>
      <c r="F543" s="450"/>
      <c r="G543" s="450"/>
      <c r="H543" s="353"/>
      <c r="I543" s="353"/>
      <c r="J543" s="353"/>
      <c r="M543" s="347"/>
      <c r="O543" s="347"/>
    </row>
    <row r="544" spans="3:21" ht="36" customHeight="1" x14ac:dyDescent="0.5">
      <c r="C544" s="450"/>
      <c r="D544" s="456" t="str">
        <f>CONCATENATE("YEAR ENDED ",Criteria!E20)</f>
        <v>YEAR ENDED 28 FEBRUARY 2025</v>
      </c>
      <c r="E544" s="450"/>
      <c r="F544" s="450"/>
      <c r="G544" s="450"/>
      <c r="H544" s="353"/>
      <c r="I544" s="353"/>
      <c r="J544" s="353"/>
      <c r="M544" s="347"/>
      <c r="O544" s="347"/>
    </row>
    <row r="545" spans="2:21" ht="36" customHeight="1" x14ac:dyDescent="0.5">
      <c r="C545" s="450"/>
      <c r="D545" s="450"/>
      <c r="E545" s="450"/>
      <c r="F545" s="450"/>
      <c r="G545" s="450"/>
      <c r="H545" s="353"/>
      <c r="I545" s="353"/>
      <c r="J545" s="353"/>
      <c r="K545" s="359"/>
      <c r="L545" s="359"/>
      <c r="M545" s="361"/>
      <c r="N545" s="361"/>
      <c r="O545" s="361"/>
    </row>
    <row r="546" spans="2:21" ht="36" customHeight="1" x14ac:dyDescent="0.5">
      <c r="B546" s="364"/>
      <c r="C546" s="460"/>
      <c r="D546" s="460"/>
      <c r="E546" s="460"/>
      <c r="F546" s="460"/>
      <c r="G546" s="460"/>
      <c r="H546" s="411"/>
      <c r="I546" s="411"/>
      <c r="J546" s="411"/>
      <c r="K546" s="292"/>
      <c r="L546" s="292"/>
      <c r="M546" s="294"/>
      <c r="N546" s="294"/>
      <c r="O546" s="294"/>
      <c r="P546" s="301"/>
      <c r="Q546" s="364"/>
    </row>
    <row r="547" spans="2:21" ht="36" customHeight="1" x14ac:dyDescent="0.5">
      <c r="C547" s="450"/>
      <c r="D547" s="450"/>
      <c r="E547" s="450"/>
      <c r="F547" s="450"/>
      <c r="G547" s="450"/>
      <c r="H547" s="353"/>
      <c r="I547" s="353"/>
      <c r="J547" s="353"/>
      <c r="K547" s="292"/>
      <c r="L547" s="350"/>
      <c r="M547" s="350"/>
      <c r="N547" s="292"/>
      <c r="O547" s="294">
        <f>Criteria!E22</f>
        <v>2025</v>
      </c>
      <c r="P547" s="294"/>
    </row>
    <row r="548" spans="2:21" ht="36" customHeight="1" x14ac:dyDescent="0.5">
      <c r="C548" s="450"/>
      <c r="D548" s="450"/>
      <c r="E548" s="450"/>
      <c r="F548" s="450"/>
      <c r="G548" s="450"/>
      <c r="H548" s="353"/>
      <c r="I548" s="353"/>
      <c r="J548" s="353"/>
      <c r="K548" s="292"/>
      <c r="L548" s="350"/>
      <c r="M548" s="350"/>
      <c r="N548" s="292"/>
      <c r="O548" s="295"/>
      <c r="P548" s="295"/>
    </row>
    <row r="549" spans="2:21" ht="36" customHeight="1" x14ac:dyDescent="0.5">
      <c r="B549" s="292">
        <v>1</v>
      </c>
      <c r="C549" s="456" t="s">
        <v>515</v>
      </c>
      <c r="D549" s="450"/>
      <c r="E549" s="450"/>
      <c r="F549" s="450"/>
      <c r="G549" s="450"/>
      <c r="H549" s="353"/>
      <c r="I549" s="353"/>
      <c r="J549" s="353"/>
      <c r="L549" s="350"/>
      <c r="M549" s="350"/>
      <c r="N549" s="345"/>
      <c r="O549" s="305"/>
      <c r="P549" s="295"/>
    </row>
    <row r="550" spans="2:21" ht="36" customHeight="1" x14ac:dyDescent="0.5">
      <c r="B550" s="292"/>
      <c r="C550" s="450"/>
      <c r="D550" s="450"/>
      <c r="E550" s="450"/>
      <c r="F550" s="450"/>
      <c r="G550" s="450"/>
      <c r="H550" s="353"/>
      <c r="I550" s="353"/>
      <c r="J550" s="353"/>
      <c r="L550" s="350"/>
      <c r="M550" s="350"/>
      <c r="N550" s="345"/>
      <c r="O550" s="305"/>
      <c r="P550" s="295"/>
    </row>
    <row r="551" spans="2:21" ht="36" customHeight="1" x14ac:dyDescent="0.5">
      <c r="B551" s="292"/>
      <c r="C551" s="450" t="s">
        <v>462</v>
      </c>
      <c r="D551" s="459"/>
      <c r="E551" s="450"/>
      <c r="F551" s="450"/>
      <c r="G551" s="450"/>
      <c r="H551" s="353"/>
      <c r="I551" s="353"/>
      <c r="J551" s="353"/>
      <c r="L551" s="350"/>
      <c r="M551" s="350"/>
      <c r="N551" s="345"/>
      <c r="O551" s="306">
        <f>-TrialBalance!L170</f>
        <v>0</v>
      </c>
      <c r="P551" s="295"/>
    </row>
    <row r="552" spans="2:21" ht="36" customHeight="1" x14ac:dyDescent="0.5">
      <c r="B552" s="292"/>
      <c r="C552" s="450" t="s">
        <v>463</v>
      </c>
      <c r="D552" s="459"/>
      <c r="E552" s="450"/>
      <c r="F552" s="450"/>
      <c r="G552" s="450"/>
      <c r="H552" s="353"/>
      <c r="I552" s="353"/>
      <c r="J552" s="353"/>
      <c r="L552" s="350"/>
      <c r="M552" s="350"/>
      <c r="N552" s="345"/>
      <c r="O552" s="306">
        <f>-TrialBalance!L171</f>
        <v>0</v>
      </c>
      <c r="P552" s="295"/>
    </row>
    <row r="553" spans="2:21" ht="9" customHeight="1" x14ac:dyDescent="0.5">
      <c r="B553" s="292"/>
      <c r="C553" s="450"/>
      <c r="D553" s="459"/>
      <c r="E553" s="450"/>
      <c r="F553" s="450"/>
      <c r="G553" s="450"/>
      <c r="H553" s="353"/>
      <c r="I553" s="353"/>
      <c r="J553" s="353"/>
      <c r="L553" s="350"/>
      <c r="M553" s="350"/>
      <c r="N553" s="345"/>
      <c r="O553" s="307"/>
      <c r="P553" s="295"/>
    </row>
    <row r="554" spans="2:21" ht="9" customHeight="1" x14ac:dyDescent="0.5">
      <c r="B554" s="292"/>
      <c r="C554" s="450"/>
      <c r="D554" s="459"/>
      <c r="E554" s="450"/>
      <c r="F554" s="450"/>
      <c r="G554" s="450"/>
      <c r="H554" s="353"/>
      <c r="I554" s="353"/>
      <c r="J554" s="353"/>
      <c r="L554" s="350"/>
      <c r="M554" s="350"/>
      <c r="N554" s="345"/>
      <c r="O554" s="306"/>
      <c r="P554" s="295"/>
    </row>
    <row r="555" spans="2:21" ht="36.75" customHeight="1" x14ac:dyDescent="0.5">
      <c r="B555" s="292"/>
      <c r="C555" s="450" t="s">
        <v>464</v>
      </c>
      <c r="D555" s="459"/>
      <c r="E555" s="450"/>
      <c r="F555" s="450"/>
      <c r="G555" s="450"/>
      <c r="H555" s="353"/>
      <c r="I555" s="353"/>
      <c r="J555" s="353"/>
      <c r="L555" s="350"/>
      <c r="M555" s="350"/>
      <c r="N555" s="345"/>
      <c r="O555" s="296">
        <f>SUM(O551:O554)</f>
        <v>0</v>
      </c>
      <c r="P555" s="295"/>
      <c r="U555" s="331" t="b">
        <f>O555=O1817</f>
        <v>1</v>
      </c>
    </row>
    <row r="556" spans="2:21" ht="9" customHeight="1" thickBot="1" x14ac:dyDescent="0.55000000000000004">
      <c r="B556" s="292"/>
      <c r="C556" s="450"/>
      <c r="D556" s="450"/>
      <c r="E556" s="450"/>
      <c r="F556" s="450"/>
      <c r="G556" s="450"/>
      <c r="H556" s="353"/>
      <c r="I556" s="353"/>
      <c r="J556" s="353"/>
      <c r="L556" s="350"/>
      <c r="M556" s="350"/>
      <c r="N556" s="345"/>
      <c r="O556" s="308"/>
      <c r="P556" s="295"/>
    </row>
    <row r="557" spans="2:21" ht="9" customHeight="1" thickTop="1" x14ac:dyDescent="0.5">
      <c r="B557" s="292"/>
      <c r="C557" s="450"/>
      <c r="D557" s="450"/>
      <c r="E557" s="450"/>
      <c r="F557" s="450"/>
      <c r="G557" s="450"/>
      <c r="H557" s="353"/>
      <c r="I557" s="353"/>
      <c r="J557" s="353"/>
      <c r="L557" s="350"/>
      <c r="M557" s="350"/>
      <c r="N557" s="345"/>
      <c r="O557" s="309"/>
      <c r="P557" s="295"/>
    </row>
    <row r="558" spans="2:21" ht="36" customHeight="1" x14ac:dyDescent="0.5">
      <c r="B558" s="292"/>
      <c r="C558" s="450"/>
      <c r="D558" s="450"/>
      <c r="E558" s="450"/>
      <c r="F558" s="450"/>
      <c r="G558" s="450"/>
      <c r="H558" s="353"/>
      <c r="I558" s="353"/>
      <c r="J558" s="353"/>
      <c r="L558" s="350"/>
      <c r="M558" s="350"/>
      <c r="N558" s="345"/>
      <c r="O558" s="306"/>
      <c r="P558" s="295"/>
      <c r="R558" s="348" t="str">
        <f>R559</f>
        <v>DELETE</v>
      </c>
    </row>
    <row r="559" spans="2:21" ht="36" customHeight="1" x14ac:dyDescent="0.5">
      <c r="B559" s="292">
        <f>MAX(B$549:B558)+1</f>
        <v>2</v>
      </c>
      <c r="C559" s="456" t="s">
        <v>516</v>
      </c>
      <c r="D559" s="450"/>
      <c r="E559" s="450"/>
      <c r="F559" s="450"/>
      <c r="G559" s="450"/>
      <c r="H559" s="353"/>
      <c r="I559" s="353"/>
      <c r="J559" s="353"/>
      <c r="L559" s="350"/>
      <c r="M559" s="350"/>
      <c r="N559" s="345"/>
      <c r="O559" s="306"/>
      <c r="P559" s="295"/>
      <c r="R559" s="348" t="str">
        <f>R566</f>
        <v>DELETE</v>
      </c>
    </row>
    <row r="560" spans="2:21" ht="36" customHeight="1" x14ac:dyDescent="0.5">
      <c r="B560" s="292"/>
      <c r="C560" s="450"/>
      <c r="D560" s="450"/>
      <c r="E560" s="450"/>
      <c r="F560" s="450"/>
      <c r="G560" s="450"/>
      <c r="H560" s="353"/>
      <c r="I560" s="353"/>
      <c r="J560" s="353"/>
      <c r="L560" s="350"/>
      <c r="M560" s="350"/>
      <c r="N560" s="345"/>
      <c r="O560" s="306"/>
      <c r="P560" s="295"/>
      <c r="R560" s="348" t="str">
        <f>R566</f>
        <v>DELETE</v>
      </c>
    </row>
    <row r="561" spans="2:21" ht="36" customHeight="1" x14ac:dyDescent="0.5">
      <c r="B561" s="292"/>
      <c r="C561" s="450" t="s">
        <v>1022</v>
      </c>
      <c r="D561" s="459"/>
      <c r="E561" s="450"/>
      <c r="F561" s="450"/>
      <c r="G561" s="450"/>
      <c r="H561" s="353"/>
      <c r="I561" s="353"/>
      <c r="J561" s="353"/>
      <c r="L561" s="350"/>
      <c r="M561" s="350"/>
      <c r="N561" s="345"/>
      <c r="O561" s="306">
        <f>-TrialBalance!L173</f>
        <v>0</v>
      </c>
      <c r="P561" s="295"/>
      <c r="R561" s="348" t="str">
        <f>R566</f>
        <v>DELETE</v>
      </c>
    </row>
    <row r="562" spans="2:21" ht="36" customHeight="1" x14ac:dyDescent="0.5">
      <c r="B562" s="292"/>
      <c r="C562" s="450" t="s">
        <v>467</v>
      </c>
      <c r="D562" s="459"/>
      <c r="E562" s="450"/>
      <c r="F562" s="450"/>
      <c r="G562" s="450"/>
      <c r="H562" s="353"/>
      <c r="I562" s="353"/>
      <c r="J562" s="353"/>
      <c r="L562" s="350"/>
      <c r="M562" s="350"/>
      <c r="N562" s="345"/>
      <c r="O562" s="306">
        <f>-TrialBalance!L174</f>
        <v>0</v>
      </c>
      <c r="P562" s="295"/>
      <c r="R562" s="348" t="str">
        <f t="shared" ref="R562:R563" si="17">IF(O562=0,"DELETE"," ")</f>
        <v>DELETE</v>
      </c>
    </row>
    <row r="563" spans="2:21" ht="36" customHeight="1" x14ac:dyDescent="0.5">
      <c r="B563" s="292"/>
      <c r="C563" s="450" t="s">
        <v>468</v>
      </c>
      <c r="D563" s="459"/>
      <c r="E563" s="450"/>
      <c r="F563" s="450"/>
      <c r="G563" s="450"/>
      <c r="H563" s="353"/>
      <c r="I563" s="353"/>
      <c r="J563" s="353"/>
      <c r="L563" s="350"/>
      <c r="M563" s="350"/>
      <c r="N563" s="345"/>
      <c r="O563" s="306">
        <f>-TrialBalance!L175</f>
        <v>0</v>
      </c>
      <c r="P563" s="295"/>
      <c r="R563" s="348" t="str">
        <f t="shared" si="17"/>
        <v>DELETE</v>
      </c>
    </row>
    <row r="564" spans="2:21" ht="9" customHeight="1" x14ac:dyDescent="0.5">
      <c r="B564" s="292"/>
      <c r="C564" s="450"/>
      <c r="D564" s="459"/>
      <c r="E564" s="450"/>
      <c r="F564" s="450"/>
      <c r="G564" s="450"/>
      <c r="H564" s="353"/>
      <c r="I564" s="353"/>
      <c r="J564" s="353"/>
      <c r="L564" s="350"/>
      <c r="M564" s="350"/>
      <c r="N564" s="345"/>
      <c r="O564" s="307"/>
      <c r="P564" s="295"/>
      <c r="R564" s="348" t="str">
        <f>R566</f>
        <v>DELETE</v>
      </c>
    </row>
    <row r="565" spans="2:21" ht="9" customHeight="1" x14ac:dyDescent="0.5">
      <c r="B565" s="292"/>
      <c r="C565" s="450"/>
      <c r="D565" s="459"/>
      <c r="E565" s="450"/>
      <c r="F565" s="450"/>
      <c r="G565" s="450"/>
      <c r="H565" s="353"/>
      <c r="I565" s="353"/>
      <c r="J565" s="353"/>
      <c r="L565" s="350"/>
      <c r="M565" s="350"/>
      <c r="N565" s="345"/>
      <c r="O565" s="306"/>
      <c r="P565" s="295"/>
      <c r="R565" s="348" t="str">
        <f>R566</f>
        <v>DELETE</v>
      </c>
    </row>
    <row r="566" spans="2:21" ht="36.75" customHeight="1" x14ac:dyDescent="0.5">
      <c r="B566" s="292"/>
      <c r="C566" s="450" t="s">
        <v>469</v>
      </c>
      <c r="D566" s="459"/>
      <c r="E566" s="450"/>
      <c r="F566" s="450"/>
      <c r="G566" s="450"/>
      <c r="H566" s="353"/>
      <c r="I566" s="353"/>
      <c r="J566" s="353"/>
      <c r="L566" s="350"/>
      <c r="M566" s="350"/>
      <c r="N566" s="345"/>
      <c r="O566" s="296">
        <f>SUM(O561:O564)</f>
        <v>0</v>
      </c>
      <c r="P566" s="295"/>
      <c r="R566" s="348" t="str">
        <f>IF(COUNTIF(O561:O563,"&gt;0")&gt;0," ","DELETE")</f>
        <v>DELETE</v>
      </c>
      <c r="U566" s="331" t="b">
        <f>O566=O1840</f>
        <v>1</v>
      </c>
    </row>
    <row r="567" spans="2:21" ht="9" customHeight="1" thickBot="1" x14ac:dyDescent="0.55000000000000004">
      <c r="B567" s="292"/>
      <c r="C567" s="450"/>
      <c r="D567" s="450"/>
      <c r="E567" s="450"/>
      <c r="F567" s="450"/>
      <c r="G567" s="450"/>
      <c r="H567" s="353"/>
      <c r="I567" s="353"/>
      <c r="J567" s="353"/>
      <c r="L567" s="350"/>
      <c r="M567" s="350"/>
      <c r="N567" s="345"/>
      <c r="O567" s="308"/>
      <c r="P567" s="295"/>
      <c r="R567" s="348" t="str">
        <f>R566</f>
        <v>DELETE</v>
      </c>
    </row>
    <row r="568" spans="2:21" ht="9" customHeight="1" thickTop="1" x14ac:dyDescent="0.5">
      <c r="B568" s="292"/>
      <c r="C568" s="450"/>
      <c r="D568" s="450"/>
      <c r="E568" s="450"/>
      <c r="F568" s="450"/>
      <c r="G568" s="450"/>
      <c r="H568" s="353"/>
      <c r="I568" s="353"/>
      <c r="J568" s="353"/>
      <c r="L568" s="350"/>
      <c r="M568" s="350"/>
      <c r="N568" s="345"/>
      <c r="O568" s="309"/>
      <c r="P568" s="295"/>
      <c r="R568" s="348" t="str">
        <f>R567</f>
        <v>DELETE</v>
      </c>
    </row>
    <row r="569" spans="2:21" ht="36" customHeight="1" x14ac:dyDescent="0.5">
      <c r="B569" s="292"/>
      <c r="C569" s="450"/>
      <c r="D569" s="450"/>
      <c r="E569" s="450"/>
      <c r="F569" s="450"/>
      <c r="G569" s="450"/>
      <c r="H569" s="353"/>
      <c r="I569" s="353"/>
      <c r="J569" s="353"/>
      <c r="L569" s="350"/>
      <c r="M569" s="350"/>
      <c r="N569" s="345"/>
      <c r="O569" s="306"/>
      <c r="P569" s="295"/>
      <c r="R569" s="348" t="str">
        <f>R567</f>
        <v>DELETE</v>
      </c>
    </row>
    <row r="570" spans="2:21" ht="36" customHeight="1" x14ac:dyDescent="0.5">
      <c r="B570" s="292">
        <f>MAX(B$549:B569)+1</f>
        <v>3</v>
      </c>
      <c r="C570" s="456" t="s">
        <v>13</v>
      </c>
      <c r="D570" s="450"/>
      <c r="E570" s="450"/>
      <c r="F570" s="450"/>
      <c r="G570" s="450"/>
      <c r="H570" s="353"/>
      <c r="I570" s="353"/>
      <c r="J570" s="353"/>
      <c r="L570" s="350"/>
      <c r="M570" s="350"/>
      <c r="N570" s="345"/>
      <c r="O570" s="306"/>
      <c r="P570" s="295"/>
      <c r="R570" s="348" t="str">
        <f>R$577</f>
        <v>DELETE</v>
      </c>
    </row>
    <row r="571" spans="2:21" ht="36" customHeight="1" x14ac:dyDescent="0.5">
      <c r="B571" s="292"/>
      <c r="C571" s="450"/>
      <c r="D571" s="450"/>
      <c r="E571" s="450"/>
      <c r="F571" s="450"/>
      <c r="G571" s="450"/>
      <c r="H571" s="353"/>
      <c r="I571" s="353"/>
      <c r="J571" s="353"/>
      <c r="L571" s="350"/>
      <c r="M571" s="350"/>
      <c r="N571" s="345"/>
      <c r="O571" s="306"/>
      <c r="P571" s="295"/>
      <c r="R571" s="348" t="str">
        <f>R$577</f>
        <v>DELETE</v>
      </c>
    </row>
    <row r="572" spans="2:21" ht="36" customHeight="1" x14ac:dyDescent="0.5">
      <c r="B572" s="292"/>
      <c r="C572" s="450" t="s">
        <v>105</v>
      </c>
      <c r="D572" s="459"/>
      <c r="E572" s="450"/>
      <c r="F572" s="450"/>
      <c r="G572" s="450"/>
      <c r="H572" s="353"/>
      <c r="I572" s="353"/>
      <c r="J572" s="353"/>
      <c r="L572" s="350"/>
      <c r="M572" s="350"/>
      <c r="N572" s="345"/>
      <c r="O572" s="306">
        <f>-TrialBalance!L177-TrialBalance!L181</f>
        <v>0</v>
      </c>
      <c r="P572" s="295"/>
      <c r="R572" s="348" t="str">
        <f>R$577</f>
        <v>DELETE</v>
      </c>
    </row>
    <row r="573" spans="2:21" ht="36" customHeight="1" x14ac:dyDescent="0.5">
      <c r="B573" s="292"/>
      <c r="C573" s="450" t="s">
        <v>674</v>
      </c>
      <c r="D573" s="459"/>
      <c r="E573" s="450"/>
      <c r="F573" s="450"/>
      <c r="G573" s="450"/>
      <c r="H573" s="353"/>
      <c r="I573" s="353"/>
      <c r="J573" s="353"/>
      <c r="L573" s="350"/>
      <c r="M573" s="350"/>
      <c r="N573" s="345"/>
      <c r="O573" s="306">
        <f>-TrialBalance!L178-TrialBalance!L182</f>
        <v>0</v>
      </c>
      <c r="P573" s="295"/>
      <c r="R573" s="348" t="str">
        <f>IF(O573=0,"DELETE"," ")</f>
        <v>DELETE</v>
      </c>
    </row>
    <row r="574" spans="2:21" ht="36" customHeight="1" x14ac:dyDescent="0.5">
      <c r="B574" s="292"/>
      <c r="C574" s="450" t="s">
        <v>675</v>
      </c>
      <c r="D574" s="459"/>
      <c r="E574" s="450"/>
      <c r="F574" s="450"/>
      <c r="G574" s="450"/>
      <c r="H574" s="353"/>
      <c r="I574" s="353"/>
      <c r="J574" s="353"/>
      <c r="L574" s="350"/>
      <c r="M574" s="350"/>
      <c r="N574" s="345"/>
      <c r="O574" s="296">
        <f>-TrialBalance!L179-TrialBalance!L183</f>
        <v>0</v>
      </c>
      <c r="P574" s="295"/>
      <c r="R574" s="348" t="str">
        <f>IF(O574=0,"DELETE"," ")</f>
        <v>DELETE</v>
      </c>
    </row>
    <row r="575" spans="2:21" ht="9" customHeight="1" x14ac:dyDescent="0.5">
      <c r="B575" s="292"/>
      <c r="C575" s="450"/>
      <c r="D575" s="459"/>
      <c r="E575" s="450"/>
      <c r="F575" s="450"/>
      <c r="G575" s="450"/>
      <c r="H575" s="353"/>
      <c r="I575" s="353"/>
      <c r="J575" s="353"/>
      <c r="L575" s="350"/>
      <c r="M575" s="350"/>
      <c r="N575" s="345"/>
      <c r="O575" s="307"/>
      <c r="P575" s="295"/>
      <c r="R575" s="348" t="str">
        <f>R$577</f>
        <v>DELETE</v>
      </c>
    </row>
    <row r="576" spans="2:21" ht="9" customHeight="1" x14ac:dyDescent="0.5">
      <c r="B576" s="292"/>
      <c r="C576" s="450"/>
      <c r="D576" s="459"/>
      <c r="E576" s="450"/>
      <c r="F576" s="450"/>
      <c r="G576" s="450"/>
      <c r="H576" s="353"/>
      <c r="I576" s="353"/>
      <c r="J576" s="353"/>
      <c r="L576" s="350"/>
      <c r="M576" s="350"/>
      <c r="N576" s="345"/>
      <c r="O576" s="306"/>
      <c r="P576" s="295"/>
      <c r="R576" s="348" t="str">
        <f>R$577</f>
        <v>DELETE</v>
      </c>
    </row>
    <row r="577" spans="2:23" ht="36.75" customHeight="1" x14ac:dyDescent="0.5">
      <c r="B577" s="292"/>
      <c r="C577" s="450" t="s">
        <v>470</v>
      </c>
      <c r="D577" s="459"/>
      <c r="E577" s="450"/>
      <c r="F577" s="450"/>
      <c r="G577" s="450"/>
      <c r="H577" s="353"/>
      <c r="I577" s="353"/>
      <c r="J577" s="353"/>
      <c r="L577" s="350"/>
      <c r="M577" s="350"/>
      <c r="N577" s="345"/>
      <c r="O577" s="296">
        <f>SUM(O572:O575)</f>
        <v>0</v>
      </c>
      <c r="P577" s="295"/>
      <c r="R577" s="348" t="str">
        <f>IF(COUNTIF(O572:O574,"&gt;0")&gt;0," ","DELETE")</f>
        <v>DELETE</v>
      </c>
      <c r="U577" s="331" t="b">
        <f>O577=O1876</f>
        <v>1</v>
      </c>
    </row>
    <row r="578" spans="2:23" ht="9" customHeight="1" thickBot="1" x14ac:dyDescent="0.55000000000000004">
      <c r="B578" s="292"/>
      <c r="C578" s="450"/>
      <c r="D578" s="450"/>
      <c r="E578" s="450"/>
      <c r="F578" s="450"/>
      <c r="G578" s="450"/>
      <c r="H578" s="353"/>
      <c r="I578" s="353"/>
      <c r="J578" s="353"/>
      <c r="L578" s="350"/>
      <c r="M578" s="350"/>
      <c r="N578" s="345"/>
      <c r="O578" s="308"/>
      <c r="P578" s="295"/>
      <c r="R578" s="348" t="str">
        <f>R$577</f>
        <v>DELETE</v>
      </c>
    </row>
    <row r="579" spans="2:23" ht="9" customHeight="1" thickTop="1" x14ac:dyDescent="0.5">
      <c r="B579" s="292"/>
      <c r="C579" s="450"/>
      <c r="D579" s="450"/>
      <c r="E579" s="450"/>
      <c r="F579" s="450"/>
      <c r="G579" s="450"/>
      <c r="H579" s="353"/>
      <c r="I579" s="353"/>
      <c r="J579" s="353"/>
      <c r="L579" s="350"/>
      <c r="M579" s="350"/>
      <c r="N579" s="345"/>
      <c r="O579" s="306"/>
      <c r="P579" s="295"/>
      <c r="R579" s="348" t="str">
        <f>R$577</f>
        <v>DELETE</v>
      </c>
    </row>
    <row r="580" spans="2:23" ht="36" customHeight="1" x14ac:dyDescent="0.5">
      <c r="B580" s="292"/>
      <c r="C580" s="450"/>
      <c r="D580" s="450"/>
      <c r="E580" s="450"/>
      <c r="F580" s="450"/>
      <c r="G580" s="450"/>
      <c r="H580" s="353"/>
      <c r="I580" s="353"/>
      <c r="J580" s="353"/>
      <c r="L580" s="350"/>
      <c r="M580" s="350"/>
      <c r="N580" s="345"/>
      <c r="O580" s="306"/>
      <c r="P580" s="295"/>
    </row>
    <row r="581" spans="2:23" ht="36" customHeight="1" x14ac:dyDescent="0.5">
      <c r="B581" s="292">
        <f>MAX(B$549:B580)+1</f>
        <v>4</v>
      </c>
      <c r="C581" s="461" t="str">
        <f>IF(W581=2,"Retained income","Accumulated loss")</f>
        <v>Retained income</v>
      </c>
      <c r="D581" s="450"/>
      <c r="E581" s="450"/>
      <c r="F581" s="450"/>
      <c r="G581" s="450"/>
      <c r="H581" s="353"/>
      <c r="I581" s="353"/>
      <c r="J581" s="353"/>
      <c r="L581" s="350"/>
      <c r="M581" s="350"/>
      <c r="N581" s="345"/>
      <c r="O581" s="306"/>
      <c r="P581" s="295"/>
      <c r="W581" s="331">
        <f>IF(O581&lt;0,1,2)</f>
        <v>2</v>
      </c>
    </row>
    <row r="582" spans="2:23" ht="36" customHeight="1" x14ac:dyDescent="0.5">
      <c r="B582" s="292"/>
      <c r="C582" s="450"/>
      <c r="D582" s="450"/>
      <c r="E582" s="450"/>
      <c r="F582" s="450"/>
      <c r="G582" s="450"/>
      <c r="H582" s="353"/>
      <c r="I582" s="353"/>
      <c r="J582" s="353"/>
      <c r="L582" s="350"/>
      <c r="M582" s="350"/>
      <c r="N582" s="345"/>
      <c r="O582" s="306"/>
      <c r="P582" s="295"/>
    </row>
    <row r="583" spans="2:23" ht="36" customHeight="1" x14ac:dyDescent="0.5">
      <c r="B583" s="292"/>
      <c r="C583" s="450" t="s">
        <v>105</v>
      </c>
      <c r="D583" s="459"/>
      <c r="E583" s="450"/>
      <c r="F583" s="450"/>
      <c r="G583" s="450"/>
      <c r="H583" s="353"/>
      <c r="I583" s="353"/>
      <c r="J583" s="353"/>
      <c r="L583" s="350"/>
      <c r="M583" s="350"/>
      <c r="N583" s="345"/>
      <c r="O583" s="306">
        <f>-TrialBalance!L184</f>
        <v>0</v>
      </c>
      <c r="P583" s="295"/>
      <c r="S583" s="333"/>
      <c r="T583" s="333"/>
    </row>
    <row r="584" spans="2:23" ht="36" customHeight="1" x14ac:dyDescent="0.5">
      <c r="B584" s="292"/>
      <c r="C584" s="458" t="str">
        <f>IF(W584=2,"Net profit for the year after taxation","Net loss for the year after taxation")</f>
        <v>Net profit for the year after taxation</v>
      </c>
      <c r="D584" s="459"/>
      <c r="E584" s="450"/>
      <c r="F584" s="450"/>
      <c r="G584" s="450"/>
      <c r="H584" s="353"/>
      <c r="I584" s="353"/>
      <c r="J584" s="353"/>
      <c r="L584" s="350"/>
      <c r="M584" s="350"/>
      <c r="N584" s="345"/>
      <c r="O584" s="296">
        <f>O449</f>
        <v>0</v>
      </c>
      <c r="P584" s="295"/>
      <c r="S584" s="333"/>
      <c r="T584" s="333"/>
      <c r="W584" s="331">
        <f>IF(O584&lt;0,1,2)</f>
        <v>2</v>
      </c>
    </row>
    <row r="585" spans="2:23" ht="36" customHeight="1" x14ac:dyDescent="0.5">
      <c r="B585" s="292"/>
      <c r="C585" s="450" t="s">
        <v>646</v>
      </c>
      <c r="D585" s="459"/>
      <c r="E585" s="450"/>
      <c r="F585" s="450"/>
      <c r="G585" s="450"/>
      <c r="H585" s="353"/>
      <c r="I585" s="353"/>
      <c r="J585" s="353"/>
      <c r="L585" s="350"/>
      <c r="M585" s="350"/>
      <c r="N585" s="345"/>
      <c r="O585" s="296">
        <f>-SUM(TrialBalance!L164:L165)</f>
        <v>0</v>
      </c>
      <c r="P585" s="295"/>
      <c r="R585" s="348" t="str">
        <f t="shared" ref="R585" si="18">IF(O585=0,"DELETE"," ")</f>
        <v>DELETE</v>
      </c>
      <c r="S585" s="333"/>
      <c r="T585" s="333"/>
    </row>
    <row r="586" spans="2:23" ht="9" customHeight="1" x14ac:dyDescent="0.5">
      <c r="B586" s="292"/>
      <c r="C586" s="450"/>
      <c r="D586" s="459"/>
      <c r="E586" s="450"/>
      <c r="F586" s="450"/>
      <c r="G586" s="450"/>
      <c r="H586" s="353"/>
      <c r="I586" s="353"/>
      <c r="J586" s="353"/>
      <c r="L586" s="350"/>
      <c r="M586" s="350"/>
      <c r="N586" s="345"/>
      <c r="O586" s="307"/>
      <c r="P586" s="295"/>
    </row>
    <row r="587" spans="2:23" ht="9" customHeight="1" x14ac:dyDescent="0.5">
      <c r="B587" s="292"/>
      <c r="C587" s="450"/>
      <c r="D587" s="459"/>
      <c r="E587" s="450"/>
      <c r="F587" s="450"/>
      <c r="G587" s="450"/>
      <c r="H587" s="353"/>
      <c r="I587" s="353"/>
      <c r="J587" s="353"/>
      <c r="L587" s="350"/>
      <c r="M587" s="350"/>
      <c r="N587" s="345"/>
      <c r="O587" s="306"/>
      <c r="P587" s="295"/>
    </row>
    <row r="588" spans="2:23" ht="36.75" customHeight="1" x14ac:dyDescent="0.5">
      <c r="B588" s="292"/>
      <c r="C588" s="450" t="s">
        <v>470</v>
      </c>
      <c r="D588" s="459"/>
      <c r="E588" s="450"/>
      <c r="F588" s="450"/>
      <c r="G588" s="450"/>
      <c r="H588" s="353"/>
      <c r="I588" s="353"/>
      <c r="J588" s="353"/>
      <c r="L588" s="350"/>
      <c r="M588" s="350"/>
      <c r="N588" s="345"/>
      <c r="O588" s="296">
        <f>SUM(O583:O586)</f>
        <v>0</v>
      </c>
      <c r="P588" s="295"/>
    </row>
    <row r="589" spans="2:23" ht="9" customHeight="1" thickBot="1" x14ac:dyDescent="0.55000000000000004">
      <c r="B589" s="292"/>
      <c r="C589" s="450"/>
      <c r="D589" s="450"/>
      <c r="E589" s="450"/>
      <c r="F589" s="450"/>
      <c r="G589" s="450"/>
      <c r="H589" s="353"/>
      <c r="I589" s="353"/>
      <c r="J589" s="353"/>
      <c r="L589" s="350"/>
      <c r="M589" s="350"/>
      <c r="N589" s="345"/>
      <c r="O589" s="308"/>
      <c r="P589" s="295"/>
    </row>
    <row r="590" spans="2:23" ht="9" customHeight="1" thickTop="1" x14ac:dyDescent="0.5">
      <c r="B590" s="292"/>
      <c r="C590" s="450"/>
      <c r="D590" s="450"/>
      <c r="E590" s="450"/>
      <c r="F590" s="450"/>
      <c r="G590" s="450"/>
      <c r="H590" s="353"/>
      <c r="I590" s="353"/>
      <c r="J590" s="353"/>
      <c r="L590" s="350"/>
      <c r="M590" s="350"/>
      <c r="N590" s="345"/>
      <c r="O590" s="306"/>
      <c r="P590" s="295"/>
    </row>
    <row r="591" spans="2:23" ht="36" customHeight="1" x14ac:dyDescent="0.5">
      <c r="B591" s="292"/>
      <c r="C591" s="450"/>
      <c r="D591" s="450"/>
      <c r="E591" s="450"/>
      <c r="F591" s="450"/>
      <c r="G591" s="450"/>
      <c r="H591" s="353"/>
      <c r="I591" s="353"/>
      <c r="J591" s="353"/>
      <c r="L591" s="350"/>
      <c r="M591" s="350"/>
      <c r="N591" s="345"/>
      <c r="O591" s="306"/>
      <c r="P591" s="295"/>
    </row>
    <row r="592" spans="2:23" ht="36" customHeight="1" x14ac:dyDescent="0.5">
      <c r="C592" s="450"/>
      <c r="D592" s="450"/>
      <c r="E592" s="450"/>
      <c r="F592" s="450"/>
      <c r="G592" s="450"/>
      <c r="H592" s="353"/>
      <c r="I592" s="353"/>
      <c r="J592" s="353"/>
      <c r="K592" s="292"/>
      <c r="L592" s="292"/>
      <c r="M592" s="330"/>
      <c r="N592" s="330"/>
      <c r="O592" s="330"/>
      <c r="P592" s="330"/>
    </row>
    <row r="593" spans="2:18" ht="36" customHeight="1" x14ac:dyDescent="0.5">
      <c r="C593" s="450"/>
      <c r="D593" s="450"/>
      <c r="E593" s="450"/>
      <c r="F593" s="450"/>
      <c r="G593" s="450"/>
      <c r="H593" s="353"/>
      <c r="I593" s="353"/>
      <c r="J593" s="353"/>
      <c r="M593" s="347"/>
      <c r="O593" s="347"/>
    </row>
    <row r="594" spans="2:18" ht="36" customHeight="1" x14ac:dyDescent="0.5">
      <c r="C594" s="353"/>
      <c r="D594" s="353"/>
      <c r="E594" s="353"/>
      <c r="F594" s="353"/>
      <c r="G594" s="353"/>
      <c r="H594" s="353"/>
      <c r="I594" s="353"/>
      <c r="J594" s="353"/>
      <c r="M594" s="347"/>
      <c r="O594" s="295" t="s">
        <v>89</v>
      </c>
      <c r="Q594" s="292">
        <f>MAX($Q$105:Q593)+1</f>
        <v>12</v>
      </c>
    </row>
    <row r="595" spans="2:18" ht="36" customHeight="1" x14ac:dyDescent="0.5">
      <c r="C595" s="450"/>
      <c r="D595" s="456" t="str">
        <f>Criteria!E9</f>
        <v>HOLDING COMPANY 268 (PROPRIETARY) LIMITED</v>
      </c>
      <c r="E595" s="450"/>
      <c r="F595" s="450"/>
      <c r="G595" s="450"/>
      <c r="H595" s="450"/>
      <c r="I595" s="450"/>
      <c r="J595" s="450"/>
      <c r="M595" s="347"/>
      <c r="O595" s="347"/>
    </row>
    <row r="596" spans="2:18" ht="36" customHeight="1" x14ac:dyDescent="0.5">
      <c r="C596" s="450"/>
      <c r="D596" s="456" t="str">
        <f>Criteria!E10</f>
        <v>CONSOLIDATED FINANCIAL STATEMENTS</v>
      </c>
      <c r="E596" s="450"/>
      <c r="F596" s="450"/>
      <c r="G596" s="450"/>
      <c r="H596" s="450"/>
      <c r="I596" s="450"/>
      <c r="J596" s="450"/>
      <c r="M596" s="347"/>
      <c r="O596" s="347"/>
      <c r="R596" s="348" t="str">
        <f>IF(D596=0,"DELETE"," ")</f>
        <v xml:space="preserve"> </v>
      </c>
    </row>
    <row r="597" spans="2:18" ht="36" customHeight="1" x14ac:dyDescent="0.5">
      <c r="C597" s="450"/>
      <c r="D597" s="450"/>
      <c r="E597" s="450"/>
      <c r="F597" s="450"/>
      <c r="G597" s="450"/>
      <c r="H597" s="450"/>
      <c r="I597" s="450"/>
      <c r="J597" s="450"/>
      <c r="M597" s="347"/>
      <c r="O597" s="347"/>
    </row>
    <row r="598" spans="2:18" ht="36" customHeight="1" x14ac:dyDescent="0.5">
      <c r="C598" s="450"/>
      <c r="D598" s="456" t="s">
        <v>351</v>
      </c>
      <c r="E598" s="450"/>
      <c r="F598" s="450"/>
      <c r="G598" s="450"/>
      <c r="H598" s="450"/>
      <c r="I598" s="450"/>
      <c r="J598" s="450"/>
      <c r="M598" s="347"/>
      <c r="O598" s="347"/>
    </row>
    <row r="599" spans="2:18" ht="36" customHeight="1" x14ac:dyDescent="0.5">
      <c r="C599" s="450"/>
      <c r="D599" s="456" t="str">
        <f>Criteria!E20</f>
        <v>28 FEBRUARY 2025</v>
      </c>
      <c r="E599" s="450"/>
      <c r="F599" s="450"/>
      <c r="G599" s="450"/>
      <c r="H599" s="450"/>
      <c r="I599" s="450"/>
      <c r="J599" s="450"/>
      <c r="M599" s="347"/>
      <c r="O599" s="347"/>
    </row>
    <row r="600" spans="2:18" ht="36" customHeight="1" x14ac:dyDescent="0.5">
      <c r="C600" s="450"/>
      <c r="D600" s="450"/>
      <c r="E600" s="450"/>
      <c r="F600" s="450"/>
      <c r="G600" s="450"/>
      <c r="H600" s="450"/>
      <c r="I600" s="450"/>
      <c r="J600" s="450"/>
      <c r="M600" s="347"/>
      <c r="O600" s="347"/>
    </row>
    <row r="601" spans="2:18" ht="36" customHeight="1" x14ac:dyDescent="0.5">
      <c r="B601" s="364"/>
      <c r="C601" s="460"/>
      <c r="D601" s="460"/>
      <c r="E601" s="460"/>
      <c r="F601" s="460"/>
      <c r="G601" s="460"/>
      <c r="H601" s="460"/>
      <c r="I601" s="460"/>
      <c r="J601" s="460"/>
      <c r="K601" s="364"/>
      <c r="L601" s="364"/>
      <c r="M601" s="367"/>
      <c r="N601" s="367"/>
      <c r="O601" s="367"/>
      <c r="P601" s="367"/>
      <c r="Q601" s="364"/>
    </row>
    <row r="602" spans="2:18" ht="36" customHeight="1" x14ac:dyDescent="0.5">
      <c r="B602" s="316">
        <v>1</v>
      </c>
      <c r="C602" s="456" t="s">
        <v>1055</v>
      </c>
      <c r="D602" s="450"/>
      <c r="E602" s="450"/>
      <c r="F602" s="450"/>
      <c r="G602" s="450"/>
      <c r="H602" s="450"/>
      <c r="I602" s="450"/>
      <c r="J602" s="450"/>
      <c r="M602" s="347"/>
      <c r="O602" s="347"/>
    </row>
    <row r="603" spans="2:18" ht="36" customHeight="1" x14ac:dyDescent="0.5">
      <c r="B603" s="316"/>
      <c r="C603" s="456"/>
      <c r="D603" s="450"/>
      <c r="E603" s="450"/>
      <c r="F603" s="450"/>
      <c r="G603" s="450"/>
      <c r="H603" s="450"/>
      <c r="I603" s="450"/>
      <c r="J603" s="450"/>
      <c r="M603" s="347"/>
      <c r="O603" s="347"/>
    </row>
    <row r="604" spans="2:18" ht="36" customHeight="1" x14ac:dyDescent="0.5">
      <c r="B604" s="316"/>
      <c r="C604" s="456"/>
      <c r="D604" s="450" t="s">
        <v>1137</v>
      </c>
      <c r="E604" s="450"/>
      <c r="F604" s="450"/>
      <c r="G604" s="450"/>
      <c r="H604" s="450"/>
      <c r="I604" s="450"/>
      <c r="J604" s="450"/>
      <c r="M604" s="347"/>
      <c r="O604" s="347"/>
    </row>
    <row r="605" spans="2:18" ht="36" customHeight="1" x14ac:dyDescent="0.5">
      <c r="B605" s="316"/>
      <c r="C605" s="456"/>
      <c r="D605" s="450" t="s">
        <v>1136</v>
      </c>
      <c r="E605" s="450"/>
      <c r="F605" s="450"/>
      <c r="G605" s="450"/>
      <c r="H605" s="450"/>
      <c r="I605" s="450"/>
      <c r="J605" s="450"/>
      <c r="M605" s="347"/>
      <c r="O605" s="347"/>
    </row>
    <row r="606" spans="2:18" ht="36" customHeight="1" x14ac:dyDescent="0.5">
      <c r="B606" s="316"/>
      <c r="C606" s="456"/>
      <c r="D606" s="450" t="s">
        <v>1004</v>
      </c>
      <c r="E606" s="450"/>
      <c r="F606" s="450"/>
      <c r="G606" s="450"/>
      <c r="H606" s="450"/>
      <c r="I606" s="450"/>
      <c r="J606" s="450"/>
      <c r="M606" s="347"/>
      <c r="O606" s="347"/>
    </row>
    <row r="607" spans="2:18" ht="36" customHeight="1" x14ac:dyDescent="0.5">
      <c r="B607" s="316"/>
      <c r="C607" s="456"/>
      <c r="D607" s="450"/>
      <c r="E607" s="450"/>
      <c r="F607" s="450"/>
      <c r="G607" s="450"/>
      <c r="H607" s="450"/>
      <c r="I607" s="450"/>
      <c r="J607" s="450"/>
      <c r="M607" s="347"/>
      <c r="O607" s="347"/>
    </row>
    <row r="608" spans="2:18" ht="36" customHeight="1" x14ac:dyDescent="0.5">
      <c r="B608" s="316"/>
      <c r="C608" s="354">
        <f>B602+0.1</f>
        <v>1.1000000000000001</v>
      </c>
      <c r="D608" s="456" t="s">
        <v>1056</v>
      </c>
      <c r="E608" s="450"/>
      <c r="F608" s="450"/>
      <c r="G608" s="450"/>
      <c r="H608" s="450"/>
      <c r="I608" s="450"/>
      <c r="J608" s="450"/>
      <c r="K608" s="434"/>
      <c r="M608" s="347"/>
      <c r="O608" s="347"/>
    </row>
    <row r="609" spans="2:15" ht="36" customHeight="1" x14ac:dyDescent="0.5">
      <c r="B609" s="316"/>
      <c r="C609" s="354"/>
      <c r="D609" s="456"/>
      <c r="E609" s="450"/>
      <c r="F609" s="450"/>
      <c r="G609" s="450"/>
      <c r="H609" s="450"/>
      <c r="I609" s="450"/>
      <c r="J609" s="450"/>
      <c r="K609" s="434"/>
      <c r="M609" s="347"/>
      <c r="O609" s="347"/>
    </row>
    <row r="610" spans="2:15" ht="36" customHeight="1" x14ac:dyDescent="0.5">
      <c r="B610" s="316"/>
      <c r="C610" s="354"/>
      <c r="D610" s="450" t="s">
        <v>1138</v>
      </c>
      <c r="E610" s="450"/>
      <c r="F610" s="450"/>
      <c r="G610" s="450"/>
      <c r="H610" s="450"/>
      <c r="I610" s="450"/>
      <c r="J610" s="450"/>
      <c r="K610" s="434"/>
      <c r="M610" s="347"/>
      <c r="O610" s="347"/>
    </row>
    <row r="611" spans="2:15" ht="36" customHeight="1" x14ac:dyDescent="0.5">
      <c r="B611" s="316"/>
      <c r="C611" s="369"/>
      <c r="D611" s="450" t="str">
        <f>CONCATENATE("company and its wholly-owned ",IF(Criteria!E15=0,"subsidiary.","subsidiaries.")," All intragroup transactions, balances,")</f>
        <v>company and its wholly-owned subsidiaries. All intragroup transactions, balances,</v>
      </c>
      <c r="E611" s="450"/>
      <c r="F611" s="450"/>
      <c r="G611" s="450"/>
      <c r="H611" s="450"/>
      <c r="I611" s="450"/>
      <c r="J611" s="450"/>
      <c r="K611" s="434"/>
      <c r="M611" s="347"/>
      <c r="O611" s="347"/>
    </row>
    <row r="612" spans="2:15" ht="36" customHeight="1" x14ac:dyDescent="0.5">
      <c r="B612" s="316"/>
      <c r="C612" s="369"/>
      <c r="D612" s="450" t="s">
        <v>1139</v>
      </c>
      <c r="E612" s="450"/>
      <c r="F612" s="450"/>
      <c r="G612" s="450"/>
      <c r="H612" s="450"/>
      <c r="I612" s="450"/>
      <c r="J612" s="450"/>
      <c r="K612" s="434"/>
      <c r="M612" s="347"/>
      <c r="O612" s="347"/>
    </row>
    <row r="613" spans="2:15" ht="36" customHeight="1" x14ac:dyDescent="0.5">
      <c r="B613" s="316"/>
      <c r="C613" s="369"/>
      <c r="D613" s="450"/>
      <c r="E613" s="450"/>
      <c r="F613" s="450"/>
      <c r="G613" s="450"/>
      <c r="H613" s="450"/>
      <c r="I613" s="450"/>
      <c r="J613" s="450"/>
      <c r="K613" s="434"/>
      <c r="M613" s="347"/>
      <c r="O613" s="347"/>
    </row>
    <row r="614" spans="2:15" ht="36" customHeight="1" x14ac:dyDescent="0.5">
      <c r="B614" s="316"/>
      <c r="C614" s="354">
        <f>MAX(C$602:C613)+0.1</f>
        <v>1.2000000000000002</v>
      </c>
      <c r="D614" s="456" t="s">
        <v>1057</v>
      </c>
      <c r="E614" s="450"/>
      <c r="F614" s="450"/>
      <c r="G614" s="450"/>
      <c r="H614" s="450"/>
      <c r="I614" s="450"/>
      <c r="J614" s="450"/>
      <c r="K614" s="434"/>
      <c r="M614" s="347"/>
      <c r="O614" s="347"/>
    </row>
    <row r="615" spans="2:15" ht="36" customHeight="1" x14ac:dyDescent="0.5">
      <c r="B615" s="316"/>
      <c r="C615" s="354"/>
      <c r="D615" s="456"/>
      <c r="E615" s="450"/>
      <c r="F615" s="450"/>
      <c r="G615" s="450"/>
      <c r="H615" s="450"/>
      <c r="I615" s="450"/>
      <c r="J615" s="450"/>
      <c r="K615" s="434"/>
      <c r="M615" s="347"/>
      <c r="O615" s="347"/>
    </row>
    <row r="616" spans="2:15" ht="36" customHeight="1" x14ac:dyDescent="0.5">
      <c r="B616" s="316"/>
      <c r="C616" s="354"/>
      <c r="D616" s="450" t="s">
        <v>1087</v>
      </c>
      <c r="E616" s="450"/>
      <c r="F616" s="450"/>
      <c r="G616" s="450"/>
      <c r="H616" s="450"/>
      <c r="I616" s="450"/>
      <c r="J616" s="450"/>
      <c r="K616" s="434"/>
      <c r="M616" s="347"/>
      <c r="O616" s="347"/>
    </row>
    <row r="617" spans="2:15" ht="36" customHeight="1" x14ac:dyDescent="0.5">
      <c r="B617" s="316"/>
      <c r="C617" s="354"/>
      <c r="D617" s="450" t="s">
        <v>1140</v>
      </c>
      <c r="E617" s="450"/>
      <c r="F617" s="450"/>
      <c r="G617" s="450"/>
      <c r="H617" s="450"/>
      <c r="I617" s="450"/>
      <c r="J617" s="450"/>
      <c r="K617" s="434"/>
      <c r="M617" s="347"/>
      <c r="O617" s="347"/>
    </row>
    <row r="618" spans="2:15" ht="36" customHeight="1" x14ac:dyDescent="0.5">
      <c r="B618" s="316"/>
      <c r="C618" s="354"/>
      <c r="D618" s="450" t="s">
        <v>1142</v>
      </c>
      <c r="E618" s="450"/>
      <c r="F618" s="450"/>
      <c r="G618" s="450"/>
      <c r="H618" s="450"/>
      <c r="I618" s="450"/>
      <c r="J618" s="450"/>
      <c r="K618" s="434"/>
      <c r="M618" s="347"/>
      <c r="O618" s="347"/>
    </row>
    <row r="619" spans="2:15" ht="36" customHeight="1" x14ac:dyDescent="0.5">
      <c r="B619" s="316"/>
      <c r="C619" s="354"/>
      <c r="D619" s="450" t="s">
        <v>1141</v>
      </c>
      <c r="E619" s="450"/>
      <c r="F619" s="450"/>
      <c r="G619" s="450"/>
      <c r="H619" s="450"/>
      <c r="I619" s="450"/>
      <c r="J619" s="450"/>
      <c r="K619" s="434"/>
      <c r="M619" s="347"/>
      <c r="O619" s="347"/>
    </row>
    <row r="620" spans="2:15" ht="36" customHeight="1" x14ac:dyDescent="0.5">
      <c r="B620" s="316"/>
      <c r="C620" s="354"/>
      <c r="D620" s="462" t="s">
        <v>837</v>
      </c>
      <c r="E620" s="450"/>
      <c r="F620" s="450"/>
      <c r="G620" s="450"/>
      <c r="H620" s="450"/>
      <c r="I620" s="450"/>
      <c r="J620" s="450"/>
      <c r="K620" s="434"/>
      <c r="M620" s="347"/>
      <c r="O620" s="347"/>
    </row>
    <row r="621" spans="2:15" ht="36" customHeight="1" x14ac:dyDescent="0.5">
      <c r="B621" s="316"/>
      <c r="C621" s="354"/>
      <c r="D621" s="450" t="s">
        <v>1144</v>
      </c>
      <c r="E621" s="450"/>
      <c r="F621" s="450"/>
      <c r="G621" s="450"/>
      <c r="H621" s="450"/>
      <c r="I621" s="450"/>
      <c r="J621" s="450"/>
      <c r="K621" s="434"/>
      <c r="M621" s="347"/>
      <c r="O621" s="347"/>
    </row>
    <row r="622" spans="2:15" ht="36" customHeight="1" x14ac:dyDescent="0.5">
      <c r="B622" s="316"/>
      <c r="C622" s="354"/>
      <c r="D622" s="450" t="s">
        <v>1143</v>
      </c>
      <c r="E622" s="450"/>
      <c r="F622" s="450"/>
      <c r="G622" s="450"/>
      <c r="H622" s="450"/>
      <c r="I622" s="450"/>
      <c r="J622" s="450"/>
      <c r="K622" s="434"/>
      <c r="M622" s="347"/>
      <c r="O622" s="347"/>
    </row>
    <row r="623" spans="2:15" ht="36" customHeight="1" x14ac:dyDescent="0.5">
      <c r="B623" s="316"/>
      <c r="C623" s="354"/>
      <c r="D623" s="462" t="s">
        <v>838</v>
      </c>
      <c r="E623" s="450"/>
      <c r="F623" s="450"/>
      <c r="G623" s="450"/>
      <c r="H623" s="450"/>
      <c r="I623" s="450"/>
      <c r="J623" s="450"/>
      <c r="K623" s="434"/>
      <c r="M623" s="347"/>
      <c r="O623" s="347"/>
    </row>
    <row r="624" spans="2:15" ht="36" customHeight="1" x14ac:dyDescent="0.5">
      <c r="B624" s="316"/>
      <c r="C624" s="354"/>
      <c r="D624" s="450" t="s">
        <v>1145</v>
      </c>
      <c r="E624" s="450"/>
      <c r="F624" s="450"/>
      <c r="G624" s="450"/>
      <c r="H624" s="450"/>
      <c r="I624" s="450"/>
      <c r="J624" s="450"/>
      <c r="K624" s="434"/>
      <c r="M624" s="347"/>
      <c r="O624" s="347"/>
    </row>
    <row r="625" spans="2:15" ht="36" customHeight="1" x14ac:dyDescent="0.5">
      <c r="B625" s="316"/>
      <c r="C625" s="354"/>
      <c r="D625" s="450" t="s">
        <v>1147</v>
      </c>
      <c r="E625" s="450"/>
      <c r="F625" s="450"/>
      <c r="G625" s="450"/>
      <c r="H625" s="450"/>
      <c r="I625" s="450"/>
      <c r="J625" s="450"/>
      <c r="K625" s="434"/>
      <c r="M625" s="347"/>
      <c r="O625" s="347"/>
    </row>
    <row r="626" spans="2:15" ht="36" customHeight="1" x14ac:dyDescent="0.5">
      <c r="B626" s="316"/>
      <c r="C626" s="354"/>
      <c r="D626" s="450" t="s">
        <v>1146</v>
      </c>
      <c r="E626" s="450"/>
      <c r="F626" s="450"/>
      <c r="G626" s="450"/>
      <c r="H626" s="450"/>
      <c r="I626" s="450"/>
      <c r="J626" s="450"/>
      <c r="K626" s="434"/>
      <c r="M626" s="347"/>
      <c r="O626" s="347"/>
    </row>
    <row r="627" spans="2:15" ht="36" customHeight="1" x14ac:dyDescent="0.5">
      <c r="B627" s="316"/>
      <c r="C627" s="354"/>
      <c r="D627" s="450"/>
      <c r="E627" s="450"/>
      <c r="F627" s="450"/>
      <c r="G627" s="450"/>
      <c r="H627" s="450"/>
      <c r="I627" s="450"/>
      <c r="J627" s="450"/>
      <c r="K627" s="434"/>
      <c r="M627" s="347"/>
      <c r="O627" s="347"/>
    </row>
    <row r="628" spans="2:15" ht="36" customHeight="1" x14ac:dyDescent="0.5">
      <c r="B628" s="316"/>
      <c r="C628" s="354">
        <f>MAX(C$602:C627)+0.1</f>
        <v>1.3000000000000003</v>
      </c>
      <c r="D628" s="456" t="s">
        <v>762</v>
      </c>
      <c r="E628" s="450"/>
      <c r="F628" s="450"/>
      <c r="G628" s="450"/>
      <c r="H628" s="450"/>
      <c r="I628" s="450"/>
      <c r="J628" s="450"/>
      <c r="K628" s="434"/>
      <c r="M628" s="347"/>
      <c r="O628" s="347"/>
    </row>
    <row r="629" spans="2:15" ht="36" customHeight="1" x14ac:dyDescent="0.5">
      <c r="B629" s="316"/>
      <c r="C629" s="354"/>
      <c r="D629" s="456"/>
      <c r="E629" s="450"/>
      <c r="F629" s="450"/>
      <c r="G629" s="450"/>
      <c r="H629" s="450"/>
      <c r="I629" s="450"/>
      <c r="J629" s="450"/>
      <c r="K629" s="434"/>
      <c r="M629" s="347"/>
      <c r="O629" s="347"/>
    </row>
    <row r="630" spans="2:15" ht="36" customHeight="1" x14ac:dyDescent="0.5">
      <c r="B630" s="316"/>
      <c r="C630" s="354"/>
      <c r="D630" s="462" t="s">
        <v>854</v>
      </c>
      <c r="E630" s="450"/>
      <c r="F630" s="450"/>
      <c r="G630" s="450"/>
      <c r="H630" s="450"/>
      <c r="I630" s="450"/>
      <c r="J630" s="450"/>
      <c r="K630" s="434"/>
      <c r="M630" s="347"/>
      <c r="O630" s="347"/>
    </row>
    <row r="631" spans="2:15" ht="36" customHeight="1" x14ac:dyDescent="0.5">
      <c r="B631" s="316"/>
      <c r="C631" s="354"/>
      <c r="D631" s="450" t="s">
        <v>1148</v>
      </c>
      <c r="E631" s="450"/>
      <c r="F631" s="450"/>
      <c r="G631" s="450"/>
      <c r="H631" s="450"/>
      <c r="I631" s="450"/>
      <c r="J631" s="450"/>
      <c r="K631" s="434"/>
      <c r="M631" s="347"/>
      <c r="O631" s="347"/>
    </row>
    <row r="632" spans="2:15" ht="36" customHeight="1" x14ac:dyDescent="0.5">
      <c r="B632" s="316"/>
      <c r="C632" s="354"/>
      <c r="D632" s="450" t="s">
        <v>1149</v>
      </c>
      <c r="E632" s="450"/>
      <c r="F632" s="450"/>
      <c r="G632" s="450"/>
      <c r="H632" s="450"/>
      <c r="I632" s="450"/>
      <c r="J632" s="450"/>
      <c r="K632" s="434"/>
      <c r="M632" s="347"/>
      <c r="O632" s="347"/>
    </row>
    <row r="633" spans="2:15" ht="36" customHeight="1" x14ac:dyDescent="0.5">
      <c r="B633" s="316"/>
      <c r="C633" s="354"/>
      <c r="D633" s="450" t="s">
        <v>1150</v>
      </c>
      <c r="E633" s="450"/>
      <c r="F633" s="450"/>
      <c r="G633" s="450"/>
      <c r="H633" s="450"/>
      <c r="I633" s="450"/>
      <c r="J633" s="450"/>
      <c r="K633" s="434"/>
      <c r="M633" s="347"/>
      <c r="O633" s="347"/>
    </row>
    <row r="634" spans="2:15" ht="36" customHeight="1" x14ac:dyDescent="0.5">
      <c r="B634" s="316"/>
      <c r="C634" s="354"/>
      <c r="D634" s="450" t="s">
        <v>1152</v>
      </c>
      <c r="E634" s="450"/>
      <c r="F634" s="450"/>
      <c r="G634" s="450"/>
      <c r="H634" s="450"/>
      <c r="I634" s="450"/>
      <c r="J634" s="450"/>
      <c r="K634" s="434"/>
      <c r="M634" s="347"/>
      <c r="O634" s="347"/>
    </row>
    <row r="635" spans="2:15" ht="36" customHeight="1" x14ac:dyDescent="0.5">
      <c r="B635" s="316"/>
      <c r="C635" s="354"/>
      <c r="D635" s="450" t="s">
        <v>1151</v>
      </c>
      <c r="E635" s="450"/>
      <c r="F635" s="450"/>
      <c r="G635" s="450"/>
      <c r="H635" s="450"/>
      <c r="I635" s="450"/>
      <c r="J635" s="450"/>
      <c r="K635" s="434"/>
      <c r="M635" s="347"/>
      <c r="O635" s="347"/>
    </row>
    <row r="636" spans="2:15" ht="36" customHeight="1" x14ac:dyDescent="0.5">
      <c r="B636" s="316"/>
      <c r="C636" s="354"/>
      <c r="D636" s="450"/>
      <c r="E636" s="450"/>
      <c r="F636" s="450"/>
      <c r="G636" s="450"/>
      <c r="H636" s="450"/>
      <c r="I636" s="450"/>
      <c r="J636" s="450"/>
      <c r="K636" s="434"/>
      <c r="M636" s="347"/>
      <c r="O636" s="347"/>
    </row>
    <row r="637" spans="2:15" ht="36" customHeight="1" x14ac:dyDescent="0.5">
      <c r="B637" s="316"/>
      <c r="C637" s="354"/>
      <c r="D637" s="450"/>
      <c r="E637" s="450"/>
      <c r="F637" s="450"/>
      <c r="G637" s="450"/>
      <c r="H637" s="450"/>
      <c r="I637" s="450"/>
      <c r="J637" s="450"/>
      <c r="K637" s="434"/>
      <c r="M637" s="347"/>
      <c r="O637" s="347"/>
    </row>
    <row r="638" spans="2:15" ht="36" customHeight="1" x14ac:dyDescent="0.5">
      <c r="B638" s="316"/>
      <c r="C638" s="354"/>
      <c r="D638" s="450"/>
      <c r="E638" s="450"/>
      <c r="F638" s="450"/>
      <c r="G638" s="450"/>
      <c r="H638" s="450"/>
      <c r="I638" s="450"/>
      <c r="J638" s="450"/>
      <c r="K638" s="434"/>
      <c r="M638" s="347"/>
      <c r="O638" s="347"/>
    </row>
    <row r="639" spans="2:15" ht="36" customHeight="1" x14ac:dyDescent="0.5">
      <c r="B639" s="316"/>
      <c r="C639" s="354"/>
      <c r="D639" s="450"/>
      <c r="E639" s="450"/>
      <c r="F639" s="450"/>
      <c r="G639" s="450"/>
      <c r="H639" s="450"/>
      <c r="I639" s="450"/>
      <c r="J639" s="450"/>
      <c r="K639" s="434"/>
      <c r="M639" s="347"/>
      <c r="O639" s="347"/>
    </row>
    <row r="640" spans="2:15" ht="36" customHeight="1" x14ac:dyDescent="0.5">
      <c r="B640" s="316"/>
      <c r="C640" s="354"/>
      <c r="D640" s="450"/>
      <c r="E640" s="450"/>
      <c r="F640" s="450"/>
      <c r="G640" s="450"/>
      <c r="H640" s="450"/>
      <c r="I640" s="450"/>
      <c r="J640" s="450"/>
      <c r="K640" s="434"/>
      <c r="M640" s="347"/>
      <c r="O640" s="347"/>
    </row>
    <row r="641" spans="2:18" ht="36" customHeight="1" x14ac:dyDescent="0.5">
      <c r="B641" s="316"/>
      <c r="C641" s="354"/>
      <c r="D641" s="450"/>
      <c r="E641" s="450"/>
      <c r="F641" s="450"/>
      <c r="G641" s="450"/>
      <c r="H641" s="450"/>
      <c r="I641" s="450"/>
      <c r="J641" s="450"/>
      <c r="K641" s="434"/>
      <c r="M641" s="347"/>
      <c r="O641" s="347"/>
    </row>
    <row r="642" spans="2:18" ht="36" customHeight="1" x14ac:dyDescent="0.5">
      <c r="C642" s="353"/>
      <c r="D642" s="353"/>
      <c r="E642" s="353"/>
      <c r="F642" s="353"/>
      <c r="G642" s="353"/>
      <c r="H642" s="353"/>
      <c r="I642" s="353"/>
      <c r="J642" s="353"/>
      <c r="M642" s="347"/>
      <c r="O642" s="295" t="s">
        <v>89</v>
      </c>
      <c r="Q642" s="292">
        <f>MAX($Q$105:Q641)+1</f>
        <v>13</v>
      </c>
    </row>
    <row r="643" spans="2:18" ht="36" customHeight="1" x14ac:dyDescent="0.5">
      <c r="C643" s="434"/>
      <c r="D643" s="456" t="str">
        <f>Criteria!E9</f>
        <v>HOLDING COMPANY 268 (PROPRIETARY) LIMITED</v>
      </c>
      <c r="E643" s="450"/>
      <c r="F643" s="450"/>
      <c r="G643" s="450"/>
      <c r="H643" s="450"/>
      <c r="I643" s="450"/>
      <c r="J643" s="450"/>
      <c r="M643" s="347"/>
      <c r="O643" s="347"/>
    </row>
    <row r="644" spans="2:18" ht="36" customHeight="1" x14ac:dyDescent="0.5">
      <c r="C644" s="434"/>
      <c r="D644" s="456" t="str">
        <f>Criteria!E10</f>
        <v>CONSOLIDATED FINANCIAL STATEMENTS</v>
      </c>
      <c r="E644" s="450"/>
      <c r="F644" s="450"/>
      <c r="G644" s="450"/>
      <c r="H644" s="450"/>
      <c r="I644" s="450"/>
      <c r="J644" s="450"/>
      <c r="M644" s="347"/>
      <c r="O644" s="347"/>
      <c r="R644" s="348" t="str">
        <f>IF(D644=0,"DELETE"," ")</f>
        <v xml:space="preserve"> </v>
      </c>
    </row>
    <row r="645" spans="2:18" ht="36" customHeight="1" x14ac:dyDescent="0.5">
      <c r="C645" s="434"/>
      <c r="D645" s="450"/>
      <c r="E645" s="450"/>
      <c r="F645" s="450"/>
      <c r="G645" s="450"/>
      <c r="H645" s="450"/>
      <c r="I645" s="450"/>
      <c r="J645" s="450"/>
      <c r="M645" s="347"/>
      <c r="O645" s="347"/>
    </row>
    <row r="646" spans="2:18" ht="36" customHeight="1" x14ac:dyDescent="0.5">
      <c r="C646" s="434"/>
      <c r="D646" s="456" t="s">
        <v>351</v>
      </c>
      <c r="E646" s="450"/>
      <c r="F646" s="450"/>
      <c r="G646" s="450"/>
      <c r="H646" s="450"/>
      <c r="I646" s="450"/>
      <c r="J646" s="450"/>
      <c r="M646" s="347"/>
      <c r="O646" s="347"/>
    </row>
    <row r="647" spans="2:18" ht="36" customHeight="1" x14ac:dyDescent="0.5">
      <c r="C647" s="434"/>
      <c r="D647" s="456" t="str">
        <f>Criteria!E20</f>
        <v>28 FEBRUARY 2025</v>
      </c>
      <c r="E647" s="450"/>
      <c r="F647" s="450"/>
      <c r="G647" s="450"/>
      <c r="H647" s="450"/>
      <c r="I647" s="450"/>
      <c r="J647" s="450" t="s">
        <v>231</v>
      </c>
      <c r="M647" s="347"/>
      <c r="O647" s="347"/>
    </row>
    <row r="648" spans="2:18" ht="36" customHeight="1" x14ac:dyDescent="0.5">
      <c r="C648" s="434"/>
      <c r="D648" s="450"/>
      <c r="E648" s="450"/>
      <c r="F648" s="450"/>
      <c r="G648" s="450"/>
      <c r="H648" s="450"/>
      <c r="I648" s="450"/>
      <c r="J648" s="450"/>
      <c r="M648" s="347"/>
      <c r="O648" s="347"/>
    </row>
    <row r="649" spans="2:18" ht="36" customHeight="1" x14ac:dyDescent="0.5">
      <c r="B649" s="364"/>
      <c r="C649" s="444"/>
      <c r="D649" s="460"/>
      <c r="E649" s="460"/>
      <c r="F649" s="460"/>
      <c r="G649" s="460"/>
      <c r="H649" s="460"/>
      <c r="I649" s="460"/>
      <c r="J649" s="460"/>
      <c r="K649" s="364"/>
      <c r="L649" s="364"/>
      <c r="M649" s="367"/>
      <c r="N649" s="367"/>
      <c r="O649" s="367"/>
      <c r="P649" s="367"/>
      <c r="Q649" s="364"/>
    </row>
    <row r="650" spans="2:18" ht="36" customHeight="1" x14ac:dyDescent="0.5">
      <c r="B650" s="316"/>
      <c r="C650" s="354"/>
      <c r="D650" s="462" t="s">
        <v>855</v>
      </c>
      <c r="E650" s="450"/>
      <c r="F650" s="450"/>
      <c r="G650" s="450"/>
      <c r="H650" s="450"/>
      <c r="I650" s="450"/>
      <c r="J650" s="450"/>
      <c r="K650" s="434"/>
      <c r="M650" s="347"/>
      <c r="O650" s="347"/>
    </row>
    <row r="651" spans="2:18" ht="36" customHeight="1" x14ac:dyDescent="0.5">
      <c r="B651" s="316"/>
      <c r="C651" s="354"/>
      <c r="D651" s="450" t="s">
        <v>1088</v>
      </c>
      <c r="E651" s="450"/>
      <c r="F651" s="450"/>
      <c r="G651" s="450"/>
      <c r="H651" s="450"/>
      <c r="I651" s="450"/>
      <c r="J651" s="450"/>
      <c r="K651" s="434"/>
      <c r="M651" s="347"/>
      <c r="O651" s="347"/>
    </row>
    <row r="652" spans="2:18" ht="36" customHeight="1" x14ac:dyDescent="0.5">
      <c r="B652" s="316"/>
      <c r="C652" s="354"/>
      <c r="D652" s="450" t="s">
        <v>1089</v>
      </c>
      <c r="E652" s="450"/>
      <c r="F652" s="450"/>
      <c r="G652" s="450"/>
      <c r="H652" s="450"/>
      <c r="I652" s="450"/>
      <c r="J652" s="450"/>
      <c r="K652" s="434"/>
      <c r="M652" s="347"/>
      <c r="O652" s="347"/>
    </row>
    <row r="653" spans="2:18" ht="36" customHeight="1" x14ac:dyDescent="0.5">
      <c r="B653" s="316"/>
      <c r="C653" s="369"/>
      <c r="D653" s="450" t="s">
        <v>1153</v>
      </c>
      <c r="E653" s="450"/>
      <c r="F653" s="450"/>
      <c r="G653" s="450"/>
      <c r="H653" s="450"/>
      <c r="I653" s="450"/>
      <c r="J653" s="450"/>
      <c r="K653" s="434"/>
      <c r="M653" s="347"/>
      <c r="O653" s="347"/>
    </row>
    <row r="654" spans="2:18" ht="36" customHeight="1" x14ac:dyDescent="0.5">
      <c r="B654" s="316"/>
      <c r="C654" s="369"/>
      <c r="D654" s="450" t="s">
        <v>1154</v>
      </c>
      <c r="E654" s="450"/>
      <c r="F654" s="450"/>
      <c r="G654" s="450"/>
      <c r="H654" s="450"/>
      <c r="I654" s="450"/>
      <c r="J654" s="450"/>
      <c r="K654" s="434"/>
      <c r="M654" s="347"/>
      <c r="O654" s="347"/>
    </row>
    <row r="655" spans="2:18" ht="36" customHeight="1" x14ac:dyDescent="0.5">
      <c r="B655" s="316"/>
      <c r="C655" s="369"/>
      <c r="D655" s="450" t="s">
        <v>1155</v>
      </c>
      <c r="E655" s="450"/>
      <c r="F655" s="450"/>
      <c r="G655" s="450"/>
      <c r="H655" s="450"/>
      <c r="I655" s="450"/>
      <c r="J655" s="450"/>
      <c r="K655" s="434"/>
      <c r="M655" s="347"/>
      <c r="O655" s="347"/>
    </row>
    <row r="656" spans="2:18" ht="36" customHeight="1" x14ac:dyDescent="0.5">
      <c r="B656" s="316"/>
      <c r="C656" s="369"/>
      <c r="D656" s="450" t="s">
        <v>1157</v>
      </c>
      <c r="E656" s="450"/>
      <c r="F656" s="450"/>
      <c r="G656" s="450"/>
      <c r="H656" s="450"/>
      <c r="I656" s="450"/>
      <c r="J656" s="450"/>
      <c r="K656" s="434"/>
      <c r="M656" s="347"/>
      <c r="O656" s="347"/>
    </row>
    <row r="657" spans="2:18" ht="36" customHeight="1" x14ac:dyDescent="0.5">
      <c r="B657" s="316"/>
      <c r="C657" s="369"/>
      <c r="D657" s="450" t="s">
        <v>1156</v>
      </c>
      <c r="E657" s="450"/>
      <c r="F657" s="450"/>
      <c r="G657" s="450"/>
      <c r="H657" s="450"/>
      <c r="I657" s="450"/>
      <c r="J657" s="450"/>
      <c r="K657" s="434"/>
      <c r="M657" s="347"/>
      <c r="O657" s="347"/>
    </row>
    <row r="658" spans="2:18" ht="36" customHeight="1" x14ac:dyDescent="0.5">
      <c r="B658" s="316"/>
      <c r="C658" s="369"/>
      <c r="D658" s="450"/>
      <c r="E658" s="450"/>
      <c r="F658" s="450"/>
      <c r="G658" s="450"/>
      <c r="H658" s="450"/>
      <c r="I658" s="450"/>
      <c r="J658" s="450"/>
      <c r="K658" s="434"/>
      <c r="M658" s="347"/>
      <c r="O658" s="347"/>
    </row>
    <row r="659" spans="2:18" ht="36" customHeight="1" x14ac:dyDescent="0.5">
      <c r="B659" s="316"/>
      <c r="C659" s="369"/>
      <c r="D659" s="450"/>
      <c r="E659" s="450"/>
      <c r="F659" s="450"/>
      <c r="G659" s="450"/>
      <c r="H659" s="450"/>
      <c r="I659" s="450"/>
      <c r="J659" s="450"/>
      <c r="K659" s="434"/>
      <c r="M659" s="347"/>
      <c r="O659" s="347"/>
    </row>
    <row r="660" spans="2:18" ht="36" customHeight="1" x14ac:dyDescent="0.5">
      <c r="D660" s="450"/>
      <c r="E660" s="450"/>
      <c r="F660" s="450"/>
      <c r="G660" s="450"/>
      <c r="H660" s="450"/>
      <c r="I660" s="450"/>
      <c r="J660" s="450"/>
      <c r="K660" s="449"/>
      <c r="L660" s="292"/>
      <c r="M660" s="330"/>
      <c r="N660" s="330"/>
      <c r="O660" s="330"/>
      <c r="P660" s="330"/>
    </row>
    <row r="661" spans="2:18" ht="36" customHeight="1" x14ac:dyDescent="0.5">
      <c r="D661" s="450"/>
      <c r="E661" s="450"/>
      <c r="F661" s="450"/>
      <c r="G661" s="450"/>
      <c r="H661" s="450"/>
      <c r="I661" s="450"/>
      <c r="J661" s="450"/>
      <c r="K661" s="434"/>
      <c r="M661" s="347"/>
      <c r="O661" s="295" t="s">
        <v>89</v>
      </c>
      <c r="Q661" s="292">
        <f>MAX($Q$105:Q660)+1</f>
        <v>14</v>
      </c>
    </row>
    <row r="662" spans="2:18" ht="36" customHeight="1" x14ac:dyDescent="0.5">
      <c r="D662" s="456" t="str">
        <f>Criteria!E9</f>
        <v>HOLDING COMPANY 268 (PROPRIETARY) LIMITED</v>
      </c>
      <c r="E662" s="450"/>
      <c r="F662" s="450"/>
      <c r="G662" s="450"/>
      <c r="H662" s="450"/>
      <c r="I662" s="450"/>
      <c r="J662" s="450"/>
      <c r="K662" s="434"/>
      <c r="M662" s="347"/>
      <c r="O662" s="347"/>
    </row>
    <row r="663" spans="2:18" ht="36" customHeight="1" x14ac:dyDescent="0.5">
      <c r="D663" s="456" t="str">
        <f>Criteria!E10</f>
        <v>CONSOLIDATED FINANCIAL STATEMENTS</v>
      </c>
      <c r="E663" s="450"/>
      <c r="F663" s="450"/>
      <c r="G663" s="450"/>
      <c r="H663" s="450"/>
      <c r="I663" s="450"/>
      <c r="J663" s="450"/>
      <c r="K663" s="434"/>
      <c r="M663" s="347"/>
      <c r="O663" s="347"/>
      <c r="R663" s="348" t="str">
        <f>IF(D663=0,"DELETE"," ")</f>
        <v xml:space="preserve"> </v>
      </c>
    </row>
    <row r="664" spans="2:18" ht="36" customHeight="1" x14ac:dyDescent="0.5">
      <c r="D664" s="450"/>
      <c r="E664" s="450"/>
      <c r="F664" s="450"/>
      <c r="G664" s="450"/>
      <c r="H664" s="450"/>
      <c r="I664" s="450"/>
      <c r="J664" s="450"/>
      <c r="K664" s="434"/>
      <c r="M664" s="347"/>
      <c r="O664" s="347"/>
    </row>
    <row r="665" spans="2:18" ht="36" customHeight="1" x14ac:dyDescent="0.5">
      <c r="D665" s="456" t="s">
        <v>351</v>
      </c>
      <c r="E665" s="450"/>
      <c r="F665" s="450"/>
      <c r="G665" s="450"/>
      <c r="H665" s="450"/>
      <c r="I665" s="450"/>
      <c r="J665" s="450"/>
      <c r="K665" s="434"/>
      <c r="M665" s="347"/>
      <c r="O665" s="347"/>
    </row>
    <row r="666" spans="2:18" ht="36" customHeight="1" x14ac:dyDescent="0.5">
      <c r="D666" s="456" t="str">
        <f>Criteria!E20</f>
        <v>28 FEBRUARY 2025</v>
      </c>
      <c r="E666" s="450"/>
      <c r="F666" s="450"/>
      <c r="G666" s="450"/>
      <c r="H666" s="450"/>
      <c r="I666" s="450"/>
      <c r="J666" s="450" t="s">
        <v>231</v>
      </c>
      <c r="K666" s="434"/>
      <c r="M666" s="347"/>
      <c r="O666" s="347"/>
    </row>
    <row r="667" spans="2:18" ht="36" customHeight="1" x14ac:dyDescent="0.5">
      <c r="D667" s="450"/>
      <c r="E667" s="450"/>
      <c r="F667" s="450"/>
      <c r="G667" s="450"/>
      <c r="H667" s="450"/>
      <c r="I667" s="450"/>
      <c r="J667" s="450"/>
      <c r="K667" s="449"/>
      <c r="L667" s="292"/>
      <c r="M667" s="330"/>
      <c r="N667" s="330"/>
      <c r="O667" s="330"/>
      <c r="P667" s="330"/>
    </row>
    <row r="668" spans="2:18" ht="36" customHeight="1" x14ac:dyDescent="0.5">
      <c r="B668" s="364"/>
      <c r="C668" s="364"/>
      <c r="D668" s="460"/>
      <c r="E668" s="460"/>
      <c r="F668" s="460"/>
      <c r="G668" s="460"/>
      <c r="H668" s="460"/>
      <c r="I668" s="460"/>
      <c r="J668" s="460"/>
      <c r="K668" s="453"/>
      <c r="L668" s="432"/>
      <c r="M668" s="313"/>
      <c r="N668" s="313"/>
      <c r="O668" s="313"/>
      <c r="P668" s="313"/>
      <c r="Q668" s="364"/>
    </row>
    <row r="669" spans="2:18" ht="36" customHeight="1" x14ac:dyDescent="0.5">
      <c r="D669" s="462" t="s">
        <v>856</v>
      </c>
      <c r="E669" s="450"/>
      <c r="F669" s="450"/>
      <c r="G669" s="450"/>
      <c r="H669" s="450"/>
      <c r="I669" s="450"/>
      <c r="J669" s="450"/>
      <c r="K669" s="434"/>
      <c r="M669" s="347"/>
      <c r="O669" s="347"/>
    </row>
    <row r="670" spans="2:18" ht="36" customHeight="1" x14ac:dyDescent="0.5">
      <c r="D670" s="450" t="s">
        <v>1090</v>
      </c>
      <c r="E670" s="450"/>
      <c r="F670" s="450"/>
      <c r="G670" s="450"/>
      <c r="H670" s="450"/>
      <c r="I670" s="450"/>
      <c r="J670" s="450"/>
      <c r="K670" s="434"/>
      <c r="M670" s="347"/>
      <c r="O670" s="347"/>
    </row>
    <row r="671" spans="2:18" ht="36" customHeight="1" x14ac:dyDescent="0.5">
      <c r="D671" s="450" t="s">
        <v>1159</v>
      </c>
      <c r="E671" s="450"/>
      <c r="F671" s="450"/>
      <c r="G671" s="450"/>
      <c r="H671" s="450"/>
      <c r="I671" s="450"/>
      <c r="J671" s="450"/>
      <c r="K671" s="434"/>
      <c r="M671" s="347"/>
      <c r="O671" s="347"/>
    </row>
    <row r="672" spans="2:18" ht="36" customHeight="1" x14ac:dyDescent="0.5">
      <c r="D672" s="450" t="s">
        <v>1158</v>
      </c>
      <c r="E672" s="450"/>
      <c r="F672" s="450"/>
      <c r="G672" s="450"/>
      <c r="H672" s="450"/>
      <c r="I672" s="450"/>
      <c r="J672" s="450"/>
      <c r="K672" s="434"/>
      <c r="M672" s="347"/>
      <c r="O672" s="347"/>
    </row>
    <row r="673" spans="2:18" ht="36" customHeight="1" x14ac:dyDescent="0.5">
      <c r="D673" s="450"/>
      <c r="E673" s="450"/>
      <c r="F673" s="450"/>
      <c r="G673" s="450"/>
      <c r="H673" s="450"/>
      <c r="I673" s="450"/>
      <c r="J673" s="450"/>
      <c r="K673" s="449"/>
      <c r="L673" s="292"/>
      <c r="M673" s="330"/>
      <c r="N673" s="330"/>
      <c r="O673" s="330"/>
      <c r="P673" s="330"/>
    </row>
    <row r="674" spans="2:18" ht="36" customHeight="1" x14ac:dyDescent="0.5">
      <c r="D674" s="450"/>
      <c r="E674" s="450"/>
      <c r="F674" s="450"/>
      <c r="G674" s="450"/>
      <c r="H674" s="450"/>
      <c r="I674" s="450"/>
      <c r="J674" s="450"/>
      <c r="K674" s="449"/>
      <c r="L674" s="292"/>
      <c r="M674" s="330"/>
      <c r="N674" s="330"/>
      <c r="O674" s="330"/>
      <c r="P674" s="330"/>
    </row>
    <row r="675" spans="2:18" ht="36" customHeight="1" x14ac:dyDescent="0.5">
      <c r="D675" s="450"/>
      <c r="E675" s="450"/>
      <c r="F675" s="450"/>
      <c r="G675" s="450"/>
      <c r="H675" s="450"/>
      <c r="I675" s="450"/>
      <c r="J675" s="450"/>
      <c r="K675" s="449"/>
      <c r="L675" s="292"/>
      <c r="M675" s="330"/>
      <c r="N675" s="330"/>
      <c r="O675" s="330"/>
      <c r="P675" s="330"/>
    </row>
    <row r="676" spans="2:18" ht="36" customHeight="1" x14ac:dyDescent="0.5">
      <c r="C676" s="354"/>
      <c r="D676" s="450"/>
      <c r="E676" s="450"/>
      <c r="F676" s="450"/>
      <c r="G676" s="450"/>
      <c r="H676" s="450"/>
      <c r="I676" s="450"/>
      <c r="J676" s="450"/>
      <c r="K676" s="434"/>
      <c r="M676" s="347"/>
      <c r="O676" s="347"/>
    </row>
    <row r="677" spans="2:18" ht="36" customHeight="1" x14ac:dyDescent="0.5">
      <c r="C677" s="354"/>
      <c r="D677" s="450"/>
      <c r="E677" s="450"/>
      <c r="F677" s="450"/>
      <c r="G677" s="450"/>
      <c r="H677" s="450"/>
      <c r="I677" s="450"/>
      <c r="J677" s="450"/>
      <c r="K677" s="434"/>
      <c r="M677" s="347"/>
      <c r="O677" s="295" t="s">
        <v>89</v>
      </c>
      <c r="Q677" s="292">
        <f>MAX($Q$105:Q676)+1</f>
        <v>15</v>
      </c>
    </row>
    <row r="678" spans="2:18" ht="36" customHeight="1" x14ac:dyDescent="0.5">
      <c r="C678" s="354"/>
      <c r="D678" s="456" t="str">
        <f>Criteria!E9</f>
        <v>HOLDING COMPANY 268 (PROPRIETARY) LIMITED</v>
      </c>
      <c r="E678" s="450"/>
      <c r="F678" s="450"/>
      <c r="G678" s="450"/>
      <c r="H678" s="450"/>
      <c r="I678" s="450"/>
      <c r="J678" s="450"/>
      <c r="K678" s="434"/>
      <c r="M678" s="347"/>
      <c r="O678" s="347"/>
    </row>
    <row r="679" spans="2:18" ht="36" customHeight="1" x14ac:dyDescent="0.5">
      <c r="C679" s="354"/>
      <c r="D679" s="456" t="str">
        <f>Criteria!E10</f>
        <v>CONSOLIDATED FINANCIAL STATEMENTS</v>
      </c>
      <c r="E679" s="450"/>
      <c r="F679" s="450"/>
      <c r="G679" s="450"/>
      <c r="H679" s="450"/>
      <c r="I679" s="450"/>
      <c r="J679" s="450"/>
      <c r="K679" s="434"/>
      <c r="M679" s="347"/>
      <c r="O679" s="347"/>
      <c r="R679" s="348" t="str">
        <f>IF(D679=0,"DELETE"," ")</f>
        <v xml:space="preserve"> </v>
      </c>
    </row>
    <row r="680" spans="2:18" ht="36" customHeight="1" x14ac:dyDescent="0.5">
      <c r="C680" s="354"/>
      <c r="D680" s="450"/>
      <c r="E680" s="450"/>
      <c r="F680" s="450"/>
      <c r="G680" s="450"/>
      <c r="H680" s="450"/>
      <c r="I680" s="450"/>
      <c r="J680" s="450"/>
      <c r="K680" s="434"/>
      <c r="M680" s="347"/>
      <c r="O680" s="347"/>
    </row>
    <row r="681" spans="2:18" ht="36" customHeight="1" x14ac:dyDescent="0.5">
      <c r="C681" s="354"/>
      <c r="D681" s="456" t="s">
        <v>351</v>
      </c>
      <c r="E681" s="450"/>
      <c r="F681" s="450"/>
      <c r="G681" s="450"/>
      <c r="H681" s="450"/>
      <c r="I681" s="450"/>
      <c r="J681" s="450"/>
      <c r="K681" s="434"/>
      <c r="M681" s="347"/>
      <c r="O681" s="347"/>
    </row>
    <row r="682" spans="2:18" ht="36" customHeight="1" x14ac:dyDescent="0.5">
      <c r="C682" s="354"/>
      <c r="D682" s="456" t="str">
        <f>Criteria!E20</f>
        <v>28 FEBRUARY 2025</v>
      </c>
      <c r="E682" s="450"/>
      <c r="F682" s="450"/>
      <c r="G682" s="450"/>
      <c r="H682" s="450"/>
      <c r="I682" s="450"/>
      <c r="J682" s="450" t="s">
        <v>231</v>
      </c>
      <c r="K682" s="434"/>
      <c r="M682" s="347"/>
      <c r="O682" s="347"/>
    </row>
    <row r="683" spans="2:18" ht="36" customHeight="1" x14ac:dyDescent="0.5">
      <c r="C683" s="354"/>
      <c r="D683" s="450"/>
      <c r="E683" s="450"/>
      <c r="F683" s="450"/>
      <c r="G683" s="450"/>
      <c r="H683" s="450"/>
      <c r="I683" s="450"/>
      <c r="J683" s="450"/>
      <c r="K683" s="434"/>
      <c r="M683" s="347"/>
      <c r="O683" s="347"/>
    </row>
    <row r="684" spans="2:18" ht="36" customHeight="1" x14ac:dyDescent="0.5">
      <c r="B684" s="364"/>
      <c r="C684" s="368"/>
      <c r="D684" s="460"/>
      <c r="E684" s="460"/>
      <c r="F684" s="460"/>
      <c r="G684" s="460"/>
      <c r="H684" s="460"/>
      <c r="I684" s="460"/>
      <c r="J684" s="460"/>
      <c r="K684" s="444"/>
      <c r="L684" s="364"/>
      <c r="M684" s="367"/>
      <c r="N684" s="367"/>
      <c r="O684" s="367"/>
      <c r="P684" s="367"/>
      <c r="Q684" s="364"/>
    </row>
    <row r="685" spans="2:18" ht="36" customHeight="1" x14ac:dyDescent="0.5">
      <c r="C685" s="354">
        <f>MAX(C$602:C684)+0.1</f>
        <v>1.4000000000000004</v>
      </c>
      <c r="D685" s="456" t="s">
        <v>1058</v>
      </c>
      <c r="E685" s="450"/>
      <c r="F685" s="450"/>
      <c r="G685" s="450"/>
      <c r="H685" s="450"/>
      <c r="I685" s="450"/>
      <c r="J685" s="450"/>
      <c r="K685" s="434"/>
      <c r="M685" s="356"/>
      <c r="N685" s="356"/>
      <c r="O685" s="356"/>
      <c r="P685" s="356"/>
    </row>
    <row r="686" spans="2:18" ht="36" customHeight="1" x14ac:dyDescent="0.5">
      <c r="C686" s="354"/>
      <c r="D686" s="456"/>
      <c r="E686" s="450"/>
      <c r="F686" s="450"/>
      <c r="G686" s="450"/>
      <c r="H686" s="450"/>
      <c r="I686" s="450"/>
      <c r="J686" s="450"/>
      <c r="K686" s="434"/>
      <c r="M686" s="356"/>
      <c r="N686" s="356"/>
      <c r="O686" s="356"/>
      <c r="P686" s="356"/>
    </row>
    <row r="687" spans="2:18" ht="36" customHeight="1" x14ac:dyDescent="0.5">
      <c r="C687" s="369"/>
      <c r="D687" s="450" t="s">
        <v>1092</v>
      </c>
      <c r="E687" s="450"/>
      <c r="F687" s="450"/>
      <c r="G687" s="450"/>
      <c r="H687" s="450"/>
      <c r="I687" s="450"/>
      <c r="J687" s="450"/>
      <c r="K687" s="434"/>
      <c r="M687" s="356"/>
      <c r="N687" s="356"/>
      <c r="O687" s="356"/>
      <c r="P687" s="356"/>
    </row>
    <row r="688" spans="2:18" ht="36" customHeight="1" x14ac:dyDescent="0.5">
      <c r="C688" s="369"/>
      <c r="D688" s="450" t="s">
        <v>1091</v>
      </c>
      <c r="E688" s="450"/>
      <c r="F688" s="450"/>
      <c r="G688" s="450"/>
      <c r="H688" s="450"/>
      <c r="I688" s="450"/>
      <c r="J688" s="450"/>
      <c r="K688" s="434"/>
      <c r="M688" s="356"/>
      <c r="N688" s="356"/>
      <c r="O688" s="356"/>
      <c r="P688" s="356"/>
    </row>
    <row r="689" spans="3:18" ht="36" customHeight="1" x14ac:dyDescent="0.5">
      <c r="C689" s="369"/>
      <c r="D689" s="450" t="s">
        <v>1160</v>
      </c>
      <c r="E689" s="450"/>
      <c r="F689" s="450"/>
      <c r="G689" s="450"/>
      <c r="H689" s="450"/>
      <c r="I689" s="450"/>
      <c r="J689" s="450"/>
      <c r="K689" s="434"/>
      <c r="M689" s="356"/>
      <c r="N689" s="356"/>
      <c r="O689" s="356"/>
      <c r="P689" s="356"/>
    </row>
    <row r="690" spans="3:18" ht="36" customHeight="1" x14ac:dyDescent="0.5">
      <c r="C690" s="369"/>
      <c r="D690" s="450" t="s">
        <v>1161</v>
      </c>
      <c r="E690" s="450"/>
      <c r="F690" s="450"/>
      <c r="G690" s="450"/>
      <c r="H690" s="450"/>
      <c r="I690" s="450"/>
      <c r="J690" s="450"/>
      <c r="K690" s="434"/>
      <c r="M690" s="356"/>
      <c r="N690" s="356"/>
      <c r="O690" s="356"/>
      <c r="P690" s="356"/>
    </row>
    <row r="691" spans="3:18" ht="36" customHeight="1" x14ac:dyDescent="0.5">
      <c r="C691" s="369"/>
      <c r="D691" s="450" t="s">
        <v>1162</v>
      </c>
      <c r="E691" s="450"/>
      <c r="F691" s="450"/>
      <c r="G691" s="450"/>
      <c r="H691" s="450"/>
      <c r="I691" s="450"/>
      <c r="J691" s="450"/>
      <c r="K691" s="434"/>
      <c r="M691" s="356"/>
      <c r="N691" s="356"/>
      <c r="O691" s="356"/>
      <c r="P691" s="356"/>
    </row>
    <row r="692" spans="3:18" ht="36" customHeight="1" x14ac:dyDescent="0.5">
      <c r="C692" s="369"/>
      <c r="D692" s="450" t="s">
        <v>1164</v>
      </c>
      <c r="E692" s="450"/>
      <c r="F692" s="450"/>
      <c r="G692" s="450"/>
      <c r="H692" s="450"/>
      <c r="I692" s="450"/>
      <c r="J692" s="450"/>
      <c r="K692" s="434"/>
      <c r="M692" s="356"/>
      <c r="N692" s="356"/>
      <c r="O692" s="356"/>
      <c r="P692" s="356"/>
    </row>
    <row r="693" spans="3:18" ht="36" customHeight="1" x14ac:dyDescent="0.5">
      <c r="C693" s="369"/>
      <c r="D693" s="450" t="s">
        <v>1163</v>
      </c>
      <c r="E693" s="450"/>
      <c r="F693" s="450"/>
      <c r="G693" s="450"/>
      <c r="H693" s="450"/>
      <c r="I693" s="450"/>
      <c r="J693" s="450"/>
      <c r="K693" s="434"/>
      <c r="M693" s="356"/>
      <c r="N693" s="356"/>
      <c r="O693" s="356"/>
      <c r="P693" s="356"/>
    </row>
    <row r="694" spans="3:18" ht="36" customHeight="1" x14ac:dyDescent="0.5">
      <c r="C694" s="354"/>
      <c r="D694" s="450"/>
      <c r="E694" s="450"/>
      <c r="F694" s="450"/>
      <c r="G694" s="450"/>
      <c r="H694" s="450"/>
      <c r="I694" s="450"/>
      <c r="J694" s="450"/>
      <c r="K694" s="434"/>
      <c r="M694" s="356"/>
      <c r="N694" s="356"/>
      <c r="O694" s="356"/>
      <c r="P694" s="356"/>
    </row>
    <row r="695" spans="3:18" ht="36" customHeight="1" x14ac:dyDescent="0.5">
      <c r="C695" s="354"/>
      <c r="D695" s="450"/>
      <c r="E695" s="450"/>
      <c r="F695" s="450"/>
      <c r="G695" s="450"/>
      <c r="H695" s="450"/>
      <c r="I695" s="450"/>
      <c r="J695" s="450"/>
      <c r="K695" s="434"/>
      <c r="M695" s="356"/>
      <c r="N695" s="356"/>
      <c r="O695" s="356"/>
      <c r="P695" s="356"/>
    </row>
    <row r="696" spans="3:18" ht="36" customHeight="1" x14ac:dyDescent="0.5">
      <c r="C696" s="354"/>
      <c r="D696" s="450"/>
      <c r="E696" s="450"/>
      <c r="F696" s="450"/>
      <c r="G696" s="450"/>
      <c r="H696" s="450"/>
      <c r="I696" s="450"/>
      <c r="J696" s="450"/>
      <c r="K696" s="434"/>
      <c r="M696" s="356"/>
      <c r="N696" s="356"/>
      <c r="O696" s="356"/>
      <c r="P696" s="356"/>
    </row>
    <row r="697" spans="3:18" ht="36" customHeight="1" x14ac:dyDescent="0.5">
      <c r="C697" s="354"/>
      <c r="D697" s="450"/>
      <c r="E697" s="450"/>
      <c r="F697" s="450"/>
      <c r="G697" s="450"/>
      <c r="H697" s="450"/>
      <c r="I697" s="450"/>
      <c r="J697" s="450"/>
      <c r="K697" s="434"/>
      <c r="M697" s="347"/>
      <c r="O697" s="347"/>
    </row>
    <row r="698" spans="3:18" ht="36" customHeight="1" x14ac:dyDescent="0.5">
      <c r="C698" s="354"/>
      <c r="D698" s="450"/>
      <c r="E698" s="450"/>
      <c r="F698" s="450"/>
      <c r="G698" s="450"/>
      <c r="H698" s="450"/>
      <c r="I698" s="450"/>
      <c r="J698" s="450"/>
      <c r="K698" s="434"/>
      <c r="M698" s="347"/>
      <c r="O698" s="295" t="s">
        <v>89</v>
      </c>
      <c r="Q698" s="292">
        <f>MAX($Q$105:Q697)+1</f>
        <v>16</v>
      </c>
    </row>
    <row r="699" spans="3:18" ht="36" customHeight="1" x14ac:dyDescent="0.5">
      <c r="C699" s="354"/>
      <c r="D699" s="456" t="str">
        <f>Criteria!E9</f>
        <v>HOLDING COMPANY 268 (PROPRIETARY) LIMITED</v>
      </c>
      <c r="E699" s="450"/>
      <c r="F699" s="450"/>
      <c r="G699" s="450"/>
      <c r="H699" s="450"/>
      <c r="I699" s="450"/>
      <c r="J699" s="450"/>
      <c r="K699" s="434"/>
      <c r="M699" s="347"/>
      <c r="O699" s="347"/>
    </row>
    <row r="700" spans="3:18" ht="36" customHeight="1" x14ac:dyDescent="0.5">
      <c r="C700" s="354"/>
      <c r="D700" s="456" t="str">
        <f>Criteria!E10</f>
        <v>CONSOLIDATED FINANCIAL STATEMENTS</v>
      </c>
      <c r="E700" s="450"/>
      <c r="F700" s="450"/>
      <c r="G700" s="450"/>
      <c r="H700" s="450"/>
      <c r="I700" s="450"/>
      <c r="J700" s="450"/>
      <c r="K700" s="434"/>
      <c r="M700" s="347"/>
      <c r="O700" s="347"/>
      <c r="R700" s="348" t="str">
        <f>IF(D700=0,"DELETE"," ")</f>
        <v xml:space="preserve"> </v>
      </c>
    </row>
    <row r="701" spans="3:18" ht="36" customHeight="1" x14ac:dyDescent="0.5">
      <c r="C701" s="354"/>
      <c r="D701" s="450"/>
      <c r="E701" s="450"/>
      <c r="F701" s="450"/>
      <c r="G701" s="450"/>
      <c r="H701" s="450"/>
      <c r="I701" s="450"/>
      <c r="J701" s="450"/>
      <c r="K701" s="434"/>
      <c r="M701" s="347"/>
      <c r="O701" s="347"/>
    </row>
    <row r="702" spans="3:18" ht="36" customHeight="1" x14ac:dyDescent="0.5">
      <c r="C702" s="354"/>
      <c r="D702" s="456" t="s">
        <v>351</v>
      </c>
      <c r="E702" s="450"/>
      <c r="F702" s="450"/>
      <c r="G702" s="450"/>
      <c r="H702" s="450"/>
      <c r="I702" s="450"/>
      <c r="J702" s="450"/>
      <c r="K702" s="434"/>
      <c r="M702" s="347"/>
      <c r="O702" s="347"/>
    </row>
    <row r="703" spans="3:18" ht="36" customHeight="1" x14ac:dyDescent="0.5">
      <c r="C703" s="354"/>
      <c r="D703" s="456" t="str">
        <f>Criteria!E20</f>
        <v>28 FEBRUARY 2025</v>
      </c>
      <c r="E703" s="450"/>
      <c r="F703" s="450"/>
      <c r="G703" s="450"/>
      <c r="H703" s="450"/>
      <c r="I703" s="450"/>
      <c r="J703" s="450" t="s">
        <v>231</v>
      </c>
      <c r="K703" s="434"/>
      <c r="M703" s="347"/>
      <c r="O703" s="347"/>
    </row>
    <row r="704" spans="3:18" ht="36" customHeight="1" x14ac:dyDescent="0.5">
      <c r="C704" s="354"/>
      <c r="D704" s="450"/>
      <c r="E704" s="450"/>
      <c r="F704" s="450"/>
      <c r="G704" s="450"/>
      <c r="H704" s="450"/>
      <c r="I704" s="450"/>
      <c r="J704" s="450"/>
      <c r="K704" s="434"/>
      <c r="M704" s="347"/>
      <c r="O704" s="347"/>
    </row>
    <row r="705" spans="2:17" ht="36" customHeight="1" x14ac:dyDescent="0.5">
      <c r="B705" s="364"/>
      <c r="C705" s="368"/>
      <c r="D705" s="460"/>
      <c r="E705" s="460"/>
      <c r="F705" s="460"/>
      <c r="G705" s="460"/>
      <c r="H705" s="460"/>
      <c r="I705" s="460"/>
      <c r="J705" s="460"/>
      <c r="K705" s="444"/>
      <c r="L705" s="364"/>
      <c r="M705" s="367"/>
      <c r="N705" s="367"/>
      <c r="O705" s="367"/>
      <c r="P705" s="367"/>
      <c r="Q705" s="364"/>
    </row>
    <row r="706" spans="2:17" ht="36" customHeight="1" x14ac:dyDescent="0.5">
      <c r="B706" s="316"/>
      <c r="C706" s="369"/>
      <c r="D706" s="450" t="s">
        <v>1165</v>
      </c>
      <c r="E706" s="450"/>
      <c r="F706" s="450"/>
      <c r="G706" s="450"/>
      <c r="H706" s="450"/>
      <c r="I706" s="450"/>
      <c r="J706" s="450"/>
      <c r="K706" s="434"/>
      <c r="M706" s="347"/>
      <c r="O706" s="347"/>
    </row>
    <row r="707" spans="2:17" ht="36" customHeight="1" x14ac:dyDescent="0.5">
      <c r="B707" s="316"/>
      <c r="C707" s="369"/>
      <c r="D707" s="450" t="s">
        <v>1167</v>
      </c>
      <c r="E707" s="450"/>
      <c r="F707" s="450"/>
      <c r="G707" s="450"/>
      <c r="H707" s="450"/>
      <c r="I707" s="450"/>
      <c r="J707" s="450"/>
      <c r="K707" s="434"/>
      <c r="M707" s="347"/>
      <c r="O707" s="347"/>
    </row>
    <row r="708" spans="2:17" ht="36" customHeight="1" x14ac:dyDescent="0.5">
      <c r="B708" s="316"/>
      <c r="C708" s="369"/>
      <c r="D708" s="450" t="s">
        <v>1166</v>
      </c>
      <c r="E708" s="450"/>
      <c r="F708" s="450"/>
      <c r="G708" s="450"/>
      <c r="H708" s="450"/>
      <c r="I708" s="450"/>
      <c r="J708" s="450"/>
      <c r="K708" s="434"/>
      <c r="M708" s="347"/>
      <c r="O708" s="347"/>
    </row>
    <row r="709" spans="2:17" ht="36" customHeight="1" x14ac:dyDescent="0.5">
      <c r="B709" s="316"/>
      <c r="C709" s="369"/>
      <c r="D709" s="450" t="str">
        <f>CONCATENATE("- ",Criteria!F209)</f>
        <v>- Property</v>
      </c>
      <c r="E709" s="450"/>
      <c r="F709" s="450"/>
      <c r="G709" s="450"/>
      <c r="H709" s="450"/>
      <c r="I709" s="450"/>
      <c r="J709" s="463">
        <f>Criteria!F210</f>
        <v>0.02</v>
      </c>
      <c r="K709" s="434" t="str">
        <f>Criteria!F211</f>
        <v>Straight line</v>
      </c>
      <c r="M709" s="347"/>
      <c r="O709" s="347"/>
    </row>
    <row r="710" spans="2:17" ht="36" customHeight="1" x14ac:dyDescent="0.5">
      <c r="B710" s="316"/>
      <c r="C710" s="369"/>
      <c r="D710" s="450" t="str">
        <f>CONCATENATE("- ",Criteria!G208," ",Criteria!G209)</f>
        <v>- Plant and equipment</v>
      </c>
      <c r="E710" s="450"/>
      <c r="F710" s="450"/>
      <c r="G710" s="450"/>
      <c r="H710" s="450"/>
      <c r="I710" s="450"/>
      <c r="J710" s="463">
        <f>Criteria!G210</f>
        <v>0.2</v>
      </c>
      <c r="K710" s="454" t="str">
        <f>Criteria!G211</f>
        <v>Straight line</v>
      </c>
      <c r="M710" s="347"/>
      <c r="O710" s="347"/>
    </row>
    <row r="711" spans="2:17" ht="36" customHeight="1" x14ac:dyDescent="0.5">
      <c r="B711" s="316"/>
      <c r="C711" s="369"/>
      <c r="D711" s="450" t="str">
        <f>CONCATENATE("- ",Criteria!H208," ",Criteria!H209)</f>
        <v>- Motor vehicles</v>
      </c>
      <c r="E711" s="450"/>
      <c r="F711" s="450"/>
      <c r="G711" s="450"/>
      <c r="H711" s="450"/>
      <c r="I711" s="450"/>
      <c r="J711" s="463">
        <f>Criteria!H210</f>
        <v>0.2</v>
      </c>
      <c r="K711" s="454" t="str">
        <f>Criteria!H211</f>
        <v>Straight line</v>
      </c>
      <c r="M711" s="347"/>
      <c r="O711" s="347"/>
    </row>
    <row r="712" spans="2:17" ht="36" customHeight="1" x14ac:dyDescent="0.5">
      <c r="B712" s="316"/>
      <c r="C712" s="369"/>
      <c r="D712" s="450" t="str">
        <f>CONCATENATE("- ",Criteria!I208," ",Criteria!I209)</f>
        <v>- Electronic equipment</v>
      </c>
      <c r="E712" s="450"/>
      <c r="F712" s="450"/>
      <c r="G712" s="450"/>
      <c r="H712" s="450"/>
      <c r="I712" s="450"/>
      <c r="J712" s="463">
        <f>Criteria!I210</f>
        <v>0.33339999999999997</v>
      </c>
      <c r="K712" s="454" t="str">
        <f>Criteria!I211</f>
        <v>Straight line</v>
      </c>
      <c r="M712" s="347"/>
      <c r="O712" s="347"/>
    </row>
    <row r="713" spans="2:17" ht="36" customHeight="1" x14ac:dyDescent="0.5">
      <c r="B713" s="316"/>
      <c r="C713" s="369"/>
      <c r="D713" s="450" t="str">
        <f>CONCATENATE("- ",Criteria!J208," ",Criteria!J209)</f>
        <v>- Furniture and fittings</v>
      </c>
      <c r="E713" s="450"/>
      <c r="F713" s="450"/>
      <c r="G713" s="450"/>
      <c r="H713" s="450"/>
      <c r="I713" s="450"/>
      <c r="J713" s="463">
        <f>Criteria!J210</f>
        <v>0.2</v>
      </c>
      <c r="K713" s="454" t="str">
        <f>Criteria!J211</f>
        <v>Straight line</v>
      </c>
      <c r="M713" s="347"/>
      <c r="O713" s="347"/>
    </row>
    <row r="714" spans="2:17" ht="36" customHeight="1" x14ac:dyDescent="0.5">
      <c r="B714" s="316"/>
      <c r="C714" s="369"/>
      <c r="D714" s="450"/>
      <c r="E714" s="450"/>
      <c r="F714" s="450"/>
      <c r="G714" s="450"/>
      <c r="H714" s="450"/>
      <c r="I714" s="450"/>
      <c r="J714" s="464"/>
      <c r="K714" s="454"/>
      <c r="M714" s="347"/>
      <c r="O714" s="347"/>
    </row>
    <row r="715" spans="2:17" ht="36" customHeight="1" x14ac:dyDescent="0.5">
      <c r="B715" s="316"/>
      <c r="C715" s="369"/>
      <c r="D715" s="450" t="s">
        <v>1168</v>
      </c>
      <c r="E715" s="450"/>
      <c r="F715" s="450"/>
      <c r="G715" s="450"/>
      <c r="H715" s="450"/>
      <c r="I715" s="450"/>
      <c r="J715" s="464"/>
      <c r="K715" s="454"/>
      <c r="M715" s="347"/>
      <c r="O715" s="347"/>
    </row>
    <row r="716" spans="2:17" ht="36" customHeight="1" x14ac:dyDescent="0.5">
      <c r="B716" s="316"/>
      <c r="C716" s="369"/>
      <c r="D716" s="450" t="s">
        <v>1170</v>
      </c>
      <c r="E716" s="450"/>
      <c r="F716" s="450"/>
      <c r="G716" s="450"/>
      <c r="H716" s="450"/>
      <c r="I716" s="450"/>
      <c r="J716" s="464"/>
      <c r="K716" s="454"/>
      <c r="M716" s="347"/>
      <c r="O716" s="347"/>
    </row>
    <row r="717" spans="2:17" ht="36" customHeight="1" x14ac:dyDescent="0.5">
      <c r="B717" s="316"/>
      <c r="C717" s="369"/>
      <c r="D717" s="450" t="s">
        <v>1169</v>
      </c>
      <c r="E717" s="450"/>
      <c r="F717" s="450"/>
      <c r="G717" s="450"/>
      <c r="H717" s="450"/>
      <c r="I717" s="450"/>
      <c r="J717" s="464"/>
      <c r="K717" s="454"/>
      <c r="M717" s="347"/>
      <c r="O717" s="347"/>
    </row>
    <row r="718" spans="2:17" ht="36" customHeight="1" x14ac:dyDescent="0.5">
      <c r="B718" s="316"/>
      <c r="C718" s="369"/>
      <c r="D718" s="450"/>
      <c r="E718" s="450"/>
      <c r="F718" s="450"/>
      <c r="G718" s="450"/>
      <c r="H718" s="450"/>
      <c r="I718" s="450"/>
      <c r="J718" s="464"/>
      <c r="K718" s="454"/>
      <c r="M718" s="347"/>
      <c r="O718" s="347"/>
    </row>
    <row r="719" spans="2:17" ht="36" customHeight="1" x14ac:dyDescent="0.5">
      <c r="B719" s="316"/>
      <c r="C719" s="369"/>
      <c r="D719" s="450" t="s">
        <v>1107</v>
      </c>
      <c r="E719" s="450"/>
      <c r="F719" s="450"/>
      <c r="G719" s="450"/>
      <c r="H719" s="450"/>
      <c r="I719" s="450"/>
      <c r="J719" s="450"/>
      <c r="K719" s="434"/>
      <c r="M719" s="347"/>
      <c r="O719" s="347"/>
    </row>
    <row r="720" spans="2:17" ht="36" customHeight="1" x14ac:dyDescent="0.5">
      <c r="B720" s="316"/>
      <c r="C720" s="369"/>
      <c r="D720" s="450" t="s">
        <v>1093</v>
      </c>
      <c r="E720" s="450"/>
      <c r="F720" s="450"/>
      <c r="G720" s="450"/>
      <c r="H720" s="450"/>
      <c r="I720" s="450"/>
      <c r="J720" s="450"/>
      <c r="K720" s="434"/>
      <c r="M720" s="347"/>
      <c r="O720" s="347"/>
    </row>
    <row r="721" spans="2:18" ht="36" customHeight="1" x14ac:dyDescent="0.5">
      <c r="B721" s="316"/>
      <c r="C721" s="369"/>
      <c r="D721" s="450"/>
      <c r="E721" s="450"/>
      <c r="F721" s="450"/>
      <c r="G721" s="450"/>
      <c r="H721" s="450"/>
      <c r="I721" s="450"/>
      <c r="J721" s="450"/>
      <c r="K721" s="434"/>
      <c r="M721" s="347"/>
      <c r="O721" s="347"/>
    </row>
    <row r="722" spans="2:18" ht="36" customHeight="1" x14ac:dyDescent="0.5">
      <c r="D722" s="450"/>
      <c r="E722" s="450"/>
      <c r="F722" s="450"/>
      <c r="G722" s="450"/>
      <c r="H722" s="450"/>
      <c r="I722" s="450"/>
      <c r="J722" s="450"/>
      <c r="K722" s="449"/>
      <c r="L722" s="292"/>
      <c r="M722" s="330"/>
      <c r="N722" s="330"/>
      <c r="O722" s="330"/>
      <c r="P722" s="330"/>
    </row>
    <row r="723" spans="2:18" ht="36" customHeight="1" x14ac:dyDescent="0.5">
      <c r="C723" s="354"/>
      <c r="D723" s="450"/>
      <c r="E723" s="450"/>
      <c r="F723" s="450"/>
      <c r="G723" s="450"/>
      <c r="H723" s="450"/>
      <c r="I723" s="450"/>
      <c r="J723" s="450"/>
      <c r="K723" s="434"/>
      <c r="M723" s="347"/>
      <c r="O723" s="347"/>
    </row>
    <row r="724" spans="2:18" ht="36" customHeight="1" x14ac:dyDescent="0.5">
      <c r="C724" s="354"/>
      <c r="D724" s="450"/>
      <c r="E724" s="450"/>
      <c r="F724" s="450"/>
      <c r="G724" s="450"/>
      <c r="H724" s="450"/>
      <c r="I724" s="450"/>
      <c r="J724" s="450"/>
      <c r="K724" s="434"/>
      <c r="M724" s="347"/>
      <c r="O724" s="295" t="s">
        <v>89</v>
      </c>
      <c r="Q724" s="292">
        <f>MAX($Q$105:Q723)+1</f>
        <v>17</v>
      </c>
    </row>
    <row r="725" spans="2:18" ht="36" customHeight="1" x14ac:dyDescent="0.5">
      <c r="C725" s="354"/>
      <c r="D725" s="456" t="str">
        <f>Criteria!E9</f>
        <v>HOLDING COMPANY 268 (PROPRIETARY) LIMITED</v>
      </c>
      <c r="E725" s="450"/>
      <c r="F725" s="450"/>
      <c r="G725" s="450"/>
      <c r="H725" s="450"/>
      <c r="I725" s="450"/>
      <c r="J725" s="450"/>
      <c r="K725" s="434"/>
      <c r="M725" s="347"/>
      <c r="O725" s="347"/>
    </row>
    <row r="726" spans="2:18" ht="36" customHeight="1" x14ac:dyDescent="0.5">
      <c r="C726" s="354"/>
      <c r="D726" s="456" t="str">
        <f>Criteria!E10</f>
        <v>CONSOLIDATED FINANCIAL STATEMENTS</v>
      </c>
      <c r="E726" s="450"/>
      <c r="F726" s="450"/>
      <c r="G726" s="450"/>
      <c r="H726" s="450"/>
      <c r="I726" s="450"/>
      <c r="J726" s="450"/>
      <c r="K726" s="434"/>
      <c r="M726" s="347"/>
      <c r="O726" s="347"/>
      <c r="R726" s="348" t="str">
        <f>IF(D726=0,"DELETE"," ")</f>
        <v xml:space="preserve"> </v>
      </c>
    </row>
    <row r="727" spans="2:18" ht="36" customHeight="1" x14ac:dyDescent="0.5">
      <c r="C727" s="354"/>
      <c r="D727" s="450"/>
      <c r="E727" s="450"/>
      <c r="F727" s="450"/>
      <c r="G727" s="450"/>
      <c r="H727" s="450"/>
      <c r="I727" s="450"/>
      <c r="J727" s="450"/>
      <c r="K727" s="434"/>
      <c r="M727" s="347"/>
      <c r="O727" s="347"/>
    </row>
    <row r="728" spans="2:18" ht="36" customHeight="1" x14ac:dyDescent="0.5">
      <c r="C728" s="354"/>
      <c r="D728" s="456" t="s">
        <v>351</v>
      </c>
      <c r="E728" s="450"/>
      <c r="F728" s="450"/>
      <c r="G728" s="450"/>
      <c r="H728" s="450"/>
      <c r="I728" s="450"/>
      <c r="J728" s="450"/>
      <c r="K728" s="434"/>
      <c r="M728" s="347"/>
      <c r="O728" s="347"/>
    </row>
    <row r="729" spans="2:18" ht="36" customHeight="1" x14ac:dyDescent="0.5">
      <c r="C729" s="354"/>
      <c r="D729" s="456" t="str">
        <f>Criteria!E20</f>
        <v>28 FEBRUARY 2025</v>
      </c>
      <c r="E729" s="450"/>
      <c r="F729" s="450"/>
      <c r="G729" s="450"/>
      <c r="H729" s="450"/>
      <c r="I729" s="450"/>
      <c r="J729" s="450" t="s">
        <v>231</v>
      </c>
      <c r="K729" s="434"/>
      <c r="M729" s="347"/>
      <c r="O729" s="347"/>
    </row>
    <row r="730" spans="2:18" ht="36" customHeight="1" x14ac:dyDescent="0.5">
      <c r="C730" s="354"/>
      <c r="D730" s="450"/>
      <c r="E730" s="450"/>
      <c r="F730" s="450"/>
      <c r="G730" s="450"/>
      <c r="H730" s="450"/>
      <c r="I730" s="450"/>
      <c r="J730" s="450"/>
      <c r="K730" s="434"/>
      <c r="M730" s="347"/>
      <c r="O730" s="347"/>
    </row>
    <row r="731" spans="2:18" ht="36" customHeight="1" x14ac:dyDescent="0.5">
      <c r="B731" s="364"/>
      <c r="C731" s="368"/>
      <c r="D731" s="460"/>
      <c r="E731" s="460"/>
      <c r="F731" s="460"/>
      <c r="G731" s="460"/>
      <c r="H731" s="460"/>
      <c r="I731" s="460"/>
      <c r="J731" s="460"/>
      <c r="K731" s="444"/>
      <c r="L731" s="364"/>
      <c r="M731" s="367"/>
      <c r="N731" s="367"/>
      <c r="O731" s="367"/>
      <c r="P731" s="367"/>
      <c r="Q731" s="364"/>
    </row>
    <row r="732" spans="2:18" ht="36" customHeight="1" x14ac:dyDescent="0.5">
      <c r="B732" s="316"/>
      <c r="C732" s="354">
        <f>MAX(C$602:C731)+0.1</f>
        <v>1.5000000000000004</v>
      </c>
      <c r="D732" s="456" t="s">
        <v>1059</v>
      </c>
      <c r="E732" s="450"/>
      <c r="F732" s="450"/>
      <c r="G732" s="450"/>
      <c r="H732" s="450"/>
      <c r="I732" s="450"/>
      <c r="J732" s="450"/>
      <c r="K732" s="434"/>
      <c r="M732" s="347"/>
      <c r="O732" s="347"/>
    </row>
    <row r="733" spans="2:18" ht="36" customHeight="1" x14ac:dyDescent="0.5">
      <c r="B733" s="316"/>
      <c r="C733" s="354"/>
      <c r="D733" s="456"/>
      <c r="E733" s="450"/>
      <c r="F733" s="450"/>
      <c r="G733" s="450"/>
      <c r="H733" s="450"/>
      <c r="I733" s="450"/>
      <c r="J733" s="450"/>
      <c r="K733" s="434"/>
      <c r="M733" s="347"/>
      <c r="O733" s="347"/>
    </row>
    <row r="734" spans="2:18" ht="36" customHeight="1" x14ac:dyDescent="0.5">
      <c r="B734" s="316"/>
      <c r="C734" s="369"/>
      <c r="D734" s="450" t="s">
        <v>1171</v>
      </c>
      <c r="E734" s="450"/>
      <c r="F734" s="450"/>
      <c r="G734" s="450"/>
      <c r="H734" s="450"/>
      <c r="I734" s="450"/>
      <c r="J734" s="450"/>
      <c r="K734" s="434"/>
      <c r="M734" s="347"/>
      <c r="O734" s="347"/>
    </row>
    <row r="735" spans="2:18" ht="36" customHeight="1" x14ac:dyDescent="0.5">
      <c r="B735" s="316"/>
      <c r="C735" s="369"/>
      <c r="D735" s="450" t="s">
        <v>1172</v>
      </c>
      <c r="E735" s="450"/>
      <c r="F735" s="450"/>
      <c r="G735" s="450"/>
      <c r="H735" s="450"/>
      <c r="I735" s="450"/>
      <c r="J735" s="450"/>
      <c r="K735" s="434"/>
      <c r="M735" s="347"/>
      <c r="O735" s="347"/>
    </row>
    <row r="736" spans="2:18" ht="36" customHeight="1" x14ac:dyDescent="0.5">
      <c r="B736" s="316"/>
      <c r="C736" s="369"/>
      <c r="D736" s="450" t="s">
        <v>1174</v>
      </c>
      <c r="E736" s="450"/>
      <c r="F736" s="450"/>
      <c r="G736" s="450"/>
      <c r="H736" s="450"/>
      <c r="I736" s="450"/>
      <c r="J736" s="450"/>
      <c r="K736" s="434"/>
      <c r="M736" s="347"/>
      <c r="O736" s="347"/>
    </row>
    <row r="737" spans="2:18" ht="36" customHeight="1" x14ac:dyDescent="0.5">
      <c r="B737" s="316"/>
      <c r="C737" s="369"/>
      <c r="D737" s="450" t="s">
        <v>1173</v>
      </c>
      <c r="E737" s="450"/>
      <c r="F737" s="450"/>
      <c r="G737" s="450"/>
      <c r="H737" s="450"/>
      <c r="I737" s="450"/>
      <c r="J737" s="450"/>
      <c r="K737" s="434"/>
      <c r="M737" s="347"/>
      <c r="O737" s="347"/>
    </row>
    <row r="738" spans="2:18" ht="36" customHeight="1" x14ac:dyDescent="0.5">
      <c r="B738" s="316"/>
      <c r="C738" s="369"/>
      <c r="D738" s="450"/>
      <c r="E738" s="450"/>
      <c r="F738" s="450"/>
      <c r="G738" s="450"/>
      <c r="H738" s="450"/>
      <c r="I738" s="450"/>
      <c r="J738" s="450"/>
      <c r="K738" s="434"/>
      <c r="M738" s="347"/>
      <c r="O738" s="347"/>
    </row>
    <row r="739" spans="2:18" ht="36" customHeight="1" x14ac:dyDescent="0.5">
      <c r="B739" s="316"/>
      <c r="C739" s="369"/>
      <c r="D739" s="450"/>
      <c r="E739" s="450"/>
      <c r="F739" s="450"/>
      <c r="G739" s="450"/>
      <c r="H739" s="450"/>
      <c r="I739" s="450"/>
      <c r="J739" s="450"/>
      <c r="K739" s="434"/>
      <c r="M739" s="347"/>
      <c r="O739" s="347"/>
    </row>
    <row r="740" spans="2:18" ht="36" customHeight="1" x14ac:dyDescent="0.5">
      <c r="D740" s="450"/>
      <c r="E740" s="450"/>
      <c r="F740" s="450"/>
      <c r="G740" s="450"/>
      <c r="H740" s="450"/>
      <c r="I740" s="450"/>
      <c r="J740" s="450"/>
      <c r="K740" s="449"/>
      <c r="L740" s="292"/>
      <c r="M740" s="330"/>
      <c r="N740" s="330"/>
      <c r="O740" s="330"/>
      <c r="P740" s="330"/>
    </row>
    <row r="741" spans="2:18" ht="36" customHeight="1" x14ac:dyDescent="0.5">
      <c r="C741" s="354"/>
      <c r="D741" s="450"/>
      <c r="E741" s="450"/>
      <c r="F741" s="450"/>
      <c r="G741" s="450"/>
      <c r="H741" s="450"/>
      <c r="I741" s="450"/>
      <c r="J741" s="450"/>
      <c r="K741" s="434"/>
      <c r="M741" s="347"/>
      <c r="O741" s="347"/>
    </row>
    <row r="742" spans="2:18" ht="36" customHeight="1" x14ac:dyDescent="0.5">
      <c r="C742" s="354"/>
      <c r="D742" s="450"/>
      <c r="E742" s="450"/>
      <c r="F742" s="450"/>
      <c r="G742" s="450"/>
      <c r="H742" s="450"/>
      <c r="I742" s="450"/>
      <c r="J742" s="450"/>
      <c r="K742" s="434"/>
      <c r="M742" s="347"/>
      <c r="O742" s="295" t="s">
        <v>89</v>
      </c>
      <c r="Q742" s="292">
        <f>MAX($Q$105:Q741)+1</f>
        <v>18</v>
      </c>
    </row>
    <row r="743" spans="2:18" ht="36" customHeight="1" x14ac:dyDescent="0.5">
      <c r="C743" s="354"/>
      <c r="D743" s="456" t="str">
        <f>Criteria!E9</f>
        <v>HOLDING COMPANY 268 (PROPRIETARY) LIMITED</v>
      </c>
      <c r="E743" s="450"/>
      <c r="F743" s="450"/>
      <c r="G743" s="450"/>
      <c r="H743" s="450"/>
      <c r="I743" s="450"/>
      <c r="J743" s="450"/>
      <c r="K743" s="434"/>
      <c r="M743" s="347"/>
      <c r="O743" s="347"/>
    </row>
    <row r="744" spans="2:18" ht="36" customHeight="1" x14ac:dyDescent="0.5">
      <c r="C744" s="354"/>
      <c r="D744" s="456" t="str">
        <f>Criteria!E10</f>
        <v>CONSOLIDATED FINANCIAL STATEMENTS</v>
      </c>
      <c r="E744" s="450"/>
      <c r="F744" s="450"/>
      <c r="G744" s="450"/>
      <c r="H744" s="450"/>
      <c r="I744" s="450"/>
      <c r="J744" s="450"/>
      <c r="K744" s="434"/>
      <c r="M744" s="347"/>
      <c r="O744" s="347"/>
      <c r="R744" s="348" t="str">
        <f>IF(D744=0,"DELETE"," ")</f>
        <v xml:space="preserve"> </v>
      </c>
    </row>
    <row r="745" spans="2:18" ht="36" customHeight="1" x14ac:dyDescent="0.5">
      <c r="C745" s="354"/>
      <c r="D745" s="450"/>
      <c r="E745" s="450"/>
      <c r="F745" s="450"/>
      <c r="G745" s="450"/>
      <c r="H745" s="450"/>
      <c r="I745" s="450"/>
      <c r="J745" s="450"/>
      <c r="K745" s="434"/>
      <c r="M745" s="347"/>
      <c r="O745" s="347"/>
    </row>
    <row r="746" spans="2:18" ht="36" customHeight="1" x14ac:dyDescent="0.5">
      <c r="C746" s="354"/>
      <c r="D746" s="456" t="s">
        <v>351</v>
      </c>
      <c r="E746" s="450"/>
      <c r="F746" s="450"/>
      <c r="G746" s="450"/>
      <c r="H746" s="450"/>
      <c r="I746" s="450"/>
      <c r="J746" s="450"/>
      <c r="K746" s="434"/>
      <c r="M746" s="347"/>
      <c r="O746" s="347"/>
    </row>
    <row r="747" spans="2:18" ht="36" customHeight="1" x14ac:dyDescent="0.5">
      <c r="C747" s="354"/>
      <c r="D747" s="456" t="str">
        <f>Criteria!E20</f>
        <v>28 FEBRUARY 2025</v>
      </c>
      <c r="E747" s="450"/>
      <c r="F747" s="450"/>
      <c r="G747" s="450"/>
      <c r="H747" s="450"/>
      <c r="I747" s="450"/>
      <c r="J747" s="450" t="s">
        <v>231</v>
      </c>
      <c r="K747" s="434"/>
      <c r="M747" s="347"/>
      <c r="O747" s="347"/>
    </row>
    <row r="748" spans="2:18" ht="36" customHeight="1" x14ac:dyDescent="0.5">
      <c r="C748" s="354"/>
      <c r="D748" s="450"/>
      <c r="E748" s="450"/>
      <c r="F748" s="450"/>
      <c r="G748" s="450"/>
      <c r="H748" s="450"/>
      <c r="I748" s="450"/>
      <c r="J748" s="450"/>
      <c r="K748" s="434"/>
      <c r="M748" s="347"/>
      <c r="O748" s="347"/>
    </row>
    <row r="749" spans="2:18" ht="36" customHeight="1" x14ac:dyDescent="0.5">
      <c r="B749" s="364"/>
      <c r="C749" s="368"/>
      <c r="D749" s="460"/>
      <c r="E749" s="460"/>
      <c r="F749" s="460"/>
      <c r="G749" s="460"/>
      <c r="H749" s="460"/>
      <c r="I749" s="460"/>
      <c r="J749" s="460"/>
      <c r="K749" s="444"/>
      <c r="L749" s="364"/>
      <c r="M749" s="367"/>
      <c r="N749" s="367"/>
      <c r="O749" s="367"/>
      <c r="P749" s="367"/>
      <c r="Q749" s="364"/>
    </row>
    <row r="750" spans="2:18" ht="36" customHeight="1" x14ac:dyDescent="0.5">
      <c r="B750" s="316"/>
      <c r="C750" s="354">
        <f>MAX(C$602:C749)+0.1</f>
        <v>1.6000000000000005</v>
      </c>
      <c r="D750" s="456" t="s">
        <v>922</v>
      </c>
      <c r="E750" s="450"/>
      <c r="F750" s="450"/>
      <c r="G750" s="450"/>
      <c r="H750" s="450"/>
      <c r="I750" s="450"/>
      <c r="J750" s="450"/>
      <c r="K750" s="434"/>
      <c r="M750" s="347"/>
      <c r="O750" s="347"/>
    </row>
    <row r="751" spans="2:18" ht="36" customHeight="1" x14ac:dyDescent="0.5">
      <c r="B751" s="316"/>
      <c r="C751" s="354"/>
      <c r="D751" s="456"/>
      <c r="E751" s="450"/>
      <c r="F751" s="450"/>
      <c r="G751" s="450"/>
      <c r="H751" s="450"/>
      <c r="I751" s="450"/>
      <c r="J751" s="450"/>
      <c r="K751" s="434"/>
      <c r="M751" s="347"/>
      <c r="O751" s="347"/>
    </row>
    <row r="752" spans="2:18" ht="36" customHeight="1" x14ac:dyDescent="0.5">
      <c r="B752" s="316"/>
      <c r="C752" s="369"/>
      <c r="D752" s="450" t="s">
        <v>859</v>
      </c>
      <c r="E752" s="450"/>
      <c r="F752" s="450"/>
      <c r="G752" s="450"/>
      <c r="H752" s="450"/>
      <c r="I752" s="450"/>
      <c r="J752" s="450"/>
      <c r="K752" s="434"/>
      <c r="M752" s="347"/>
      <c r="O752" s="347"/>
    </row>
    <row r="753" spans="2:18" ht="36" customHeight="1" x14ac:dyDescent="0.5">
      <c r="B753" s="316"/>
      <c r="C753" s="369"/>
      <c r="D753" s="462" t="s">
        <v>860</v>
      </c>
      <c r="E753" s="450"/>
      <c r="F753" s="450"/>
      <c r="G753" s="450"/>
      <c r="H753" s="450"/>
      <c r="I753" s="450"/>
      <c r="J753" s="450"/>
      <c r="K753" s="434"/>
      <c r="M753" s="347"/>
      <c r="O753" s="347"/>
    </row>
    <row r="754" spans="2:18" ht="36" customHeight="1" x14ac:dyDescent="0.5">
      <c r="B754" s="316"/>
      <c r="C754" s="369"/>
      <c r="D754" s="450" t="s">
        <v>1175</v>
      </c>
      <c r="E754" s="450"/>
      <c r="F754" s="450"/>
      <c r="G754" s="450"/>
      <c r="H754" s="450"/>
      <c r="I754" s="450"/>
      <c r="J754" s="450"/>
      <c r="K754" s="434"/>
      <c r="M754" s="347"/>
      <c r="O754" s="347"/>
    </row>
    <row r="755" spans="2:18" ht="36" customHeight="1" x14ac:dyDescent="0.5">
      <c r="B755" s="316"/>
      <c r="C755" s="369"/>
      <c r="D755" s="450" t="s">
        <v>1177</v>
      </c>
      <c r="E755" s="450"/>
      <c r="F755" s="450"/>
      <c r="G755" s="450"/>
      <c r="H755" s="450"/>
      <c r="I755" s="450"/>
      <c r="J755" s="450"/>
      <c r="K755" s="434"/>
      <c r="M755" s="347"/>
      <c r="O755" s="347"/>
    </row>
    <row r="756" spans="2:18" ht="36" customHeight="1" x14ac:dyDescent="0.5">
      <c r="B756" s="316"/>
      <c r="C756" s="369"/>
      <c r="D756" s="450" t="s">
        <v>1176</v>
      </c>
      <c r="E756" s="450"/>
      <c r="F756" s="450"/>
      <c r="G756" s="450"/>
      <c r="H756" s="450"/>
      <c r="I756" s="450"/>
      <c r="J756" s="450"/>
      <c r="K756" s="434"/>
      <c r="M756" s="347"/>
      <c r="O756" s="347"/>
    </row>
    <row r="757" spans="2:18" ht="36" customHeight="1" x14ac:dyDescent="0.5">
      <c r="B757" s="316"/>
      <c r="C757" s="369"/>
      <c r="D757" s="450"/>
      <c r="E757" s="450"/>
      <c r="F757" s="450"/>
      <c r="G757" s="450"/>
      <c r="H757" s="450"/>
      <c r="I757" s="450"/>
      <c r="J757" s="450"/>
      <c r="K757" s="434"/>
      <c r="M757" s="347"/>
      <c r="O757" s="347"/>
    </row>
    <row r="758" spans="2:18" ht="36" customHeight="1" x14ac:dyDescent="0.5">
      <c r="B758" s="316"/>
      <c r="C758" s="369"/>
      <c r="D758" s="450"/>
      <c r="E758" s="450"/>
      <c r="F758" s="450"/>
      <c r="G758" s="450"/>
      <c r="H758" s="450"/>
      <c r="I758" s="450"/>
      <c r="J758" s="450"/>
      <c r="K758" s="434"/>
      <c r="M758" s="347"/>
      <c r="O758" s="347"/>
    </row>
    <row r="759" spans="2:18" ht="36" customHeight="1" x14ac:dyDescent="0.5">
      <c r="D759" s="450"/>
      <c r="E759" s="450"/>
      <c r="F759" s="450"/>
      <c r="G759" s="450"/>
      <c r="H759" s="450"/>
      <c r="I759" s="450"/>
      <c r="J759" s="450"/>
      <c r="K759" s="449"/>
      <c r="L759" s="292"/>
      <c r="M759" s="330"/>
      <c r="N759" s="330"/>
      <c r="O759" s="330"/>
      <c r="P759" s="330"/>
    </row>
    <row r="760" spans="2:18" ht="36" customHeight="1" x14ac:dyDescent="0.5">
      <c r="C760" s="354"/>
      <c r="D760" s="450"/>
      <c r="E760" s="450"/>
      <c r="F760" s="450"/>
      <c r="G760" s="450"/>
      <c r="H760" s="450"/>
      <c r="I760" s="450"/>
      <c r="J760" s="450"/>
      <c r="K760" s="434"/>
      <c r="M760" s="347"/>
      <c r="O760" s="347"/>
    </row>
    <row r="761" spans="2:18" ht="36" customHeight="1" x14ac:dyDescent="0.5">
      <c r="C761" s="354"/>
      <c r="D761" s="450"/>
      <c r="E761" s="450"/>
      <c r="F761" s="450"/>
      <c r="G761" s="450"/>
      <c r="H761" s="450"/>
      <c r="I761" s="450"/>
      <c r="J761" s="450"/>
      <c r="K761" s="434"/>
      <c r="M761" s="347"/>
      <c r="O761" s="295" t="s">
        <v>89</v>
      </c>
      <c r="Q761" s="292">
        <f>MAX($Q$105:Q760)+1</f>
        <v>19</v>
      </c>
    </row>
    <row r="762" spans="2:18" ht="36" customHeight="1" x14ac:dyDescent="0.5">
      <c r="C762" s="354"/>
      <c r="D762" s="456" t="str">
        <f>Criteria!E9</f>
        <v>HOLDING COMPANY 268 (PROPRIETARY) LIMITED</v>
      </c>
      <c r="E762" s="450"/>
      <c r="F762" s="450"/>
      <c r="G762" s="450"/>
      <c r="H762" s="450"/>
      <c r="I762" s="450"/>
      <c r="J762" s="450"/>
      <c r="K762" s="434"/>
      <c r="M762" s="347"/>
      <c r="O762" s="347"/>
    </row>
    <row r="763" spans="2:18" ht="36" customHeight="1" x14ac:dyDescent="0.5">
      <c r="C763" s="354"/>
      <c r="D763" s="456" t="str">
        <f>Criteria!E10</f>
        <v>CONSOLIDATED FINANCIAL STATEMENTS</v>
      </c>
      <c r="E763" s="450"/>
      <c r="F763" s="450"/>
      <c r="G763" s="450"/>
      <c r="H763" s="450"/>
      <c r="I763" s="450"/>
      <c r="J763" s="450"/>
      <c r="K763" s="434"/>
      <c r="M763" s="347"/>
      <c r="O763" s="347"/>
      <c r="R763" s="348" t="str">
        <f>IF(D763=0,"DELETE"," ")</f>
        <v xml:space="preserve"> </v>
      </c>
    </row>
    <row r="764" spans="2:18" ht="36" customHeight="1" x14ac:dyDescent="0.5">
      <c r="C764" s="354"/>
      <c r="D764" s="450"/>
      <c r="E764" s="450"/>
      <c r="F764" s="450"/>
      <c r="G764" s="450"/>
      <c r="H764" s="450"/>
      <c r="I764" s="450"/>
      <c r="J764" s="450"/>
      <c r="K764" s="434"/>
      <c r="M764" s="347"/>
      <c r="O764" s="347"/>
    </row>
    <row r="765" spans="2:18" ht="36" customHeight="1" x14ac:dyDescent="0.5">
      <c r="C765" s="354"/>
      <c r="D765" s="456" t="s">
        <v>351</v>
      </c>
      <c r="E765" s="450"/>
      <c r="F765" s="450"/>
      <c r="G765" s="450"/>
      <c r="H765" s="450"/>
      <c r="I765" s="450"/>
      <c r="J765" s="450"/>
      <c r="K765" s="434"/>
      <c r="M765" s="347"/>
      <c r="O765" s="347"/>
    </row>
    <row r="766" spans="2:18" ht="36" customHeight="1" x14ac:dyDescent="0.5">
      <c r="C766" s="354"/>
      <c r="D766" s="456" t="str">
        <f>Criteria!E20</f>
        <v>28 FEBRUARY 2025</v>
      </c>
      <c r="E766" s="450"/>
      <c r="F766" s="450"/>
      <c r="G766" s="450"/>
      <c r="H766" s="450"/>
      <c r="I766" s="450"/>
      <c r="J766" s="450" t="s">
        <v>231</v>
      </c>
      <c r="K766" s="434"/>
      <c r="M766" s="347"/>
      <c r="O766" s="347"/>
    </row>
    <row r="767" spans="2:18" ht="36" customHeight="1" x14ac:dyDescent="0.5">
      <c r="C767" s="354"/>
      <c r="D767" s="450"/>
      <c r="E767" s="450"/>
      <c r="F767" s="450"/>
      <c r="G767" s="450"/>
      <c r="H767" s="450"/>
      <c r="I767" s="450"/>
      <c r="J767" s="450"/>
      <c r="K767" s="434"/>
      <c r="M767" s="347"/>
      <c r="O767" s="347"/>
    </row>
    <row r="768" spans="2:18" ht="36" customHeight="1" x14ac:dyDescent="0.5">
      <c r="B768" s="364"/>
      <c r="C768" s="368"/>
      <c r="D768" s="460"/>
      <c r="E768" s="460"/>
      <c r="F768" s="460"/>
      <c r="G768" s="460"/>
      <c r="H768" s="460"/>
      <c r="I768" s="460"/>
      <c r="J768" s="460"/>
      <c r="K768" s="444"/>
      <c r="L768" s="364"/>
      <c r="M768" s="367"/>
      <c r="N768" s="367"/>
      <c r="O768" s="367"/>
      <c r="P768" s="367"/>
      <c r="Q768" s="364"/>
    </row>
    <row r="769" spans="2:18" ht="36" customHeight="1" x14ac:dyDescent="0.5">
      <c r="B769" s="316"/>
      <c r="C769" s="369"/>
      <c r="D769" s="462" t="s">
        <v>861</v>
      </c>
      <c r="E769" s="450"/>
      <c r="F769" s="450"/>
      <c r="G769" s="450"/>
      <c r="H769" s="450"/>
      <c r="I769" s="450"/>
      <c r="J769" s="450"/>
      <c r="K769" s="434"/>
      <c r="M769" s="347"/>
      <c r="O769" s="347"/>
    </row>
    <row r="770" spans="2:18" ht="36" customHeight="1" x14ac:dyDescent="0.5">
      <c r="B770" s="316"/>
      <c r="C770" s="369"/>
      <c r="D770" s="450" t="s">
        <v>1094</v>
      </c>
      <c r="E770" s="450"/>
      <c r="F770" s="450"/>
      <c r="G770" s="450"/>
      <c r="H770" s="450"/>
      <c r="I770" s="450"/>
      <c r="J770" s="450"/>
      <c r="K770" s="434"/>
      <c r="M770" s="347"/>
      <c r="O770" s="347"/>
    </row>
    <row r="771" spans="2:18" ht="36" customHeight="1" x14ac:dyDescent="0.5">
      <c r="B771" s="316"/>
      <c r="C771" s="369"/>
      <c r="D771" s="450" t="s">
        <v>1095</v>
      </c>
      <c r="E771" s="450"/>
      <c r="F771" s="450"/>
      <c r="G771" s="450"/>
      <c r="H771" s="450"/>
      <c r="I771" s="450"/>
      <c r="J771" s="450"/>
      <c r="K771" s="434"/>
      <c r="M771" s="347"/>
      <c r="O771" s="347"/>
    </row>
    <row r="772" spans="2:18" ht="36" customHeight="1" x14ac:dyDescent="0.5">
      <c r="B772" s="316"/>
      <c r="C772" s="369"/>
      <c r="D772" s="450" t="s">
        <v>1096</v>
      </c>
      <c r="E772" s="450"/>
      <c r="F772" s="450"/>
      <c r="G772" s="450"/>
      <c r="H772" s="450"/>
      <c r="I772" s="450"/>
      <c r="J772" s="450"/>
      <c r="K772" s="434"/>
      <c r="M772" s="347"/>
      <c r="O772" s="347"/>
    </row>
    <row r="773" spans="2:18" ht="36" customHeight="1" x14ac:dyDescent="0.5">
      <c r="B773" s="316"/>
      <c r="C773" s="369"/>
      <c r="D773" s="450" t="s">
        <v>1179</v>
      </c>
      <c r="E773" s="450"/>
      <c r="F773" s="450"/>
      <c r="G773" s="450"/>
      <c r="H773" s="450"/>
      <c r="I773" s="450"/>
      <c r="J773" s="450"/>
      <c r="K773" s="434"/>
      <c r="M773" s="347"/>
      <c r="O773" s="347"/>
    </row>
    <row r="774" spans="2:18" ht="36" customHeight="1" x14ac:dyDescent="0.5">
      <c r="B774" s="316"/>
      <c r="C774" s="369"/>
      <c r="D774" s="450" t="s">
        <v>1178</v>
      </c>
      <c r="E774" s="450"/>
      <c r="F774" s="450"/>
      <c r="G774" s="450"/>
      <c r="H774" s="450"/>
      <c r="I774" s="450"/>
      <c r="J774" s="450"/>
      <c r="K774" s="434"/>
      <c r="M774" s="347"/>
      <c r="O774" s="347"/>
    </row>
    <row r="775" spans="2:18" ht="36" customHeight="1" x14ac:dyDescent="0.5">
      <c r="B775" s="316"/>
      <c r="C775" s="369"/>
      <c r="D775" s="450" t="str">
        <f>CONCATENATE("- ",Criteria!F231," years")</f>
        <v>- 10 years</v>
      </c>
      <c r="E775" s="450"/>
      <c r="F775" s="450"/>
      <c r="G775" s="450"/>
      <c r="H775" s="450"/>
      <c r="I775" s="450"/>
      <c r="J775" s="450"/>
      <c r="K775" s="434"/>
      <c r="M775" s="347"/>
      <c r="O775" s="347"/>
    </row>
    <row r="776" spans="2:18" ht="36" customHeight="1" x14ac:dyDescent="0.5">
      <c r="B776" s="316"/>
      <c r="C776" s="369"/>
      <c r="D776" s="450"/>
      <c r="E776" s="450"/>
      <c r="F776" s="450"/>
      <c r="G776" s="450"/>
      <c r="H776" s="450"/>
      <c r="I776" s="450"/>
      <c r="J776" s="450"/>
      <c r="K776" s="434"/>
      <c r="M776" s="347"/>
      <c r="O776" s="347"/>
    </row>
    <row r="777" spans="2:18" ht="36" customHeight="1" x14ac:dyDescent="0.5">
      <c r="B777" s="316"/>
      <c r="C777" s="369"/>
      <c r="D777" s="450"/>
      <c r="E777" s="450"/>
      <c r="F777" s="450"/>
      <c r="G777" s="450"/>
      <c r="H777" s="450"/>
      <c r="I777" s="450"/>
      <c r="J777" s="450"/>
      <c r="K777" s="434"/>
      <c r="M777" s="347"/>
      <c r="O777" s="347"/>
    </row>
    <row r="778" spans="2:18" ht="36" customHeight="1" x14ac:dyDescent="0.5">
      <c r="D778" s="450"/>
      <c r="E778" s="450"/>
      <c r="F778" s="450"/>
      <c r="G778" s="450"/>
      <c r="H778" s="450"/>
      <c r="I778" s="450"/>
      <c r="J778" s="450"/>
      <c r="K778" s="449"/>
      <c r="L778" s="292"/>
      <c r="M778" s="330"/>
      <c r="N778" s="330"/>
      <c r="O778" s="330"/>
      <c r="P778" s="330"/>
    </row>
    <row r="779" spans="2:18" ht="36" customHeight="1" x14ac:dyDescent="0.5">
      <c r="C779" s="354"/>
      <c r="D779" s="450"/>
      <c r="E779" s="450"/>
      <c r="F779" s="450"/>
      <c r="G779" s="450"/>
      <c r="H779" s="450"/>
      <c r="I779" s="450"/>
      <c r="J779" s="450"/>
      <c r="K779" s="434"/>
      <c r="M779" s="347"/>
      <c r="O779" s="347"/>
    </row>
    <row r="780" spans="2:18" ht="36" customHeight="1" x14ac:dyDescent="0.5">
      <c r="C780" s="354"/>
      <c r="D780" s="450"/>
      <c r="E780" s="450"/>
      <c r="F780" s="450"/>
      <c r="G780" s="450"/>
      <c r="H780" s="450"/>
      <c r="I780" s="450"/>
      <c r="J780" s="450"/>
      <c r="K780" s="434"/>
      <c r="M780" s="347"/>
      <c r="O780" s="295" t="s">
        <v>89</v>
      </c>
      <c r="Q780" s="292">
        <f>MAX($Q$105:Q779)+1</f>
        <v>20</v>
      </c>
    </row>
    <row r="781" spans="2:18" ht="36" customHeight="1" x14ac:dyDescent="0.5">
      <c r="C781" s="354"/>
      <c r="D781" s="456" t="str">
        <f>Criteria!E9</f>
        <v>HOLDING COMPANY 268 (PROPRIETARY) LIMITED</v>
      </c>
      <c r="E781" s="450"/>
      <c r="F781" s="450"/>
      <c r="G781" s="450"/>
      <c r="H781" s="450"/>
      <c r="I781" s="450"/>
      <c r="J781" s="450"/>
      <c r="K781" s="434"/>
      <c r="M781" s="347"/>
      <c r="O781" s="347"/>
    </row>
    <row r="782" spans="2:18" ht="36" customHeight="1" x14ac:dyDescent="0.5">
      <c r="C782" s="354"/>
      <c r="D782" s="456" t="str">
        <f>Criteria!E10</f>
        <v>CONSOLIDATED FINANCIAL STATEMENTS</v>
      </c>
      <c r="E782" s="450"/>
      <c r="F782" s="450"/>
      <c r="G782" s="450"/>
      <c r="H782" s="450"/>
      <c r="I782" s="450"/>
      <c r="J782" s="450"/>
      <c r="K782" s="434"/>
      <c r="M782" s="347"/>
      <c r="O782" s="347"/>
      <c r="R782" s="348" t="str">
        <f>IF(D782=0,"DELETE"," ")</f>
        <v xml:space="preserve"> </v>
      </c>
    </row>
    <row r="783" spans="2:18" ht="36" customHeight="1" x14ac:dyDescent="0.5">
      <c r="C783" s="354"/>
      <c r="D783" s="450"/>
      <c r="E783" s="450"/>
      <c r="F783" s="450"/>
      <c r="G783" s="450"/>
      <c r="H783" s="450"/>
      <c r="I783" s="450"/>
      <c r="J783" s="450"/>
      <c r="K783" s="434"/>
      <c r="M783" s="347"/>
      <c r="O783" s="347"/>
    </row>
    <row r="784" spans="2:18" ht="36" customHeight="1" x14ac:dyDescent="0.5">
      <c r="C784" s="354"/>
      <c r="D784" s="456" t="s">
        <v>351</v>
      </c>
      <c r="E784" s="450"/>
      <c r="F784" s="450"/>
      <c r="G784" s="450"/>
      <c r="H784" s="450"/>
      <c r="I784" s="450"/>
      <c r="J784" s="450"/>
      <c r="K784" s="434"/>
      <c r="M784" s="347"/>
      <c r="O784" s="347"/>
    </row>
    <row r="785" spans="2:17" ht="36" customHeight="1" x14ac:dyDescent="0.5">
      <c r="C785" s="354"/>
      <c r="D785" s="456" t="str">
        <f>Criteria!E20</f>
        <v>28 FEBRUARY 2025</v>
      </c>
      <c r="E785" s="450"/>
      <c r="F785" s="450"/>
      <c r="G785" s="450"/>
      <c r="H785" s="450"/>
      <c r="I785" s="450"/>
      <c r="J785" s="450" t="s">
        <v>231</v>
      </c>
      <c r="K785" s="434"/>
      <c r="M785" s="347"/>
      <c r="O785" s="347"/>
    </row>
    <row r="786" spans="2:17" ht="36" customHeight="1" x14ac:dyDescent="0.5">
      <c r="C786" s="354"/>
      <c r="D786" s="450"/>
      <c r="E786" s="450"/>
      <c r="F786" s="450"/>
      <c r="G786" s="450"/>
      <c r="H786" s="450"/>
      <c r="I786" s="450"/>
      <c r="J786" s="450"/>
      <c r="K786" s="434"/>
      <c r="M786" s="347"/>
      <c r="O786" s="347"/>
    </row>
    <row r="787" spans="2:17" ht="36" customHeight="1" x14ac:dyDescent="0.5">
      <c r="B787" s="364"/>
      <c r="C787" s="368"/>
      <c r="D787" s="460"/>
      <c r="E787" s="460"/>
      <c r="F787" s="460"/>
      <c r="G787" s="460"/>
      <c r="H787" s="460"/>
      <c r="I787" s="460"/>
      <c r="J787" s="460"/>
      <c r="K787" s="444"/>
      <c r="L787" s="364"/>
      <c r="M787" s="367"/>
      <c r="N787" s="367"/>
      <c r="O787" s="367"/>
      <c r="P787" s="367"/>
      <c r="Q787" s="364"/>
    </row>
    <row r="788" spans="2:17" ht="36" customHeight="1" x14ac:dyDescent="0.5">
      <c r="B788" s="316"/>
      <c r="C788" s="354">
        <f>MAX(C$602:C787)+0.1</f>
        <v>1.7000000000000006</v>
      </c>
      <c r="D788" s="456" t="s">
        <v>1060</v>
      </c>
      <c r="E788" s="450"/>
      <c r="F788" s="450"/>
      <c r="G788" s="450"/>
      <c r="H788" s="450"/>
      <c r="I788" s="450"/>
      <c r="J788" s="450"/>
      <c r="K788" s="434"/>
      <c r="M788" s="347"/>
      <c r="O788" s="347"/>
    </row>
    <row r="789" spans="2:17" ht="36" customHeight="1" x14ac:dyDescent="0.5">
      <c r="B789" s="316"/>
      <c r="C789" s="354"/>
      <c r="D789" s="456"/>
      <c r="E789" s="450"/>
      <c r="F789" s="450"/>
      <c r="G789" s="450"/>
      <c r="H789" s="450"/>
      <c r="I789" s="450"/>
      <c r="J789" s="450"/>
      <c r="K789" s="434"/>
      <c r="M789" s="347"/>
      <c r="O789" s="347"/>
    </row>
    <row r="790" spans="2:17" ht="36" customHeight="1" x14ac:dyDescent="0.5">
      <c r="B790" s="316"/>
      <c r="C790" s="369"/>
      <c r="D790" s="450" t="s">
        <v>1180</v>
      </c>
      <c r="E790" s="450"/>
      <c r="F790" s="450"/>
      <c r="G790" s="450"/>
      <c r="H790" s="450"/>
      <c r="I790" s="450"/>
      <c r="J790" s="450"/>
      <c r="K790" s="434"/>
      <c r="M790" s="347"/>
      <c r="O790" s="347"/>
    </row>
    <row r="791" spans="2:17" ht="36" customHeight="1" x14ac:dyDescent="0.5">
      <c r="B791" s="316"/>
      <c r="C791" s="369"/>
      <c r="D791" s="450" t="s">
        <v>1182</v>
      </c>
      <c r="E791" s="450"/>
      <c r="F791" s="450"/>
      <c r="G791" s="450"/>
      <c r="H791" s="450"/>
      <c r="I791" s="450"/>
      <c r="J791" s="450"/>
      <c r="K791" s="434"/>
      <c r="M791" s="347"/>
      <c r="O791" s="347"/>
    </row>
    <row r="792" spans="2:17" ht="36" customHeight="1" x14ac:dyDescent="0.5">
      <c r="B792" s="316"/>
      <c r="C792" s="369"/>
      <c r="D792" s="450" t="s">
        <v>1181</v>
      </c>
      <c r="E792" s="450"/>
      <c r="F792" s="450"/>
      <c r="G792" s="450"/>
      <c r="H792" s="450"/>
      <c r="I792" s="450"/>
      <c r="J792" s="450"/>
      <c r="K792" s="434"/>
      <c r="M792" s="347"/>
      <c r="O792" s="347"/>
    </row>
    <row r="793" spans="2:17" ht="36" customHeight="1" x14ac:dyDescent="0.5">
      <c r="B793" s="316"/>
      <c r="C793" s="369"/>
      <c r="D793" s="462" t="s">
        <v>864</v>
      </c>
      <c r="E793" s="450"/>
      <c r="F793" s="450"/>
      <c r="G793" s="450"/>
      <c r="H793" s="450"/>
      <c r="I793" s="450"/>
      <c r="J793" s="450"/>
      <c r="K793" s="434"/>
      <c r="M793" s="347"/>
      <c r="O793" s="347"/>
    </row>
    <row r="794" spans="2:17" ht="36" customHeight="1" x14ac:dyDescent="0.5">
      <c r="B794" s="316"/>
      <c r="C794" s="369"/>
      <c r="D794" s="450" t="s">
        <v>1184</v>
      </c>
      <c r="E794" s="450"/>
      <c r="F794" s="450"/>
      <c r="G794" s="450"/>
      <c r="H794" s="450"/>
      <c r="I794" s="450"/>
      <c r="J794" s="450"/>
      <c r="K794" s="434"/>
      <c r="M794" s="347"/>
      <c r="O794" s="347"/>
    </row>
    <row r="795" spans="2:17" ht="36" customHeight="1" x14ac:dyDescent="0.5">
      <c r="B795" s="316"/>
      <c r="C795" s="369"/>
      <c r="D795" s="450" t="s">
        <v>1183</v>
      </c>
      <c r="E795" s="450"/>
      <c r="F795" s="450"/>
      <c r="G795" s="450"/>
      <c r="H795" s="450"/>
      <c r="I795" s="450"/>
      <c r="J795" s="450"/>
      <c r="K795" s="434"/>
      <c r="M795" s="347"/>
      <c r="O795" s="347"/>
    </row>
    <row r="796" spans="2:17" ht="36" customHeight="1" x14ac:dyDescent="0.5">
      <c r="B796" s="316"/>
      <c r="C796" s="369"/>
      <c r="D796" s="462" t="s">
        <v>865</v>
      </c>
      <c r="E796" s="450"/>
      <c r="F796" s="450"/>
      <c r="G796" s="450"/>
      <c r="H796" s="450"/>
      <c r="I796" s="450"/>
      <c r="J796" s="450"/>
      <c r="K796" s="434"/>
      <c r="M796" s="347"/>
      <c r="O796" s="347"/>
    </row>
    <row r="797" spans="2:17" ht="36" customHeight="1" x14ac:dyDescent="0.5">
      <c r="B797" s="316"/>
      <c r="C797" s="369"/>
      <c r="D797" s="450" t="s">
        <v>1186</v>
      </c>
      <c r="E797" s="450"/>
      <c r="F797" s="450"/>
      <c r="G797" s="450"/>
      <c r="H797" s="450"/>
      <c r="I797" s="450"/>
      <c r="J797" s="450"/>
      <c r="K797" s="434"/>
      <c r="M797" s="347"/>
      <c r="O797" s="347"/>
    </row>
    <row r="798" spans="2:17" ht="36" customHeight="1" x14ac:dyDescent="0.5">
      <c r="B798" s="316"/>
      <c r="C798" s="369"/>
      <c r="D798" s="450" t="s">
        <v>1185</v>
      </c>
      <c r="E798" s="450"/>
      <c r="F798" s="450"/>
      <c r="G798" s="450"/>
      <c r="H798" s="450"/>
      <c r="I798" s="450"/>
      <c r="J798" s="450"/>
      <c r="K798" s="434"/>
      <c r="M798" s="347"/>
      <c r="O798" s="347"/>
    </row>
    <row r="799" spans="2:17" ht="36" customHeight="1" x14ac:dyDescent="0.5">
      <c r="B799" s="316"/>
      <c r="C799" s="369"/>
      <c r="D799" s="450"/>
      <c r="E799" s="450"/>
      <c r="F799" s="450"/>
      <c r="G799" s="450"/>
      <c r="H799" s="450"/>
      <c r="I799" s="450"/>
      <c r="J799" s="450"/>
      <c r="K799" s="434"/>
      <c r="M799" s="347"/>
      <c r="O799" s="347"/>
    </row>
    <row r="800" spans="2:17" ht="36" customHeight="1" x14ac:dyDescent="0.5">
      <c r="B800" s="316"/>
      <c r="C800" s="369"/>
      <c r="D800" s="450"/>
      <c r="E800" s="450"/>
      <c r="F800" s="450"/>
      <c r="G800" s="450"/>
      <c r="H800" s="450"/>
      <c r="I800" s="450"/>
      <c r="J800" s="450"/>
      <c r="K800" s="434"/>
      <c r="M800" s="347"/>
      <c r="O800" s="347"/>
    </row>
    <row r="801" spans="2:18" ht="36" customHeight="1" x14ac:dyDescent="0.5">
      <c r="D801" s="450"/>
      <c r="E801" s="450"/>
      <c r="F801" s="450"/>
      <c r="G801" s="450"/>
      <c r="H801" s="450"/>
      <c r="I801" s="450"/>
      <c r="J801" s="450"/>
      <c r="K801" s="449"/>
      <c r="L801" s="292"/>
      <c r="M801" s="330"/>
      <c r="N801" s="330"/>
      <c r="O801" s="330"/>
      <c r="P801" s="330"/>
    </row>
    <row r="802" spans="2:18" ht="36" customHeight="1" x14ac:dyDescent="0.5">
      <c r="C802" s="354"/>
      <c r="D802" s="450"/>
      <c r="E802" s="450"/>
      <c r="F802" s="450"/>
      <c r="G802" s="450"/>
      <c r="H802" s="450"/>
      <c r="I802" s="450"/>
      <c r="J802" s="450"/>
      <c r="K802" s="434"/>
      <c r="M802" s="347"/>
      <c r="O802" s="347"/>
    </row>
    <row r="803" spans="2:18" ht="36" customHeight="1" x14ac:dyDescent="0.5">
      <c r="C803" s="354"/>
      <c r="D803" s="450"/>
      <c r="E803" s="450"/>
      <c r="F803" s="450"/>
      <c r="G803" s="450"/>
      <c r="H803" s="450"/>
      <c r="I803" s="450"/>
      <c r="J803" s="450"/>
      <c r="K803" s="434"/>
      <c r="M803" s="347"/>
      <c r="O803" s="295" t="s">
        <v>89</v>
      </c>
      <c r="Q803" s="292">
        <f>MAX($Q$105:Q802)+1</f>
        <v>21</v>
      </c>
    </row>
    <row r="804" spans="2:18" ht="36" customHeight="1" x14ac:dyDescent="0.5">
      <c r="C804" s="354"/>
      <c r="D804" s="456" t="str">
        <f>Criteria!E9</f>
        <v>HOLDING COMPANY 268 (PROPRIETARY) LIMITED</v>
      </c>
      <c r="E804" s="450"/>
      <c r="F804" s="450"/>
      <c r="G804" s="450"/>
      <c r="H804" s="450"/>
      <c r="I804" s="450"/>
      <c r="J804" s="450"/>
      <c r="K804" s="434"/>
      <c r="M804" s="347"/>
      <c r="O804" s="347"/>
    </row>
    <row r="805" spans="2:18" ht="36" customHeight="1" x14ac:dyDescent="0.5">
      <c r="C805" s="354"/>
      <c r="D805" s="456" t="str">
        <f>Criteria!E10</f>
        <v>CONSOLIDATED FINANCIAL STATEMENTS</v>
      </c>
      <c r="E805" s="450"/>
      <c r="F805" s="450"/>
      <c r="G805" s="450"/>
      <c r="H805" s="450"/>
      <c r="I805" s="450"/>
      <c r="J805" s="450"/>
      <c r="K805" s="434"/>
      <c r="M805" s="347"/>
      <c r="O805" s="347"/>
      <c r="R805" s="348" t="str">
        <f>IF(D805=0,"DELETE"," ")</f>
        <v xml:space="preserve"> </v>
      </c>
    </row>
    <row r="806" spans="2:18" ht="36" customHeight="1" x14ac:dyDescent="0.5">
      <c r="C806" s="354"/>
      <c r="D806" s="450"/>
      <c r="E806" s="450"/>
      <c r="F806" s="450"/>
      <c r="G806" s="450"/>
      <c r="H806" s="450"/>
      <c r="I806" s="450"/>
      <c r="J806" s="450"/>
      <c r="K806" s="434"/>
      <c r="M806" s="347"/>
      <c r="O806" s="347"/>
    </row>
    <row r="807" spans="2:18" ht="36" customHeight="1" x14ac:dyDescent="0.5">
      <c r="C807" s="354"/>
      <c r="D807" s="456" t="s">
        <v>351</v>
      </c>
      <c r="E807" s="450"/>
      <c r="F807" s="450"/>
      <c r="G807" s="450"/>
      <c r="H807" s="450"/>
      <c r="I807" s="450"/>
      <c r="J807" s="450"/>
      <c r="K807" s="434"/>
      <c r="M807" s="347"/>
      <c r="O807" s="347"/>
    </row>
    <row r="808" spans="2:18" ht="36" customHeight="1" x14ac:dyDescent="0.5">
      <c r="C808" s="354"/>
      <c r="D808" s="456" t="str">
        <f>Criteria!E20</f>
        <v>28 FEBRUARY 2025</v>
      </c>
      <c r="E808" s="450"/>
      <c r="F808" s="450"/>
      <c r="G808" s="450"/>
      <c r="H808" s="450"/>
      <c r="I808" s="450"/>
      <c r="J808" s="450" t="s">
        <v>231</v>
      </c>
      <c r="K808" s="434"/>
      <c r="M808" s="347"/>
      <c r="O808" s="347"/>
    </row>
    <row r="809" spans="2:18" ht="36" customHeight="1" x14ac:dyDescent="0.5">
      <c r="C809" s="354"/>
      <c r="D809" s="450"/>
      <c r="E809" s="450"/>
      <c r="F809" s="450"/>
      <c r="G809" s="450"/>
      <c r="H809" s="450"/>
      <c r="I809" s="450"/>
      <c r="J809" s="450"/>
      <c r="K809" s="434"/>
      <c r="M809" s="347"/>
      <c r="O809" s="347"/>
    </row>
    <row r="810" spans="2:18" ht="36" customHeight="1" x14ac:dyDescent="0.5">
      <c r="B810" s="364"/>
      <c r="C810" s="368"/>
      <c r="D810" s="460"/>
      <c r="E810" s="460"/>
      <c r="F810" s="460"/>
      <c r="G810" s="460"/>
      <c r="H810" s="460"/>
      <c r="I810" s="460"/>
      <c r="J810" s="460"/>
      <c r="K810" s="444"/>
      <c r="L810" s="364"/>
      <c r="M810" s="367"/>
      <c r="N810" s="367"/>
      <c r="O810" s="367"/>
      <c r="P810" s="367"/>
      <c r="Q810" s="364"/>
    </row>
    <row r="811" spans="2:18" ht="36" customHeight="1" x14ac:dyDescent="0.5">
      <c r="B811" s="316"/>
      <c r="C811" s="354">
        <f>MAX(C$602:C810)+0.1</f>
        <v>1.8000000000000007</v>
      </c>
      <c r="D811" s="456" t="s">
        <v>1061</v>
      </c>
      <c r="E811" s="450"/>
      <c r="F811" s="450"/>
      <c r="G811" s="450"/>
      <c r="H811" s="450"/>
      <c r="I811" s="450"/>
      <c r="J811" s="450"/>
      <c r="K811" s="434"/>
      <c r="M811" s="347"/>
      <c r="O811" s="347"/>
    </row>
    <row r="812" spans="2:18" ht="36" customHeight="1" x14ac:dyDescent="0.5">
      <c r="B812" s="316"/>
      <c r="C812" s="354"/>
      <c r="D812" s="456"/>
      <c r="E812" s="450"/>
      <c r="F812" s="450"/>
      <c r="G812" s="450"/>
      <c r="H812" s="450"/>
      <c r="I812" s="450"/>
      <c r="J812" s="450"/>
      <c r="K812" s="434"/>
      <c r="M812" s="347"/>
      <c r="O812" s="347"/>
    </row>
    <row r="813" spans="2:18" ht="36" customHeight="1" x14ac:dyDescent="0.5">
      <c r="B813" s="316"/>
      <c r="C813" s="369"/>
      <c r="D813" s="450" t="s">
        <v>1188</v>
      </c>
      <c r="E813" s="450"/>
      <c r="F813" s="450"/>
      <c r="G813" s="450"/>
      <c r="H813" s="450"/>
      <c r="I813" s="450"/>
      <c r="J813" s="450"/>
      <c r="K813" s="434"/>
      <c r="M813" s="347"/>
      <c r="O813" s="347"/>
    </row>
    <row r="814" spans="2:18" ht="36" customHeight="1" x14ac:dyDescent="0.5">
      <c r="B814" s="316"/>
      <c r="C814" s="369"/>
      <c r="D814" s="450" t="s">
        <v>1187</v>
      </c>
      <c r="E814" s="450"/>
      <c r="F814" s="450"/>
      <c r="G814" s="450"/>
      <c r="H814" s="450"/>
      <c r="I814" s="450"/>
      <c r="J814" s="450"/>
      <c r="K814" s="434"/>
      <c r="M814" s="347"/>
      <c r="O814" s="347"/>
    </row>
    <row r="815" spans="2:18" ht="36" customHeight="1" x14ac:dyDescent="0.5">
      <c r="B815" s="316"/>
      <c r="C815" s="369"/>
      <c r="D815" s="450"/>
      <c r="E815" s="450"/>
      <c r="F815" s="450"/>
      <c r="G815" s="450"/>
      <c r="H815" s="450"/>
      <c r="I815" s="450"/>
      <c r="J815" s="450"/>
      <c r="K815" s="434"/>
      <c r="M815" s="347"/>
      <c r="O815" s="347"/>
    </row>
    <row r="816" spans="2:18" ht="36" customHeight="1" x14ac:dyDescent="0.5">
      <c r="B816" s="316"/>
      <c r="C816" s="369"/>
      <c r="D816" s="450"/>
      <c r="E816" s="450"/>
      <c r="F816" s="450"/>
      <c r="G816" s="450"/>
      <c r="H816" s="450"/>
      <c r="I816" s="450"/>
      <c r="J816" s="450"/>
      <c r="K816" s="434"/>
      <c r="M816" s="347"/>
      <c r="O816" s="347"/>
    </row>
    <row r="817" spans="2:18" ht="36" customHeight="1" x14ac:dyDescent="0.5">
      <c r="D817" s="450"/>
      <c r="E817" s="450"/>
      <c r="F817" s="450"/>
      <c r="G817" s="450"/>
      <c r="H817" s="450"/>
      <c r="I817" s="450"/>
      <c r="J817" s="450"/>
      <c r="K817" s="449"/>
      <c r="L817" s="292"/>
      <c r="M817" s="330"/>
      <c r="N817" s="330"/>
      <c r="O817" s="330"/>
      <c r="P817" s="330"/>
    </row>
    <row r="818" spans="2:18" ht="36" customHeight="1" x14ac:dyDescent="0.5">
      <c r="C818" s="354"/>
      <c r="D818" s="450"/>
      <c r="E818" s="450"/>
      <c r="F818" s="450"/>
      <c r="G818" s="450"/>
      <c r="H818" s="450"/>
      <c r="I818" s="450"/>
      <c r="J818" s="450"/>
      <c r="K818" s="434"/>
      <c r="M818" s="347"/>
      <c r="O818" s="347"/>
    </row>
    <row r="819" spans="2:18" ht="36" customHeight="1" x14ac:dyDescent="0.5">
      <c r="C819" s="354"/>
      <c r="D819" s="450"/>
      <c r="E819" s="450"/>
      <c r="F819" s="450"/>
      <c r="G819" s="450"/>
      <c r="H819" s="450"/>
      <c r="I819" s="450"/>
      <c r="J819" s="450"/>
      <c r="K819" s="434"/>
      <c r="M819" s="347"/>
      <c r="O819" s="295" t="s">
        <v>89</v>
      </c>
      <c r="Q819" s="292">
        <f>MAX($Q$105:Q818)+1</f>
        <v>22</v>
      </c>
    </row>
    <row r="820" spans="2:18" ht="36" customHeight="1" x14ac:dyDescent="0.5">
      <c r="C820" s="354"/>
      <c r="D820" s="456" t="str">
        <f>Criteria!E9</f>
        <v>HOLDING COMPANY 268 (PROPRIETARY) LIMITED</v>
      </c>
      <c r="E820" s="450"/>
      <c r="F820" s="450"/>
      <c r="G820" s="450"/>
      <c r="H820" s="450"/>
      <c r="I820" s="450"/>
      <c r="J820" s="450"/>
      <c r="K820" s="434"/>
      <c r="M820" s="347"/>
      <c r="O820" s="347"/>
    </row>
    <row r="821" spans="2:18" ht="36" customHeight="1" x14ac:dyDescent="0.5">
      <c r="C821" s="354"/>
      <c r="D821" s="456" t="str">
        <f>Criteria!E10</f>
        <v>CONSOLIDATED FINANCIAL STATEMENTS</v>
      </c>
      <c r="E821" s="450"/>
      <c r="F821" s="450"/>
      <c r="G821" s="450"/>
      <c r="H821" s="450"/>
      <c r="I821" s="450"/>
      <c r="J821" s="450"/>
      <c r="K821" s="434"/>
      <c r="M821" s="347"/>
      <c r="O821" s="347"/>
      <c r="R821" s="348" t="str">
        <f>IF(D821=0,"DELETE"," ")</f>
        <v xml:space="preserve"> </v>
      </c>
    </row>
    <row r="822" spans="2:18" ht="36" customHeight="1" x14ac:dyDescent="0.5">
      <c r="C822" s="354"/>
      <c r="D822" s="450"/>
      <c r="E822" s="450"/>
      <c r="F822" s="450"/>
      <c r="G822" s="450"/>
      <c r="H822" s="450"/>
      <c r="I822" s="450"/>
      <c r="J822" s="450"/>
      <c r="K822" s="434"/>
      <c r="M822" s="347"/>
      <c r="O822" s="347"/>
    </row>
    <row r="823" spans="2:18" ht="36" customHeight="1" x14ac:dyDescent="0.5">
      <c r="C823" s="354"/>
      <c r="D823" s="456" t="s">
        <v>351</v>
      </c>
      <c r="E823" s="450"/>
      <c r="F823" s="450"/>
      <c r="G823" s="450"/>
      <c r="H823" s="450"/>
      <c r="I823" s="450"/>
      <c r="J823" s="450"/>
      <c r="K823" s="434"/>
      <c r="M823" s="347"/>
      <c r="O823" s="347"/>
    </row>
    <row r="824" spans="2:18" ht="36" customHeight="1" x14ac:dyDescent="0.5">
      <c r="C824" s="354"/>
      <c r="D824" s="456" t="str">
        <f>Criteria!E20</f>
        <v>28 FEBRUARY 2025</v>
      </c>
      <c r="E824" s="450"/>
      <c r="F824" s="450"/>
      <c r="G824" s="450"/>
      <c r="H824" s="450"/>
      <c r="I824" s="450"/>
      <c r="J824" s="450" t="s">
        <v>231</v>
      </c>
      <c r="K824" s="434"/>
      <c r="M824" s="347"/>
      <c r="O824" s="347"/>
    </row>
    <row r="825" spans="2:18" ht="36" customHeight="1" x14ac:dyDescent="0.5">
      <c r="C825" s="354"/>
      <c r="D825" s="450"/>
      <c r="E825" s="450"/>
      <c r="F825" s="450"/>
      <c r="G825" s="450"/>
      <c r="H825" s="450"/>
      <c r="I825" s="450"/>
      <c r="J825" s="450"/>
      <c r="K825" s="434"/>
      <c r="M825" s="347"/>
      <c r="O825" s="347"/>
    </row>
    <row r="826" spans="2:18" ht="36" customHeight="1" x14ac:dyDescent="0.5">
      <c r="B826" s="364"/>
      <c r="C826" s="368"/>
      <c r="D826" s="460"/>
      <c r="E826" s="460"/>
      <c r="F826" s="460"/>
      <c r="G826" s="460"/>
      <c r="H826" s="460"/>
      <c r="I826" s="460"/>
      <c r="J826" s="460"/>
      <c r="K826" s="444"/>
      <c r="L826" s="364"/>
      <c r="M826" s="367"/>
      <c r="N826" s="367"/>
      <c r="O826" s="367"/>
      <c r="P826" s="367"/>
      <c r="Q826" s="364"/>
    </row>
    <row r="827" spans="2:18" ht="36" customHeight="1" x14ac:dyDescent="0.5">
      <c r="B827" s="316"/>
      <c r="C827" s="354">
        <f>MAX(C$602:C826)+0.1</f>
        <v>1.9000000000000008</v>
      </c>
      <c r="D827" s="456" t="s">
        <v>1062</v>
      </c>
      <c r="E827" s="450"/>
      <c r="F827" s="450"/>
      <c r="G827" s="450"/>
      <c r="H827" s="450"/>
      <c r="I827" s="450"/>
      <c r="J827" s="450"/>
      <c r="K827" s="434"/>
      <c r="M827" s="347"/>
      <c r="O827" s="347"/>
    </row>
    <row r="828" spans="2:18" ht="36" customHeight="1" x14ac:dyDescent="0.5">
      <c r="B828" s="316"/>
      <c r="C828" s="354"/>
      <c r="D828" s="456"/>
      <c r="E828" s="450"/>
      <c r="F828" s="450"/>
      <c r="G828" s="450"/>
      <c r="H828" s="450"/>
      <c r="I828" s="450"/>
      <c r="J828" s="450"/>
      <c r="K828" s="434"/>
      <c r="M828" s="347"/>
      <c r="O828" s="347"/>
    </row>
    <row r="829" spans="2:18" ht="36" customHeight="1" x14ac:dyDescent="0.5">
      <c r="B829" s="316"/>
      <c r="C829" s="369"/>
      <c r="D829" s="462" t="s">
        <v>764</v>
      </c>
      <c r="E829" s="450"/>
      <c r="F829" s="450"/>
      <c r="G829" s="450"/>
      <c r="H829" s="450"/>
      <c r="I829" s="450"/>
      <c r="J829" s="450"/>
      <c r="K829" s="434"/>
      <c r="M829" s="347"/>
      <c r="O829" s="347"/>
    </row>
    <row r="830" spans="2:18" ht="36" customHeight="1" x14ac:dyDescent="0.5">
      <c r="B830" s="316"/>
      <c r="C830" s="369"/>
      <c r="D830" s="450" t="s">
        <v>1189</v>
      </c>
      <c r="E830" s="450"/>
      <c r="F830" s="450"/>
      <c r="G830" s="450"/>
      <c r="H830" s="450"/>
      <c r="I830" s="450"/>
      <c r="J830" s="450"/>
      <c r="K830" s="434"/>
      <c r="M830" s="347"/>
      <c r="O830" s="347"/>
    </row>
    <row r="831" spans="2:18" ht="36" customHeight="1" x14ac:dyDescent="0.5">
      <c r="B831" s="316"/>
      <c r="C831" s="369"/>
      <c r="D831" s="450" t="s">
        <v>1190</v>
      </c>
      <c r="E831" s="450"/>
      <c r="F831" s="450"/>
      <c r="G831" s="450"/>
      <c r="H831" s="450"/>
      <c r="I831" s="450"/>
      <c r="J831" s="450"/>
      <c r="K831" s="434"/>
      <c r="M831" s="347"/>
      <c r="O831" s="347"/>
    </row>
    <row r="832" spans="2:18" ht="36" customHeight="1" x14ac:dyDescent="0.5">
      <c r="B832" s="316"/>
      <c r="C832" s="369"/>
      <c r="D832" s="450" t="s">
        <v>1191</v>
      </c>
      <c r="E832" s="450"/>
      <c r="F832" s="450"/>
      <c r="G832" s="450"/>
      <c r="H832" s="450"/>
      <c r="I832" s="450"/>
      <c r="J832" s="450"/>
      <c r="K832" s="434"/>
      <c r="M832" s="347"/>
      <c r="O832" s="347"/>
    </row>
    <row r="833" spans="2:18" ht="36" customHeight="1" x14ac:dyDescent="0.5">
      <c r="B833" s="316"/>
      <c r="C833" s="369"/>
      <c r="D833" s="450" t="s">
        <v>1192</v>
      </c>
      <c r="E833" s="450"/>
      <c r="F833" s="450"/>
      <c r="G833" s="450"/>
      <c r="H833" s="450"/>
      <c r="I833" s="450"/>
      <c r="J833" s="450"/>
      <c r="K833" s="434"/>
      <c r="M833" s="347"/>
      <c r="O833" s="347"/>
    </row>
    <row r="834" spans="2:18" ht="36" customHeight="1" x14ac:dyDescent="0.5">
      <c r="B834" s="316"/>
      <c r="C834" s="369"/>
      <c r="D834" s="450" t="s">
        <v>1194</v>
      </c>
      <c r="E834" s="450"/>
      <c r="F834" s="450"/>
      <c r="G834" s="450"/>
      <c r="H834" s="450"/>
      <c r="I834" s="450"/>
      <c r="J834" s="450"/>
      <c r="K834" s="434"/>
      <c r="M834" s="347"/>
      <c r="O834" s="347"/>
    </row>
    <row r="835" spans="2:18" ht="36" customHeight="1" x14ac:dyDescent="0.5">
      <c r="B835" s="316"/>
      <c r="C835" s="369"/>
      <c r="D835" s="450" t="s">
        <v>1193</v>
      </c>
      <c r="E835" s="450"/>
      <c r="F835" s="450"/>
      <c r="G835" s="450"/>
      <c r="H835" s="450"/>
      <c r="I835" s="450"/>
      <c r="J835" s="450"/>
      <c r="K835" s="434"/>
      <c r="M835" s="347"/>
      <c r="O835" s="347"/>
    </row>
    <row r="836" spans="2:18" ht="36" customHeight="1" x14ac:dyDescent="0.5">
      <c r="B836" s="316"/>
      <c r="C836" s="369"/>
      <c r="D836" s="450"/>
      <c r="E836" s="450"/>
      <c r="F836" s="450"/>
      <c r="G836" s="450"/>
      <c r="H836" s="450"/>
      <c r="I836" s="450"/>
      <c r="J836" s="450"/>
      <c r="K836" s="434"/>
      <c r="M836" s="347"/>
      <c r="O836" s="347"/>
    </row>
    <row r="837" spans="2:18" ht="36" customHeight="1" x14ac:dyDescent="0.5">
      <c r="D837" s="450"/>
      <c r="E837" s="450"/>
      <c r="F837" s="450"/>
      <c r="G837" s="450"/>
      <c r="H837" s="450"/>
      <c r="I837" s="450"/>
      <c r="J837" s="450"/>
      <c r="K837" s="449"/>
      <c r="L837" s="292"/>
      <c r="M837" s="330"/>
      <c r="N837" s="330"/>
      <c r="O837" s="330"/>
      <c r="P837" s="330"/>
    </row>
    <row r="838" spans="2:18" ht="36" customHeight="1" x14ac:dyDescent="0.5">
      <c r="C838" s="354"/>
      <c r="D838" s="450"/>
      <c r="E838" s="450"/>
      <c r="F838" s="450"/>
      <c r="G838" s="450"/>
      <c r="H838" s="450"/>
      <c r="I838" s="450"/>
      <c r="J838" s="450"/>
      <c r="K838" s="434"/>
      <c r="M838" s="347"/>
      <c r="O838" s="347"/>
    </row>
    <row r="839" spans="2:18" ht="36" customHeight="1" x14ac:dyDescent="0.5">
      <c r="C839" s="354"/>
      <c r="D839" s="450"/>
      <c r="E839" s="450"/>
      <c r="F839" s="450"/>
      <c r="G839" s="450"/>
      <c r="H839" s="450"/>
      <c r="I839" s="450"/>
      <c r="J839" s="450"/>
      <c r="K839" s="434"/>
      <c r="M839" s="347"/>
      <c r="O839" s="295" t="s">
        <v>89</v>
      </c>
      <c r="Q839" s="292">
        <f>MAX($Q$105:Q838)+1</f>
        <v>23</v>
      </c>
    </row>
    <row r="840" spans="2:18" ht="36" customHeight="1" x14ac:dyDescent="0.5">
      <c r="C840" s="354"/>
      <c r="D840" s="456" t="str">
        <f>Criteria!E9</f>
        <v>HOLDING COMPANY 268 (PROPRIETARY) LIMITED</v>
      </c>
      <c r="E840" s="450"/>
      <c r="F840" s="450"/>
      <c r="G840" s="450"/>
      <c r="H840" s="450"/>
      <c r="I840" s="450"/>
      <c r="J840" s="450"/>
      <c r="K840" s="434"/>
      <c r="M840" s="347"/>
      <c r="O840" s="347"/>
    </row>
    <row r="841" spans="2:18" ht="36" customHeight="1" x14ac:dyDescent="0.5">
      <c r="C841" s="354"/>
      <c r="D841" s="456" t="str">
        <f>Criteria!E10</f>
        <v>CONSOLIDATED FINANCIAL STATEMENTS</v>
      </c>
      <c r="E841" s="450"/>
      <c r="F841" s="450"/>
      <c r="G841" s="450"/>
      <c r="H841" s="450"/>
      <c r="I841" s="450"/>
      <c r="J841" s="450"/>
      <c r="K841" s="434"/>
      <c r="M841" s="347"/>
      <c r="O841" s="347"/>
      <c r="R841" s="348" t="str">
        <f>IF(D841=0,"DELETE"," ")</f>
        <v xml:space="preserve"> </v>
      </c>
    </row>
    <row r="842" spans="2:18" ht="36" customHeight="1" x14ac:dyDescent="0.5">
      <c r="C842" s="354"/>
      <c r="D842" s="450"/>
      <c r="E842" s="450"/>
      <c r="F842" s="450"/>
      <c r="G842" s="450"/>
      <c r="H842" s="450"/>
      <c r="I842" s="450"/>
      <c r="J842" s="450"/>
      <c r="K842" s="434"/>
      <c r="M842" s="347"/>
      <c r="O842" s="347"/>
    </row>
    <row r="843" spans="2:18" ht="36" customHeight="1" x14ac:dyDescent="0.5">
      <c r="C843" s="354"/>
      <c r="D843" s="456" t="s">
        <v>351</v>
      </c>
      <c r="E843" s="450"/>
      <c r="F843" s="450"/>
      <c r="G843" s="450"/>
      <c r="H843" s="450"/>
      <c r="I843" s="450"/>
      <c r="J843" s="450"/>
      <c r="K843" s="434"/>
      <c r="M843" s="347"/>
      <c r="O843" s="347"/>
    </row>
    <row r="844" spans="2:18" ht="36" customHeight="1" x14ac:dyDescent="0.5">
      <c r="C844" s="354"/>
      <c r="D844" s="456" t="str">
        <f>Criteria!E20</f>
        <v>28 FEBRUARY 2025</v>
      </c>
      <c r="E844" s="450"/>
      <c r="F844" s="450"/>
      <c r="G844" s="450"/>
      <c r="H844" s="450"/>
      <c r="I844" s="450"/>
      <c r="J844" s="450" t="s">
        <v>231</v>
      </c>
      <c r="K844" s="434"/>
      <c r="M844" s="347"/>
      <c r="O844" s="347"/>
    </row>
    <row r="845" spans="2:18" ht="36" customHeight="1" x14ac:dyDescent="0.5">
      <c r="C845" s="354"/>
      <c r="D845" s="450"/>
      <c r="E845" s="450"/>
      <c r="F845" s="450"/>
      <c r="G845" s="450"/>
      <c r="H845" s="450"/>
      <c r="I845" s="450"/>
      <c r="J845" s="450"/>
      <c r="K845" s="434"/>
      <c r="M845" s="347"/>
      <c r="O845" s="347"/>
    </row>
    <row r="846" spans="2:18" ht="36" customHeight="1" x14ac:dyDescent="0.5">
      <c r="B846" s="364"/>
      <c r="C846" s="368"/>
      <c r="D846" s="460"/>
      <c r="E846" s="460"/>
      <c r="F846" s="460"/>
      <c r="G846" s="460"/>
      <c r="H846" s="460"/>
      <c r="I846" s="460"/>
      <c r="J846" s="460"/>
      <c r="K846" s="444"/>
      <c r="L846" s="364"/>
      <c r="M846" s="367"/>
      <c r="N846" s="367"/>
      <c r="O846" s="367"/>
      <c r="P846" s="367"/>
      <c r="Q846" s="364"/>
    </row>
    <row r="847" spans="2:18" ht="36" customHeight="1" x14ac:dyDescent="0.5">
      <c r="B847" s="316"/>
      <c r="C847" s="369"/>
      <c r="D847" s="462" t="s">
        <v>873</v>
      </c>
      <c r="E847" s="450"/>
      <c r="F847" s="450"/>
      <c r="G847" s="450"/>
      <c r="H847" s="450"/>
      <c r="I847" s="450"/>
      <c r="J847" s="450"/>
      <c r="K847" s="434"/>
      <c r="M847" s="347"/>
      <c r="O847" s="347"/>
    </row>
    <row r="848" spans="2:18" ht="36" customHeight="1" x14ac:dyDescent="0.5">
      <c r="B848" s="316"/>
      <c r="C848" s="369"/>
      <c r="D848" s="450" t="s">
        <v>1097</v>
      </c>
      <c r="E848" s="450"/>
      <c r="F848" s="450"/>
      <c r="G848" s="450"/>
      <c r="H848" s="450"/>
      <c r="I848" s="450"/>
      <c r="J848" s="450"/>
      <c r="K848" s="434"/>
      <c r="M848" s="347"/>
      <c r="O848" s="347"/>
    </row>
    <row r="849" spans="2:18" ht="36" customHeight="1" x14ac:dyDescent="0.5">
      <c r="B849" s="316"/>
      <c r="C849" s="369"/>
      <c r="D849" s="450" t="s">
        <v>1195</v>
      </c>
      <c r="E849" s="450"/>
      <c r="F849" s="450"/>
      <c r="G849" s="450"/>
      <c r="H849" s="450"/>
      <c r="I849" s="450"/>
      <c r="J849" s="450"/>
      <c r="K849" s="434"/>
      <c r="M849" s="347"/>
      <c r="O849" s="347"/>
    </row>
    <row r="850" spans="2:18" ht="36" customHeight="1" x14ac:dyDescent="0.5">
      <c r="B850" s="316"/>
      <c r="C850" s="369"/>
      <c r="D850" s="450" t="s">
        <v>1196</v>
      </c>
      <c r="E850" s="450"/>
      <c r="F850" s="450"/>
      <c r="G850" s="450"/>
      <c r="H850" s="450"/>
      <c r="I850" s="450"/>
      <c r="J850" s="450"/>
      <c r="K850" s="434"/>
      <c r="M850" s="347"/>
      <c r="O850" s="347"/>
    </row>
    <row r="851" spans="2:18" ht="36" customHeight="1" x14ac:dyDescent="0.5">
      <c r="B851" s="316"/>
      <c r="C851" s="369"/>
      <c r="D851" s="450" t="s">
        <v>1197</v>
      </c>
      <c r="E851" s="450"/>
      <c r="F851" s="450"/>
      <c r="G851" s="450"/>
      <c r="H851" s="450"/>
      <c r="I851" s="450"/>
      <c r="J851" s="450"/>
      <c r="K851" s="434"/>
      <c r="M851" s="347"/>
      <c r="O851" s="347"/>
    </row>
    <row r="852" spans="2:18" ht="36" customHeight="1" x14ac:dyDescent="0.5">
      <c r="B852" s="316"/>
      <c r="C852" s="369"/>
      <c r="D852" s="450" t="s">
        <v>1198</v>
      </c>
      <c r="E852" s="450"/>
      <c r="F852" s="450"/>
      <c r="G852" s="450"/>
      <c r="H852" s="450"/>
      <c r="I852" s="450"/>
      <c r="J852" s="450"/>
      <c r="K852" s="434"/>
      <c r="M852" s="347"/>
      <c r="O852" s="347"/>
    </row>
    <row r="853" spans="2:18" ht="36" customHeight="1" x14ac:dyDescent="0.5">
      <c r="B853" s="316"/>
      <c r="C853" s="369"/>
      <c r="D853" s="450" t="s">
        <v>1199</v>
      </c>
      <c r="E853" s="450"/>
      <c r="F853" s="450"/>
      <c r="G853" s="450"/>
      <c r="H853" s="450"/>
      <c r="I853" s="450"/>
      <c r="J853" s="450"/>
      <c r="K853" s="434"/>
      <c r="M853" s="347"/>
      <c r="O853" s="347"/>
    </row>
    <row r="854" spans="2:18" ht="36" customHeight="1" x14ac:dyDescent="0.5">
      <c r="B854" s="316"/>
      <c r="C854" s="369"/>
      <c r="D854" s="450" t="s">
        <v>1200</v>
      </c>
      <c r="E854" s="450"/>
      <c r="F854" s="450"/>
      <c r="G854" s="450"/>
      <c r="H854" s="450"/>
      <c r="I854" s="450"/>
      <c r="J854" s="450"/>
      <c r="K854" s="434"/>
      <c r="M854" s="347"/>
      <c r="O854" s="347"/>
    </row>
    <row r="855" spans="2:18" ht="36" customHeight="1" x14ac:dyDescent="0.5">
      <c r="B855" s="316"/>
      <c r="C855" s="369"/>
      <c r="D855" s="450" t="s">
        <v>1202</v>
      </c>
      <c r="E855" s="450"/>
      <c r="F855" s="450"/>
      <c r="G855" s="450"/>
      <c r="H855" s="450"/>
      <c r="I855" s="450"/>
      <c r="J855" s="450"/>
      <c r="K855" s="434"/>
      <c r="M855" s="347"/>
      <c r="O855" s="347"/>
    </row>
    <row r="856" spans="2:18" ht="36" customHeight="1" x14ac:dyDescent="0.5">
      <c r="B856" s="316"/>
      <c r="C856" s="369"/>
      <c r="D856" s="450" t="s">
        <v>1201</v>
      </c>
      <c r="E856" s="450"/>
      <c r="F856" s="450"/>
      <c r="G856" s="450"/>
      <c r="H856" s="450"/>
      <c r="I856" s="450"/>
      <c r="J856" s="450"/>
      <c r="K856" s="434"/>
      <c r="M856" s="347"/>
      <c r="O856" s="347"/>
    </row>
    <row r="857" spans="2:18" ht="36" customHeight="1" x14ac:dyDescent="0.5">
      <c r="B857" s="316"/>
      <c r="C857" s="369"/>
      <c r="D857" s="450"/>
      <c r="E857" s="450"/>
      <c r="F857" s="450"/>
      <c r="G857" s="450"/>
      <c r="H857" s="450"/>
      <c r="I857" s="450"/>
      <c r="J857" s="450"/>
      <c r="K857" s="434"/>
      <c r="M857" s="347"/>
      <c r="O857" s="347"/>
    </row>
    <row r="858" spans="2:18" ht="36" customHeight="1" x14ac:dyDescent="0.5">
      <c r="D858" s="450"/>
      <c r="E858" s="450"/>
      <c r="F858" s="450"/>
      <c r="G858" s="450"/>
      <c r="H858" s="450"/>
      <c r="I858" s="450"/>
      <c r="J858" s="450"/>
      <c r="K858" s="449"/>
      <c r="L858" s="292"/>
      <c r="M858" s="330"/>
      <c r="N858" s="330"/>
      <c r="O858" s="330"/>
      <c r="P858" s="330"/>
    </row>
    <row r="859" spans="2:18" ht="36" customHeight="1" x14ac:dyDescent="0.5">
      <c r="C859" s="354"/>
      <c r="D859" s="450"/>
      <c r="E859" s="450"/>
      <c r="F859" s="450"/>
      <c r="G859" s="450"/>
      <c r="H859" s="450"/>
      <c r="I859" s="450"/>
      <c r="J859" s="450"/>
      <c r="K859" s="434"/>
      <c r="M859" s="347"/>
      <c r="O859" s="347"/>
    </row>
    <row r="860" spans="2:18" ht="36" customHeight="1" x14ac:dyDescent="0.5">
      <c r="C860" s="354"/>
      <c r="D860" s="450"/>
      <c r="E860" s="450"/>
      <c r="F860" s="450"/>
      <c r="G860" s="450"/>
      <c r="H860" s="450"/>
      <c r="I860" s="450"/>
      <c r="J860" s="450"/>
      <c r="K860" s="434"/>
      <c r="M860" s="347"/>
      <c r="O860" s="295" t="s">
        <v>89</v>
      </c>
      <c r="Q860" s="292">
        <f>MAX($Q$105:Q859)+1</f>
        <v>24</v>
      </c>
    </row>
    <row r="861" spans="2:18" ht="36" customHeight="1" x14ac:dyDescent="0.5">
      <c r="C861" s="354"/>
      <c r="D861" s="456" t="str">
        <f>Criteria!E9</f>
        <v>HOLDING COMPANY 268 (PROPRIETARY) LIMITED</v>
      </c>
      <c r="E861" s="450"/>
      <c r="F861" s="450"/>
      <c r="G861" s="450"/>
      <c r="H861" s="450"/>
      <c r="I861" s="450"/>
      <c r="J861" s="450"/>
      <c r="K861" s="434"/>
      <c r="M861" s="347"/>
      <c r="O861" s="347"/>
    </row>
    <row r="862" spans="2:18" ht="36" customHeight="1" x14ac:dyDescent="0.5">
      <c r="C862" s="354"/>
      <c r="D862" s="456" t="str">
        <f>Criteria!E10</f>
        <v>CONSOLIDATED FINANCIAL STATEMENTS</v>
      </c>
      <c r="E862" s="450"/>
      <c r="F862" s="450"/>
      <c r="G862" s="450"/>
      <c r="H862" s="450"/>
      <c r="I862" s="450"/>
      <c r="J862" s="450"/>
      <c r="K862" s="434"/>
      <c r="M862" s="347"/>
      <c r="O862" s="347"/>
      <c r="R862" s="348" t="str">
        <f>IF(D862=0,"DELETE"," ")</f>
        <v xml:space="preserve"> </v>
      </c>
    </row>
    <row r="863" spans="2:18" ht="36" customHeight="1" x14ac:dyDescent="0.5">
      <c r="C863" s="354"/>
      <c r="D863" s="450"/>
      <c r="E863" s="450"/>
      <c r="F863" s="450"/>
      <c r="G863" s="450"/>
      <c r="H863" s="450"/>
      <c r="I863" s="450"/>
      <c r="J863" s="450"/>
      <c r="K863" s="434"/>
      <c r="M863" s="347"/>
      <c r="O863" s="347"/>
    </row>
    <row r="864" spans="2:18" ht="36" customHeight="1" x14ac:dyDescent="0.5">
      <c r="C864" s="354"/>
      <c r="D864" s="456" t="s">
        <v>351</v>
      </c>
      <c r="E864" s="450"/>
      <c r="F864" s="450"/>
      <c r="G864" s="450"/>
      <c r="H864" s="450"/>
      <c r="I864" s="450"/>
      <c r="J864" s="450"/>
      <c r="K864" s="434"/>
      <c r="M864" s="347"/>
      <c r="O864" s="347"/>
    </row>
    <row r="865" spans="2:18" ht="36" customHeight="1" x14ac:dyDescent="0.5">
      <c r="C865" s="354"/>
      <c r="D865" s="456" t="str">
        <f>Criteria!E20</f>
        <v>28 FEBRUARY 2025</v>
      </c>
      <c r="E865" s="450"/>
      <c r="F865" s="450"/>
      <c r="G865" s="450"/>
      <c r="H865" s="450"/>
      <c r="I865" s="450"/>
      <c r="J865" s="450" t="s">
        <v>231</v>
      </c>
      <c r="K865" s="434"/>
      <c r="M865" s="347"/>
      <c r="O865" s="347"/>
    </row>
    <row r="866" spans="2:18" ht="36" customHeight="1" x14ac:dyDescent="0.5">
      <c r="C866" s="354"/>
      <c r="D866" s="450"/>
      <c r="E866" s="450"/>
      <c r="F866" s="450"/>
      <c r="G866" s="450"/>
      <c r="H866" s="450"/>
      <c r="I866" s="450"/>
      <c r="J866" s="450"/>
      <c r="K866" s="434"/>
      <c r="M866" s="347"/>
      <c r="O866" s="347"/>
    </row>
    <row r="867" spans="2:18" ht="36" customHeight="1" x14ac:dyDescent="0.5">
      <c r="B867" s="364"/>
      <c r="C867" s="368"/>
      <c r="D867" s="460"/>
      <c r="E867" s="460"/>
      <c r="F867" s="460"/>
      <c r="G867" s="460"/>
      <c r="H867" s="460"/>
      <c r="I867" s="460"/>
      <c r="J867" s="460"/>
      <c r="K867" s="444"/>
      <c r="L867" s="364"/>
      <c r="M867" s="367"/>
      <c r="N867" s="367"/>
      <c r="O867" s="367"/>
      <c r="P867" s="367"/>
      <c r="Q867" s="364"/>
    </row>
    <row r="868" spans="2:18" ht="36" customHeight="1" x14ac:dyDescent="0.5">
      <c r="B868" s="316">
        <f>MAX(B$602:B867)+1</f>
        <v>2</v>
      </c>
      <c r="C868" s="456" t="s">
        <v>1063</v>
      </c>
      <c r="D868" s="459"/>
      <c r="E868" s="450"/>
      <c r="F868" s="450"/>
      <c r="G868" s="450"/>
      <c r="H868" s="450"/>
      <c r="I868" s="450"/>
      <c r="J868" s="450"/>
      <c r="M868" s="347"/>
      <c r="O868" s="347"/>
    </row>
    <row r="869" spans="2:18" ht="36" customHeight="1" x14ac:dyDescent="0.5">
      <c r="B869" s="316"/>
      <c r="C869" s="456"/>
      <c r="D869" s="459"/>
      <c r="E869" s="450"/>
      <c r="F869" s="450"/>
      <c r="G869" s="450"/>
      <c r="H869" s="450"/>
      <c r="I869" s="450"/>
      <c r="J869" s="450"/>
      <c r="M869" s="347"/>
      <c r="O869" s="347"/>
    </row>
    <row r="870" spans="2:18" ht="36" customHeight="1" x14ac:dyDescent="0.5">
      <c r="B870" s="316"/>
      <c r="C870" s="450" t="s">
        <v>875</v>
      </c>
      <c r="D870" s="459"/>
      <c r="E870" s="450"/>
      <c r="F870" s="450"/>
      <c r="G870" s="450"/>
      <c r="H870" s="450"/>
      <c r="I870" s="450"/>
      <c r="J870" s="450"/>
      <c r="M870" s="347"/>
      <c r="O870" s="347"/>
    </row>
    <row r="871" spans="2:18" ht="36" customHeight="1" x14ac:dyDescent="0.5">
      <c r="B871" s="316"/>
      <c r="C871" s="456"/>
      <c r="D871" s="450"/>
      <c r="E871" s="450"/>
      <c r="F871" s="450"/>
      <c r="G871" s="450"/>
      <c r="H871" s="450"/>
      <c r="I871" s="450"/>
      <c r="J871" s="450"/>
      <c r="M871" s="347"/>
      <c r="O871" s="347"/>
    </row>
    <row r="872" spans="2:18" ht="36" customHeight="1" x14ac:dyDescent="0.5">
      <c r="B872" s="316"/>
      <c r="C872" s="456"/>
      <c r="D872" s="450"/>
      <c r="E872" s="450"/>
      <c r="F872" s="450"/>
      <c r="G872" s="450"/>
      <c r="H872" s="450"/>
      <c r="I872" s="450"/>
      <c r="J872" s="450"/>
      <c r="M872" s="347"/>
      <c r="O872" s="347"/>
    </row>
    <row r="873" spans="2:18" ht="36" customHeight="1" x14ac:dyDescent="0.5">
      <c r="B873" s="354"/>
      <c r="C873" s="456"/>
      <c r="D873" s="450"/>
      <c r="E873" s="450"/>
      <c r="F873" s="450"/>
      <c r="G873" s="450"/>
      <c r="H873" s="450"/>
      <c r="I873" s="450"/>
      <c r="J873" s="450"/>
      <c r="M873" s="356"/>
      <c r="N873" s="356"/>
      <c r="O873" s="356"/>
      <c r="P873" s="356"/>
    </row>
    <row r="874" spans="2:18" ht="36" customHeight="1" x14ac:dyDescent="0.5">
      <c r="B874" s="354"/>
      <c r="C874" s="456"/>
      <c r="D874" s="450"/>
      <c r="E874" s="450"/>
      <c r="F874" s="450"/>
      <c r="G874" s="450"/>
      <c r="H874" s="450"/>
      <c r="I874" s="450"/>
      <c r="J874" s="450"/>
      <c r="M874" s="347"/>
      <c r="O874" s="347"/>
    </row>
    <row r="875" spans="2:18" ht="36" customHeight="1" x14ac:dyDescent="0.5">
      <c r="B875" s="354"/>
      <c r="C875" s="450"/>
      <c r="D875" s="450"/>
      <c r="E875" s="450"/>
      <c r="F875" s="450"/>
      <c r="G875" s="450"/>
      <c r="H875" s="450"/>
      <c r="I875" s="450"/>
      <c r="J875" s="450"/>
      <c r="M875" s="347"/>
      <c r="O875" s="295" t="s">
        <v>89</v>
      </c>
      <c r="Q875" s="292">
        <f>MAX($Q$105:Q874)+1</f>
        <v>25</v>
      </c>
    </row>
    <row r="876" spans="2:18" ht="36" customHeight="1" x14ac:dyDescent="0.5">
      <c r="B876" s="354"/>
      <c r="C876" s="450"/>
      <c r="D876" s="456" t="str">
        <f>Criteria!E9</f>
        <v>HOLDING COMPANY 268 (PROPRIETARY) LIMITED</v>
      </c>
      <c r="E876" s="450"/>
      <c r="F876" s="450"/>
      <c r="G876" s="450"/>
      <c r="H876" s="450"/>
      <c r="I876" s="450"/>
      <c r="J876" s="450"/>
      <c r="M876" s="347"/>
      <c r="O876" s="347"/>
    </row>
    <row r="877" spans="2:18" ht="36" customHeight="1" x14ac:dyDescent="0.5">
      <c r="B877" s="354"/>
      <c r="C877" s="450"/>
      <c r="D877" s="456" t="str">
        <f>Criteria!E10</f>
        <v>CONSOLIDATED FINANCIAL STATEMENTS</v>
      </c>
      <c r="E877" s="450"/>
      <c r="F877" s="450"/>
      <c r="G877" s="450"/>
      <c r="H877" s="450"/>
      <c r="I877" s="450"/>
      <c r="J877" s="450"/>
      <c r="M877" s="347"/>
      <c r="O877" s="347"/>
      <c r="R877" s="348" t="str">
        <f>IF(D877=0,"DELETE"," ")</f>
        <v xml:space="preserve"> </v>
      </c>
    </row>
    <row r="878" spans="2:18" ht="36" customHeight="1" x14ac:dyDescent="0.5">
      <c r="B878" s="354"/>
      <c r="C878" s="450"/>
      <c r="D878" s="450"/>
      <c r="E878" s="450"/>
      <c r="F878" s="450"/>
      <c r="G878" s="450"/>
      <c r="H878" s="450"/>
      <c r="I878" s="450"/>
      <c r="J878" s="450"/>
      <c r="M878" s="347"/>
      <c r="O878" s="347"/>
    </row>
    <row r="879" spans="2:18" ht="36" customHeight="1" x14ac:dyDescent="0.5">
      <c r="B879" s="354"/>
      <c r="C879" s="450"/>
      <c r="D879" s="456" t="s">
        <v>351</v>
      </c>
      <c r="E879" s="450"/>
      <c r="F879" s="450"/>
      <c r="G879" s="450"/>
      <c r="H879" s="450"/>
      <c r="I879" s="450"/>
      <c r="J879" s="450"/>
      <c r="M879" s="347"/>
      <c r="O879" s="347"/>
    </row>
    <row r="880" spans="2:18" ht="36" customHeight="1" x14ac:dyDescent="0.5">
      <c r="B880" s="354"/>
      <c r="C880" s="450"/>
      <c r="D880" s="456" t="str">
        <f>Criteria!E20</f>
        <v>28 FEBRUARY 2025</v>
      </c>
      <c r="E880" s="450"/>
      <c r="F880" s="450"/>
      <c r="G880" s="450"/>
      <c r="H880" s="450"/>
      <c r="I880" s="450"/>
      <c r="J880" s="450" t="s">
        <v>231</v>
      </c>
      <c r="M880" s="347"/>
      <c r="O880" s="347"/>
    </row>
    <row r="881" spans="2:18" ht="36" customHeight="1" x14ac:dyDescent="0.5">
      <c r="B881" s="354"/>
      <c r="C881" s="450"/>
      <c r="D881" s="456"/>
      <c r="E881" s="450"/>
      <c r="F881" s="450"/>
      <c r="G881" s="450"/>
      <c r="H881" s="450"/>
      <c r="I881" s="450"/>
      <c r="J881" s="450"/>
      <c r="M881" s="347"/>
      <c r="O881" s="347"/>
    </row>
    <row r="882" spans="2:18" ht="36" customHeight="1" x14ac:dyDescent="0.5">
      <c r="B882" s="368"/>
      <c r="C882" s="460"/>
      <c r="D882" s="465"/>
      <c r="E882" s="460"/>
      <c r="F882" s="460"/>
      <c r="G882" s="460"/>
      <c r="H882" s="460"/>
      <c r="I882" s="460"/>
      <c r="J882" s="460"/>
      <c r="K882" s="364"/>
      <c r="L882" s="364"/>
      <c r="M882" s="367"/>
      <c r="N882" s="367"/>
      <c r="O882" s="367"/>
      <c r="P882" s="367"/>
      <c r="Q882" s="364"/>
    </row>
    <row r="883" spans="2:18" ht="36" customHeight="1" x14ac:dyDescent="0.5">
      <c r="B883" s="354"/>
      <c r="C883" s="450"/>
      <c r="D883" s="456"/>
      <c r="E883" s="450"/>
      <c r="F883" s="450"/>
      <c r="G883" s="450"/>
      <c r="H883" s="450"/>
      <c r="I883" s="450"/>
      <c r="J883" s="450"/>
      <c r="M883" s="356"/>
      <c r="N883" s="356"/>
      <c r="O883" s="294">
        <f>Criteria!E22</f>
        <v>2025</v>
      </c>
      <c r="P883" s="356"/>
    </row>
    <row r="884" spans="2:18" ht="36" customHeight="1" x14ac:dyDescent="0.5">
      <c r="B884" s="354"/>
      <c r="C884" s="450"/>
      <c r="D884" s="456"/>
      <c r="E884" s="450"/>
      <c r="F884" s="450"/>
      <c r="G884" s="450"/>
      <c r="H884" s="450"/>
      <c r="I884" s="450"/>
      <c r="J884" s="450"/>
      <c r="M884" s="356"/>
      <c r="N884" s="356"/>
      <c r="O884" s="356"/>
      <c r="P884" s="356"/>
    </row>
    <row r="885" spans="2:18" ht="36" customHeight="1" x14ac:dyDescent="0.5">
      <c r="B885" s="316">
        <f>MAX(B$602:B884)+1</f>
        <v>3</v>
      </c>
      <c r="C885" s="456" t="s">
        <v>836</v>
      </c>
      <c r="D885" s="456"/>
      <c r="E885" s="450"/>
      <c r="F885" s="450"/>
      <c r="G885" s="450"/>
      <c r="H885" s="450"/>
      <c r="I885" s="450"/>
      <c r="J885" s="450"/>
      <c r="M885" s="356"/>
      <c r="N885" s="356"/>
      <c r="O885" s="356"/>
      <c r="P885" s="356"/>
    </row>
    <row r="886" spans="2:18" ht="36" customHeight="1" x14ac:dyDescent="0.5">
      <c r="B886" s="316"/>
      <c r="C886" s="456"/>
      <c r="D886" s="456"/>
      <c r="E886" s="450"/>
      <c r="F886" s="450"/>
      <c r="G886" s="450"/>
      <c r="H886" s="450"/>
      <c r="I886" s="450"/>
      <c r="J886" s="450"/>
      <c r="M886" s="356"/>
      <c r="N886" s="356"/>
      <c r="O886" s="356"/>
      <c r="P886" s="356"/>
    </row>
    <row r="887" spans="2:18" ht="36" customHeight="1" x14ac:dyDescent="0.5">
      <c r="B887" s="354"/>
      <c r="C887" s="450" t="str">
        <f>TrialBalance!C5</f>
        <v>Sale of goods</v>
      </c>
      <c r="D887" s="459"/>
      <c r="E887" s="450"/>
      <c r="F887" s="450"/>
      <c r="G887" s="450"/>
      <c r="H887" s="450"/>
      <c r="I887" s="450"/>
      <c r="J887" s="450"/>
      <c r="M887" s="356"/>
      <c r="N887" s="356"/>
      <c r="O887" s="371">
        <f>-TrialBalance!L5-TrialBalanceA!I5-TrialBalanceB!I5-TrialBalanceC!I5</f>
        <v>0</v>
      </c>
      <c r="P887" s="356"/>
      <c r="R887" s="348" t="str">
        <f>IF(O887=0,IF(SUM(O888:O893)&gt;0,"DELETE"," ")," ")</f>
        <v xml:space="preserve"> </v>
      </c>
    </row>
    <row r="888" spans="2:18" ht="36" customHeight="1" x14ac:dyDescent="0.5">
      <c r="B888" s="354"/>
      <c r="C888" s="450" t="str">
        <f>TrialBalance!C6</f>
        <v>Rendering of services</v>
      </c>
      <c r="D888" s="459"/>
      <c r="E888" s="450"/>
      <c r="F888" s="450"/>
      <c r="G888" s="450"/>
      <c r="H888" s="450"/>
      <c r="I888" s="450"/>
      <c r="J888" s="450"/>
      <c r="M888" s="356"/>
      <c r="N888" s="356"/>
      <c r="O888" s="371">
        <f>-TrialBalance!L6-TrialBalanceA!I6-TrialBalanceB!I6-TrialBalanceC!I6</f>
        <v>0</v>
      </c>
      <c r="P888" s="356"/>
      <c r="R888" s="348" t="str">
        <f>IF(O888=0,"DELETE"," ")</f>
        <v>DELETE</v>
      </c>
    </row>
    <row r="889" spans="2:18" ht="36" customHeight="1" x14ac:dyDescent="0.5">
      <c r="B889" s="354"/>
      <c r="C889" s="450" t="str">
        <f>TrialBalance!C7</f>
        <v>Commissions received</v>
      </c>
      <c r="D889" s="459"/>
      <c r="E889" s="450"/>
      <c r="F889" s="450"/>
      <c r="G889" s="450"/>
      <c r="H889" s="450"/>
      <c r="I889" s="450"/>
      <c r="J889" s="450"/>
      <c r="M889" s="356"/>
      <c r="N889" s="356"/>
      <c r="O889" s="371">
        <f>-TrialBalance!L7-TrialBalanceA!I7-TrialBalanceB!I7-TrialBalanceC!I7</f>
        <v>0</v>
      </c>
      <c r="P889" s="356"/>
      <c r="R889" s="348" t="str">
        <f t="shared" ref="R889:R893" si="19">IF(O889=0,"DELETE"," ")</f>
        <v>DELETE</v>
      </c>
    </row>
    <row r="890" spans="2:18" ht="36" customHeight="1" x14ac:dyDescent="0.5">
      <c r="B890" s="354"/>
      <c r="C890" s="450">
        <f>TrialBalance!C8</f>
        <v>0</v>
      </c>
      <c r="D890" s="459"/>
      <c r="E890" s="450"/>
      <c r="F890" s="450"/>
      <c r="G890" s="450"/>
      <c r="H890" s="450"/>
      <c r="I890" s="450"/>
      <c r="J890" s="450"/>
      <c r="M890" s="356"/>
      <c r="N890" s="356"/>
      <c r="O890" s="371">
        <f>-TrialBalance!L8-TrialBalanceA!I8-TrialBalanceB!I8-TrialBalanceC!I8</f>
        <v>0</v>
      </c>
      <c r="P890" s="356"/>
      <c r="R890" s="348" t="str">
        <f t="shared" si="19"/>
        <v>DELETE</v>
      </c>
    </row>
    <row r="891" spans="2:18" ht="36" customHeight="1" x14ac:dyDescent="0.5">
      <c r="B891" s="354"/>
      <c r="C891" s="450">
        <f>TrialBalance!C9</f>
        <v>0</v>
      </c>
      <c r="D891" s="459"/>
      <c r="E891" s="450"/>
      <c r="F891" s="450"/>
      <c r="G891" s="450"/>
      <c r="H891" s="450"/>
      <c r="I891" s="450"/>
      <c r="J891" s="450"/>
      <c r="M891" s="356"/>
      <c r="N891" s="356"/>
      <c r="O891" s="371">
        <f>-TrialBalance!L9-TrialBalanceA!I9-TrialBalanceB!I9-TrialBalanceC!I9</f>
        <v>0</v>
      </c>
      <c r="P891" s="356"/>
      <c r="R891" s="348" t="str">
        <f t="shared" si="19"/>
        <v>DELETE</v>
      </c>
    </row>
    <row r="892" spans="2:18" ht="36" customHeight="1" x14ac:dyDescent="0.5">
      <c r="B892" s="354"/>
      <c r="C892" s="450">
        <f>TrialBalance!C10</f>
        <v>0</v>
      </c>
      <c r="D892" s="459"/>
      <c r="E892" s="450"/>
      <c r="F892" s="450"/>
      <c r="G892" s="450"/>
      <c r="H892" s="450"/>
      <c r="I892" s="450"/>
      <c r="J892" s="450"/>
      <c r="M892" s="356"/>
      <c r="N892" s="356"/>
      <c r="O892" s="371">
        <f>-TrialBalance!L10-TrialBalanceA!I10-TrialBalanceB!I10-TrialBalanceC!I10</f>
        <v>0</v>
      </c>
      <c r="P892" s="356"/>
      <c r="R892" s="348" t="str">
        <f t="shared" si="19"/>
        <v>DELETE</v>
      </c>
    </row>
    <row r="893" spans="2:18" ht="36" customHeight="1" x14ac:dyDescent="0.5">
      <c r="B893" s="354"/>
      <c r="C893" s="450" t="str">
        <f>TrialBalance!C11</f>
        <v>Rent received</v>
      </c>
      <c r="D893" s="459"/>
      <c r="E893" s="450"/>
      <c r="F893" s="450"/>
      <c r="G893" s="450"/>
      <c r="H893" s="450"/>
      <c r="I893" s="450"/>
      <c r="J893" s="450"/>
      <c r="M893" s="356"/>
      <c r="N893" s="356"/>
      <c r="O893" s="371">
        <f>-TrialBalance!L11-TrialBalanceA!I11-TrialBalanceB!I11-TrialBalanceC!I11</f>
        <v>0</v>
      </c>
      <c r="P893" s="356"/>
      <c r="R893" s="348" t="str">
        <f t="shared" si="19"/>
        <v>DELETE</v>
      </c>
    </row>
    <row r="894" spans="2:18" ht="9" customHeight="1" x14ac:dyDescent="0.5">
      <c r="B894" s="354"/>
      <c r="C894" s="450"/>
      <c r="D894" s="456"/>
      <c r="E894" s="450"/>
      <c r="F894" s="450"/>
      <c r="G894" s="450"/>
      <c r="H894" s="450"/>
      <c r="I894" s="450"/>
      <c r="J894" s="450"/>
      <c r="M894" s="356"/>
      <c r="N894" s="356"/>
      <c r="O894" s="372"/>
      <c r="P894" s="356"/>
    </row>
    <row r="895" spans="2:18" ht="9" customHeight="1" x14ac:dyDescent="0.5">
      <c r="B895" s="354"/>
      <c r="C895" s="450"/>
      <c r="D895" s="456"/>
      <c r="E895" s="450"/>
      <c r="F895" s="450"/>
      <c r="G895" s="450"/>
      <c r="H895" s="450"/>
      <c r="I895" s="450"/>
      <c r="J895" s="450"/>
      <c r="M895" s="356"/>
      <c r="N895" s="356"/>
      <c r="O895" s="371"/>
      <c r="P895" s="356"/>
    </row>
    <row r="896" spans="2:18" ht="36.75" customHeight="1" x14ac:dyDescent="0.5">
      <c r="B896" s="354"/>
      <c r="C896" s="450"/>
      <c r="D896" s="456"/>
      <c r="E896" s="450"/>
      <c r="F896" s="450"/>
      <c r="G896" s="450"/>
      <c r="H896" s="450"/>
      <c r="I896" s="450"/>
      <c r="J896" s="450"/>
      <c r="M896" s="356"/>
      <c r="N896" s="356"/>
      <c r="O896" s="371">
        <f>SUM(O887:O895)</f>
        <v>0</v>
      </c>
      <c r="P896" s="356"/>
    </row>
    <row r="897" spans="2:18" ht="9" customHeight="1" thickBot="1" x14ac:dyDescent="0.55000000000000004">
      <c r="B897" s="354"/>
      <c r="C897" s="450"/>
      <c r="D897" s="456"/>
      <c r="E897" s="450"/>
      <c r="F897" s="450"/>
      <c r="G897" s="450"/>
      <c r="H897" s="450"/>
      <c r="I897" s="450"/>
      <c r="J897" s="450"/>
      <c r="M897" s="356"/>
      <c r="N897" s="356"/>
      <c r="O897" s="373"/>
      <c r="P897" s="356"/>
    </row>
    <row r="898" spans="2:18" ht="9" customHeight="1" thickTop="1" x14ac:dyDescent="0.5">
      <c r="B898" s="354"/>
      <c r="C898" s="450"/>
      <c r="D898" s="456"/>
      <c r="E898" s="450"/>
      <c r="F898" s="450"/>
      <c r="G898" s="450"/>
      <c r="H898" s="450"/>
      <c r="I898" s="450"/>
      <c r="J898" s="450"/>
      <c r="M898" s="356"/>
      <c r="N898" s="356"/>
      <c r="O898" s="371"/>
      <c r="P898" s="356"/>
    </row>
    <row r="899" spans="2:18" ht="36" customHeight="1" x14ac:dyDescent="0.5">
      <c r="B899" s="354"/>
      <c r="C899" s="450"/>
      <c r="D899" s="456"/>
      <c r="E899" s="450"/>
      <c r="F899" s="450"/>
      <c r="G899" s="450"/>
      <c r="H899" s="450"/>
      <c r="I899" s="450"/>
      <c r="J899" s="450"/>
      <c r="M899" s="356"/>
      <c r="N899" s="356"/>
      <c r="O899" s="356"/>
      <c r="P899" s="356"/>
    </row>
    <row r="900" spans="2:18" ht="36" customHeight="1" x14ac:dyDescent="0.5">
      <c r="B900" s="354"/>
      <c r="C900" s="450"/>
      <c r="D900" s="456"/>
      <c r="E900" s="450"/>
      <c r="F900" s="450"/>
      <c r="G900" s="450"/>
      <c r="H900" s="450"/>
      <c r="I900" s="450"/>
      <c r="J900" s="450"/>
      <c r="M900" s="356"/>
      <c r="N900" s="356"/>
      <c r="O900" s="356"/>
      <c r="P900" s="356"/>
    </row>
    <row r="901" spans="2:18" ht="36" customHeight="1" x14ac:dyDescent="0.5">
      <c r="B901" s="354"/>
      <c r="C901" s="456"/>
      <c r="D901" s="450"/>
      <c r="E901" s="450"/>
      <c r="F901" s="450"/>
      <c r="G901" s="450"/>
      <c r="H901" s="450"/>
      <c r="I901" s="450"/>
      <c r="J901" s="450"/>
      <c r="M901" s="356"/>
      <c r="N901" s="356"/>
      <c r="O901" s="356"/>
      <c r="P901" s="356"/>
    </row>
    <row r="902" spans="2:18" ht="36" customHeight="1" x14ac:dyDescent="0.5">
      <c r="B902" s="354"/>
      <c r="C902" s="456"/>
      <c r="D902" s="450"/>
      <c r="E902" s="450"/>
      <c r="F902" s="450"/>
      <c r="G902" s="450"/>
      <c r="H902" s="450"/>
      <c r="I902" s="450"/>
      <c r="J902" s="450"/>
      <c r="M902" s="347"/>
      <c r="O902" s="347"/>
    </row>
    <row r="903" spans="2:18" ht="36" customHeight="1" x14ac:dyDescent="0.5">
      <c r="B903" s="354"/>
      <c r="C903" s="450"/>
      <c r="D903" s="450"/>
      <c r="E903" s="450"/>
      <c r="F903" s="450"/>
      <c r="G903" s="450"/>
      <c r="H903" s="450"/>
      <c r="I903" s="450"/>
      <c r="J903" s="450"/>
      <c r="M903" s="347"/>
      <c r="O903" s="295" t="s">
        <v>89</v>
      </c>
      <c r="Q903" s="292">
        <f>MAX($Q$105:Q902)+1</f>
        <v>26</v>
      </c>
      <c r="R903" s="348" t="str">
        <f t="shared" ref="R903:R912" si="20">R$941</f>
        <v>DELETE</v>
      </c>
    </row>
    <row r="904" spans="2:18" ht="36" customHeight="1" x14ac:dyDescent="0.5">
      <c r="B904" s="354"/>
      <c r="C904" s="450"/>
      <c r="D904" s="456" t="str">
        <f>Criteria!E9</f>
        <v>HOLDING COMPANY 268 (PROPRIETARY) LIMITED</v>
      </c>
      <c r="E904" s="450"/>
      <c r="F904" s="450"/>
      <c r="G904" s="450"/>
      <c r="H904" s="450"/>
      <c r="I904" s="450"/>
      <c r="J904" s="450"/>
      <c r="M904" s="347"/>
      <c r="O904" s="347"/>
      <c r="R904" s="348" t="str">
        <f t="shared" si="20"/>
        <v>DELETE</v>
      </c>
    </row>
    <row r="905" spans="2:18" ht="36" customHeight="1" x14ac:dyDescent="0.5">
      <c r="B905" s="354"/>
      <c r="C905" s="450"/>
      <c r="D905" s="456" t="str">
        <f>Criteria!E10</f>
        <v>CONSOLIDATED FINANCIAL STATEMENTS</v>
      </c>
      <c r="E905" s="450"/>
      <c r="F905" s="450"/>
      <c r="G905" s="450"/>
      <c r="H905" s="450"/>
      <c r="I905" s="450"/>
      <c r="J905" s="450"/>
      <c r="M905" s="347"/>
      <c r="O905" s="347"/>
      <c r="R905" s="348" t="str">
        <f>IF(R$941="DELETE","DELETE",IF(D905=0,"DELETE"," "))</f>
        <v>DELETE</v>
      </c>
    </row>
    <row r="906" spans="2:18" ht="36" customHeight="1" x14ac:dyDescent="0.5">
      <c r="B906" s="354"/>
      <c r="C906" s="450"/>
      <c r="D906" s="450"/>
      <c r="E906" s="450"/>
      <c r="F906" s="450"/>
      <c r="G906" s="450"/>
      <c r="H906" s="450"/>
      <c r="I906" s="450"/>
      <c r="J906" s="450"/>
      <c r="M906" s="347"/>
      <c r="O906" s="347"/>
      <c r="R906" s="348" t="str">
        <f t="shared" si="20"/>
        <v>DELETE</v>
      </c>
    </row>
    <row r="907" spans="2:18" ht="36" customHeight="1" x14ac:dyDescent="0.5">
      <c r="B907" s="354"/>
      <c r="C907" s="450"/>
      <c r="D907" s="456" t="s">
        <v>351</v>
      </c>
      <c r="E907" s="450"/>
      <c r="F907" s="450"/>
      <c r="G907" s="450"/>
      <c r="H907" s="450"/>
      <c r="I907" s="450"/>
      <c r="J907" s="450"/>
      <c r="M907" s="347"/>
      <c r="O907" s="347"/>
      <c r="R907" s="348" t="str">
        <f t="shared" si="20"/>
        <v>DELETE</v>
      </c>
    </row>
    <row r="908" spans="2:18" ht="36" customHeight="1" x14ac:dyDescent="0.5">
      <c r="B908" s="354"/>
      <c r="C908" s="450"/>
      <c r="D908" s="456" t="str">
        <f>Criteria!E20</f>
        <v>28 FEBRUARY 2025</v>
      </c>
      <c r="E908" s="450"/>
      <c r="F908" s="450"/>
      <c r="G908" s="450"/>
      <c r="H908" s="450"/>
      <c r="I908" s="450"/>
      <c r="J908" s="450" t="s">
        <v>231</v>
      </c>
      <c r="M908" s="347"/>
      <c r="O908" s="347"/>
      <c r="R908" s="348" t="str">
        <f t="shared" si="20"/>
        <v>DELETE</v>
      </c>
    </row>
    <row r="909" spans="2:18" ht="36" customHeight="1" x14ac:dyDescent="0.5">
      <c r="B909" s="354"/>
      <c r="C909" s="450"/>
      <c r="D909" s="456"/>
      <c r="E909" s="450"/>
      <c r="F909" s="450"/>
      <c r="G909" s="450"/>
      <c r="H909" s="450"/>
      <c r="I909" s="450"/>
      <c r="J909" s="450"/>
      <c r="M909" s="347"/>
      <c r="O909" s="347"/>
      <c r="R909" s="348" t="str">
        <f t="shared" si="20"/>
        <v>DELETE</v>
      </c>
    </row>
    <row r="910" spans="2:18" ht="36" customHeight="1" x14ac:dyDescent="0.5">
      <c r="B910" s="368"/>
      <c r="C910" s="460"/>
      <c r="D910" s="465"/>
      <c r="E910" s="460"/>
      <c r="F910" s="460"/>
      <c r="G910" s="460"/>
      <c r="H910" s="460"/>
      <c r="I910" s="460"/>
      <c r="J910" s="460"/>
      <c r="K910" s="364"/>
      <c r="L910" s="364"/>
      <c r="M910" s="367"/>
      <c r="N910" s="367"/>
      <c r="O910" s="367"/>
      <c r="P910" s="367"/>
      <c r="Q910" s="364"/>
      <c r="R910" s="348" t="str">
        <f t="shared" si="20"/>
        <v>DELETE</v>
      </c>
    </row>
    <row r="911" spans="2:18" ht="36" customHeight="1" x14ac:dyDescent="0.5">
      <c r="B911" s="354"/>
      <c r="C911" s="450"/>
      <c r="D911" s="456"/>
      <c r="E911" s="450"/>
      <c r="F911" s="450"/>
      <c r="G911" s="450"/>
      <c r="H911" s="450"/>
      <c r="I911" s="450"/>
      <c r="J911" s="450"/>
      <c r="M911" s="356"/>
      <c r="N911" s="356"/>
      <c r="O911" s="294">
        <f>Criteria!E22</f>
        <v>2025</v>
      </c>
      <c r="P911" s="356"/>
      <c r="R911" s="348" t="str">
        <f t="shared" si="20"/>
        <v>DELETE</v>
      </c>
    </row>
    <row r="912" spans="2:18" ht="36" customHeight="1" x14ac:dyDescent="0.5">
      <c r="B912" s="354"/>
      <c r="C912" s="450"/>
      <c r="D912" s="456"/>
      <c r="E912" s="450"/>
      <c r="F912" s="450"/>
      <c r="G912" s="450"/>
      <c r="H912" s="450"/>
      <c r="I912" s="450"/>
      <c r="J912" s="450"/>
      <c r="M912" s="356"/>
      <c r="N912" s="356"/>
      <c r="O912" s="356"/>
      <c r="P912" s="356"/>
      <c r="R912" s="348" t="str">
        <f t="shared" si="20"/>
        <v>DELETE</v>
      </c>
    </row>
    <row r="913" spans="2:18" ht="36" customHeight="1" x14ac:dyDescent="0.5">
      <c r="B913" s="316">
        <f>MAX(B$602:B912)+1</f>
        <v>4</v>
      </c>
      <c r="C913" s="456" t="s">
        <v>1037</v>
      </c>
      <c r="D913" s="450"/>
      <c r="E913" s="450"/>
      <c r="F913" s="450"/>
      <c r="G913" s="450"/>
      <c r="H913" s="450"/>
      <c r="I913" s="450"/>
      <c r="J913" s="450"/>
      <c r="L913" s="350"/>
      <c r="M913" s="350"/>
      <c r="N913" s="345"/>
      <c r="O913" s="296"/>
      <c r="R913" s="348" t="str">
        <f>R$941</f>
        <v>DELETE</v>
      </c>
    </row>
    <row r="914" spans="2:18" ht="36" customHeight="1" x14ac:dyDescent="0.5">
      <c r="B914" s="316"/>
      <c r="C914" s="456"/>
      <c r="D914" s="450"/>
      <c r="E914" s="450"/>
      <c r="F914" s="450"/>
      <c r="G914" s="450"/>
      <c r="H914" s="450"/>
      <c r="I914" s="450"/>
      <c r="J914" s="450"/>
      <c r="L914" s="350"/>
      <c r="M914" s="350"/>
      <c r="N914" s="345"/>
      <c r="O914" s="296"/>
      <c r="R914" s="348" t="str">
        <f>R$941</f>
        <v>DELETE</v>
      </c>
    </row>
    <row r="915" spans="2:18" ht="36" customHeight="1" x14ac:dyDescent="0.5">
      <c r="B915" s="316"/>
      <c r="C915" s="450" t="str">
        <f>TrialBalance!C28</f>
        <v>Insurance claims - Financial instruments</v>
      </c>
      <c r="D915" s="459"/>
      <c r="E915" s="450"/>
      <c r="F915" s="450"/>
      <c r="G915" s="450"/>
      <c r="H915" s="450"/>
      <c r="I915" s="450"/>
      <c r="J915" s="450"/>
      <c r="L915" s="350"/>
      <c r="M915" s="350"/>
      <c r="N915" s="345"/>
      <c r="O915" s="296">
        <f>-TrialBalance!L28</f>
        <v>0</v>
      </c>
      <c r="R915" s="348" t="str">
        <f t="shared" ref="R915:R937" si="21">IF(O915=0,"DELETE"," ")</f>
        <v>DELETE</v>
      </c>
    </row>
    <row r="916" spans="2:18" ht="36" customHeight="1" x14ac:dyDescent="0.5">
      <c r="B916" s="316"/>
      <c r="C916" s="450" t="str">
        <f>TrialBalance!C29</f>
        <v>Government grants received</v>
      </c>
      <c r="D916" s="459"/>
      <c r="E916" s="450"/>
      <c r="F916" s="450"/>
      <c r="G916" s="450"/>
      <c r="H916" s="450"/>
      <c r="I916" s="450"/>
      <c r="J916" s="450"/>
      <c r="L916" s="350"/>
      <c r="M916" s="350"/>
      <c r="N916" s="345"/>
      <c r="O916" s="296">
        <f>-TrialBalance!L29</f>
        <v>0</v>
      </c>
      <c r="R916" s="348" t="str">
        <f t="shared" si="21"/>
        <v>DELETE</v>
      </c>
    </row>
    <row r="917" spans="2:18" ht="36" customHeight="1" x14ac:dyDescent="0.5">
      <c r="B917" s="316"/>
      <c r="C917" s="450">
        <f>TrialBalance!C30</f>
        <v>0</v>
      </c>
      <c r="D917" s="459"/>
      <c r="E917" s="450"/>
      <c r="F917" s="450"/>
      <c r="G917" s="450"/>
      <c r="H917" s="450"/>
      <c r="I917" s="450"/>
      <c r="J917" s="450"/>
      <c r="L917" s="350"/>
      <c r="M917" s="350"/>
      <c r="N917" s="345"/>
      <c r="O917" s="296">
        <f>-TrialBalance!L30</f>
        <v>0</v>
      </c>
      <c r="R917" s="348" t="str">
        <f t="shared" si="21"/>
        <v>DELETE</v>
      </c>
    </row>
    <row r="918" spans="2:18" ht="36" customHeight="1" x14ac:dyDescent="0.5">
      <c r="B918" s="316"/>
      <c r="C918" s="450">
        <f>TrialBalance!C31</f>
        <v>0</v>
      </c>
      <c r="D918" s="459"/>
      <c r="E918" s="450"/>
      <c r="F918" s="450"/>
      <c r="G918" s="450"/>
      <c r="H918" s="450"/>
      <c r="I918" s="450"/>
      <c r="J918" s="450"/>
      <c r="L918" s="350"/>
      <c r="M918" s="350"/>
      <c r="N918" s="345"/>
      <c r="O918" s="296">
        <f>-TrialBalance!L31</f>
        <v>0</v>
      </c>
      <c r="R918" s="348" t="str">
        <f t="shared" si="21"/>
        <v>DELETE</v>
      </c>
    </row>
    <row r="919" spans="2:18" ht="36" customHeight="1" x14ac:dyDescent="0.5">
      <c r="B919" s="316"/>
      <c r="C919" s="450">
        <f>TrialBalance!C32</f>
        <v>0</v>
      </c>
      <c r="D919" s="459"/>
      <c r="E919" s="450"/>
      <c r="F919" s="450"/>
      <c r="G919" s="450"/>
      <c r="H919" s="450"/>
      <c r="I919" s="450"/>
      <c r="J919" s="450"/>
      <c r="L919" s="350"/>
      <c r="M919" s="350"/>
      <c r="N919" s="345"/>
      <c r="O919" s="296">
        <f>-TrialBalance!L32</f>
        <v>0</v>
      </c>
      <c r="R919" s="348" t="str">
        <f t="shared" si="21"/>
        <v>DELETE</v>
      </c>
    </row>
    <row r="920" spans="2:18" ht="36" customHeight="1" x14ac:dyDescent="0.5">
      <c r="B920" s="316"/>
      <c r="C920" s="450" t="str">
        <f>TrialBalance!C33</f>
        <v>Recoupment of depreciation</v>
      </c>
      <c r="D920" s="459"/>
      <c r="E920" s="450"/>
      <c r="F920" s="450"/>
      <c r="G920" s="450"/>
      <c r="H920" s="450"/>
      <c r="I920" s="450"/>
      <c r="J920" s="450"/>
      <c r="L920" s="350"/>
      <c r="M920" s="350"/>
      <c r="N920" s="345"/>
      <c r="O920" s="296">
        <f>-TrialBalance!L33</f>
        <v>0</v>
      </c>
      <c r="R920" s="348" t="str">
        <f t="shared" ref="R920" si="22">IF(O920=0,"DELETE"," ")</f>
        <v>DELETE</v>
      </c>
    </row>
    <row r="921" spans="2:18" ht="36" customHeight="1" x14ac:dyDescent="0.5">
      <c r="B921" s="316"/>
      <c r="C921" s="450" t="str">
        <f>TrialBalanceA!C28</f>
        <v>Insurance claims - Subsidiary One 111 (Pty) Ltd</v>
      </c>
      <c r="D921" s="459"/>
      <c r="E921" s="450"/>
      <c r="F921" s="450"/>
      <c r="G921" s="450"/>
      <c r="H921" s="450"/>
      <c r="I921" s="450"/>
      <c r="J921" s="450"/>
      <c r="L921" s="350"/>
      <c r="M921" s="350"/>
      <c r="N921" s="345"/>
      <c r="O921" s="296">
        <f>-TrialBalanceA!I28</f>
        <v>0</v>
      </c>
      <c r="R921" s="348" t="str">
        <f t="shared" si="21"/>
        <v>DELETE</v>
      </c>
    </row>
    <row r="922" spans="2:18" ht="36" customHeight="1" x14ac:dyDescent="0.5">
      <c r="B922" s="316"/>
      <c r="C922" s="450" t="str">
        <f>TrialBalanceA!C29</f>
        <v>Government grants received</v>
      </c>
      <c r="D922" s="459"/>
      <c r="E922" s="450"/>
      <c r="F922" s="450"/>
      <c r="G922" s="450"/>
      <c r="H922" s="450"/>
      <c r="I922" s="450"/>
      <c r="J922" s="450"/>
      <c r="L922" s="350"/>
      <c r="M922" s="350"/>
      <c r="N922" s="345"/>
      <c r="O922" s="296">
        <f>-TrialBalanceA!I29</f>
        <v>0</v>
      </c>
      <c r="R922" s="348" t="str">
        <f t="shared" si="21"/>
        <v>DELETE</v>
      </c>
    </row>
    <row r="923" spans="2:18" ht="36" customHeight="1" x14ac:dyDescent="0.5">
      <c r="B923" s="316"/>
      <c r="C923" s="450">
        <f>TrialBalanceA!C30</f>
        <v>0</v>
      </c>
      <c r="D923" s="459"/>
      <c r="E923" s="450"/>
      <c r="F923" s="450"/>
      <c r="G923" s="450"/>
      <c r="H923" s="450"/>
      <c r="I923" s="450"/>
      <c r="J923" s="450"/>
      <c r="L923" s="350"/>
      <c r="M923" s="350"/>
      <c r="N923" s="345"/>
      <c r="O923" s="296">
        <f>-TrialBalanceA!I30</f>
        <v>0</v>
      </c>
      <c r="R923" s="348" t="str">
        <f t="shared" si="21"/>
        <v>DELETE</v>
      </c>
    </row>
    <row r="924" spans="2:18" ht="36" customHeight="1" x14ac:dyDescent="0.5">
      <c r="B924" s="316"/>
      <c r="C924" s="450">
        <f>TrialBalanceA!C31</f>
        <v>0</v>
      </c>
      <c r="D924" s="459"/>
      <c r="E924" s="450"/>
      <c r="F924" s="450"/>
      <c r="G924" s="450"/>
      <c r="H924" s="450"/>
      <c r="I924" s="450"/>
      <c r="J924" s="450"/>
      <c r="L924" s="350"/>
      <c r="M924" s="350"/>
      <c r="N924" s="345"/>
      <c r="O924" s="296">
        <f>-TrialBalanceA!I31</f>
        <v>0</v>
      </c>
      <c r="R924" s="348" t="str">
        <f t="shared" si="21"/>
        <v>DELETE</v>
      </c>
    </row>
    <row r="925" spans="2:18" ht="36" customHeight="1" x14ac:dyDescent="0.5">
      <c r="B925" s="316"/>
      <c r="C925" s="450">
        <f>TrialBalanceA!C32</f>
        <v>0</v>
      </c>
      <c r="D925" s="459"/>
      <c r="E925" s="450"/>
      <c r="F925" s="450"/>
      <c r="G925" s="450"/>
      <c r="H925" s="450"/>
      <c r="I925" s="450"/>
      <c r="J925" s="450"/>
      <c r="L925" s="350"/>
      <c r="M925" s="350"/>
      <c r="N925" s="345"/>
      <c r="O925" s="296">
        <f>-TrialBalanceA!I32</f>
        <v>0</v>
      </c>
      <c r="R925" s="348" t="str">
        <f t="shared" si="21"/>
        <v>DELETE</v>
      </c>
    </row>
    <row r="926" spans="2:18" ht="36" customHeight="1" x14ac:dyDescent="0.5">
      <c r="B926" s="316"/>
      <c r="C926" s="450" t="str">
        <f>TrialBalanceA!C33</f>
        <v>Recoupment of depreciation</v>
      </c>
      <c r="D926" s="459"/>
      <c r="E926" s="450"/>
      <c r="F926" s="450"/>
      <c r="G926" s="450"/>
      <c r="H926" s="450"/>
      <c r="I926" s="450"/>
      <c r="J926" s="450"/>
      <c r="L926" s="350"/>
      <c r="M926" s="350"/>
      <c r="N926" s="345"/>
      <c r="O926" s="296">
        <f>-TrialBalanceA!I33</f>
        <v>0</v>
      </c>
      <c r="R926" s="348" t="str">
        <f t="shared" ref="R926" si="23">IF(O926=0,"DELETE"," ")</f>
        <v>DELETE</v>
      </c>
    </row>
    <row r="927" spans="2:18" ht="36" customHeight="1" x14ac:dyDescent="0.5">
      <c r="B927" s="316"/>
      <c r="C927" s="450" t="str">
        <f>TrialBalanceB!C28</f>
        <v>Insurance claims - Subsidiary Two 15 (Pty) Ltd</v>
      </c>
      <c r="D927" s="459"/>
      <c r="E927" s="450"/>
      <c r="F927" s="450"/>
      <c r="G927" s="450"/>
      <c r="H927" s="450"/>
      <c r="I927" s="450"/>
      <c r="J927" s="450"/>
      <c r="L927" s="350"/>
      <c r="M927" s="350"/>
      <c r="N927" s="345"/>
      <c r="O927" s="296">
        <f>-TrialBalanceB!I28</f>
        <v>0</v>
      </c>
      <c r="R927" s="348" t="str">
        <f t="shared" si="21"/>
        <v>DELETE</v>
      </c>
    </row>
    <row r="928" spans="2:18" ht="36" customHeight="1" x14ac:dyDescent="0.5">
      <c r="B928" s="316"/>
      <c r="C928" s="450" t="str">
        <f>TrialBalanceB!C29</f>
        <v>Government grants received</v>
      </c>
      <c r="D928" s="459"/>
      <c r="E928" s="450"/>
      <c r="F928" s="450"/>
      <c r="G928" s="450"/>
      <c r="H928" s="450"/>
      <c r="I928" s="450"/>
      <c r="J928" s="450"/>
      <c r="L928" s="350"/>
      <c r="M928" s="350"/>
      <c r="N928" s="345"/>
      <c r="O928" s="296">
        <f>-TrialBalanceB!I29</f>
        <v>0</v>
      </c>
      <c r="R928" s="348" t="str">
        <f t="shared" si="21"/>
        <v>DELETE</v>
      </c>
    </row>
    <row r="929" spans="2:18" ht="36" customHeight="1" x14ac:dyDescent="0.5">
      <c r="B929" s="316"/>
      <c r="C929" s="450">
        <f>TrialBalanceB!C30</f>
        <v>0</v>
      </c>
      <c r="D929" s="459"/>
      <c r="E929" s="450"/>
      <c r="F929" s="450"/>
      <c r="G929" s="450"/>
      <c r="H929" s="450"/>
      <c r="I929" s="450"/>
      <c r="J929" s="450"/>
      <c r="L929" s="350"/>
      <c r="M929" s="350"/>
      <c r="N929" s="345"/>
      <c r="O929" s="296">
        <f>-TrialBalanceB!I30</f>
        <v>0</v>
      </c>
      <c r="R929" s="348" t="str">
        <f t="shared" si="21"/>
        <v>DELETE</v>
      </c>
    </row>
    <row r="930" spans="2:18" ht="36" customHeight="1" x14ac:dyDescent="0.5">
      <c r="B930" s="316"/>
      <c r="C930" s="450">
        <f>TrialBalanceB!C31</f>
        <v>0</v>
      </c>
      <c r="D930" s="459"/>
      <c r="E930" s="450"/>
      <c r="F930" s="450"/>
      <c r="G930" s="450"/>
      <c r="H930" s="450"/>
      <c r="I930" s="450"/>
      <c r="J930" s="450"/>
      <c r="L930" s="350"/>
      <c r="M930" s="350"/>
      <c r="N930" s="345"/>
      <c r="O930" s="296">
        <f>-TrialBalanceB!I31</f>
        <v>0</v>
      </c>
      <c r="R930" s="348" t="str">
        <f t="shared" si="21"/>
        <v>DELETE</v>
      </c>
    </row>
    <row r="931" spans="2:18" ht="36" customHeight="1" x14ac:dyDescent="0.5">
      <c r="B931" s="316"/>
      <c r="C931" s="450">
        <f>TrialBalanceB!C32</f>
        <v>0</v>
      </c>
      <c r="D931" s="459"/>
      <c r="E931" s="450"/>
      <c r="F931" s="450"/>
      <c r="G931" s="450"/>
      <c r="H931" s="450"/>
      <c r="I931" s="450"/>
      <c r="J931" s="450"/>
      <c r="L931" s="350"/>
      <c r="M931" s="350"/>
      <c r="N931" s="345"/>
      <c r="O931" s="296">
        <f>-TrialBalanceB!I32</f>
        <v>0</v>
      </c>
      <c r="R931" s="348" t="str">
        <f t="shared" si="21"/>
        <v>DELETE</v>
      </c>
    </row>
    <row r="932" spans="2:18" ht="36" customHeight="1" x14ac:dyDescent="0.5">
      <c r="B932" s="316"/>
      <c r="C932" s="450" t="str">
        <f>TrialBalanceB!C33</f>
        <v>Recoupment of depreciation</v>
      </c>
      <c r="D932" s="459"/>
      <c r="E932" s="450"/>
      <c r="F932" s="450"/>
      <c r="G932" s="450"/>
      <c r="H932" s="450"/>
      <c r="I932" s="450"/>
      <c r="J932" s="450"/>
      <c r="L932" s="350"/>
      <c r="M932" s="350"/>
      <c r="N932" s="345"/>
      <c r="O932" s="296">
        <f>-TrialBalanceB!I33</f>
        <v>0</v>
      </c>
      <c r="R932" s="348" t="str">
        <f t="shared" ref="R932" si="24">IF(O932=0,"DELETE"," ")</f>
        <v>DELETE</v>
      </c>
    </row>
    <row r="933" spans="2:18" ht="36" customHeight="1" x14ac:dyDescent="0.5">
      <c r="B933" s="316"/>
      <c r="C933" s="450" t="str">
        <f>TrialBalanceC!C28</f>
        <v xml:space="preserve">Insurance claims - </v>
      </c>
      <c r="D933" s="459"/>
      <c r="E933" s="450"/>
      <c r="F933" s="450"/>
      <c r="G933" s="450"/>
      <c r="H933" s="450"/>
      <c r="I933" s="450"/>
      <c r="J933" s="450"/>
      <c r="L933" s="350"/>
      <c r="M933" s="350"/>
      <c r="N933" s="345"/>
      <c r="O933" s="296">
        <f>-TrialBalanceC!I28</f>
        <v>0</v>
      </c>
      <c r="R933" s="348" t="str">
        <f t="shared" si="21"/>
        <v>DELETE</v>
      </c>
    </row>
    <row r="934" spans="2:18" ht="36" customHeight="1" x14ac:dyDescent="0.5">
      <c r="B934" s="316"/>
      <c r="C934" s="450" t="str">
        <f>TrialBalanceC!C29</f>
        <v>Government grants received</v>
      </c>
      <c r="D934" s="459"/>
      <c r="E934" s="450"/>
      <c r="F934" s="450"/>
      <c r="G934" s="450"/>
      <c r="H934" s="450"/>
      <c r="I934" s="450"/>
      <c r="J934" s="450"/>
      <c r="L934" s="350"/>
      <c r="M934" s="350"/>
      <c r="N934" s="345"/>
      <c r="O934" s="296">
        <f>-TrialBalanceC!I29</f>
        <v>0</v>
      </c>
      <c r="R934" s="348" t="str">
        <f t="shared" si="21"/>
        <v>DELETE</v>
      </c>
    </row>
    <row r="935" spans="2:18" ht="36" customHeight="1" x14ac:dyDescent="0.5">
      <c r="B935" s="316"/>
      <c r="C935" s="450">
        <f>TrialBalanceC!C30</f>
        <v>0</v>
      </c>
      <c r="D935" s="459"/>
      <c r="E935" s="450"/>
      <c r="F935" s="450"/>
      <c r="G935" s="450"/>
      <c r="H935" s="450"/>
      <c r="I935" s="450"/>
      <c r="J935" s="450"/>
      <c r="L935" s="350"/>
      <c r="M935" s="350"/>
      <c r="N935" s="345"/>
      <c r="O935" s="296">
        <f>-TrialBalanceC!I30</f>
        <v>0</v>
      </c>
      <c r="R935" s="348" t="str">
        <f t="shared" si="21"/>
        <v>DELETE</v>
      </c>
    </row>
    <row r="936" spans="2:18" ht="36" customHeight="1" x14ac:dyDescent="0.5">
      <c r="B936" s="316"/>
      <c r="C936" s="450">
        <f>TrialBalanceC!C31</f>
        <v>0</v>
      </c>
      <c r="D936" s="459"/>
      <c r="E936" s="450"/>
      <c r="F936" s="450"/>
      <c r="G936" s="450"/>
      <c r="H936" s="450"/>
      <c r="I936" s="450"/>
      <c r="J936" s="450"/>
      <c r="L936" s="350"/>
      <c r="M936" s="350"/>
      <c r="N936" s="345"/>
      <c r="O936" s="296">
        <f>-TrialBalanceC!I31</f>
        <v>0</v>
      </c>
      <c r="R936" s="348" t="str">
        <f t="shared" si="21"/>
        <v>DELETE</v>
      </c>
    </row>
    <row r="937" spans="2:18" ht="36" customHeight="1" x14ac:dyDescent="0.5">
      <c r="B937" s="316"/>
      <c r="C937" s="450">
        <f>TrialBalanceC!C32</f>
        <v>0</v>
      </c>
      <c r="D937" s="459"/>
      <c r="E937" s="450"/>
      <c r="F937" s="450"/>
      <c r="G937" s="450"/>
      <c r="H937" s="450"/>
      <c r="I937" s="450"/>
      <c r="J937" s="450"/>
      <c r="L937" s="350"/>
      <c r="M937" s="350"/>
      <c r="N937" s="345"/>
      <c r="O937" s="296">
        <f>-TrialBalanceC!I32</f>
        <v>0</v>
      </c>
      <c r="R937" s="348" t="str">
        <f t="shared" si="21"/>
        <v>DELETE</v>
      </c>
    </row>
    <row r="938" spans="2:18" ht="36" customHeight="1" x14ac:dyDescent="0.5">
      <c r="B938" s="316"/>
      <c r="C938" s="450" t="str">
        <f>TrialBalanceC!C33</f>
        <v>Recoupment of depreciation</v>
      </c>
      <c r="D938" s="459"/>
      <c r="E938" s="450"/>
      <c r="F938" s="450"/>
      <c r="G938" s="450"/>
      <c r="H938" s="450"/>
      <c r="I938" s="450"/>
      <c r="J938" s="450"/>
      <c r="L938" s="350"/>
      <c r="M938" s="350"/>
      <c r="N938" s="345"/>
      <c r="O938" s="296">
        <f>-TrialBalanceC!I33</f>
        <v>0</v>
      </c>
      <c r="R938" s="348" t="str">
        <f t="shared" ref="R938" si="25">IF(O938=0,"DELETE"," ")</f>
        <v>DELETE</v>
      </c>
    </row>
    <row r="939" spans="2:18" ht="9" customHeight="1" x14ac:dyDescent="0.5">
      <c r="B939" s="316"/>
      <c r="C939" s="456"/>
      <c r="D939" s="450"/>
      <c r="E939" s="450"/>
      <c r="F939" s="450"/>
      <c r="G939" s="450"/>
      <c r="H939" s="450"/>
      <c r="I939" s="450"/>
      <c r="J939" s="450"/>
      <c r="L939" s="350"/>
      <c r="M939" s="350"/>
      <c r="N939" s="345"/>
      <c r="O939" s="298"/>
      <c r="R939" s="348" t="str">
        <f>R$941</f>
        <v>DELETE</v>
      </c>
    </row>
    <row r="940" spans="2:18" ht="9" customHeight="1" x14ac:dyDescent="0.5">
      <c r="B940" s="316"/>
      <c r="C940" s="456"/>
      <c r="D940" s="450"/>
      <c r="E940" s="450"/>
      <c r="F940" s="450"/>
      <c r="G940" s="450"/>
      <c r="H940" s="450"/>
      <c r="I940" s="450"/>
      <c r="J940" s="450"/>
      <c r="L940" s="350"/>
      <c r="M940" s="350"/>
      <c r="N940" s="345"/>
      <c r="O940" s="296"/>
      <c r="R940" s="348" t="str">
        <f>R$941</f>
        <v>DELETE</v>
      </c>
    </row>
    <row r="941" spans="2:18" ht="36.75" customHeight="1" x14ac:dyDescent="0.5">
      <c r="B941" s="316"/>
      <c r="C941" s="456"/>
      <c r="D941" s="450"/>
      <c r="E941" s="450"/>
      <c r="F941" s="450"/>
      <c r="G941" s="450"/>
      <c r="H941" s="450"/>
      <c r="I941" s="450"/>
      <c r="J941" s="450"/>
      <c r="L941" s="350"/>
      <c r="M941" s="350"/>
      <c r="N941" s="345"/>
      <c r="O941" s="296">
        <f>SUM(O915:O940)</f>
        <v>0</v>
      </c>
      <c r="R941" s="348" t="str">
        <f t="shared" ref="R941" si="26">IF(O941=0,"DELETE"," ")</f>
        <v>DELETE</v>
      </c>
    </row>
    <row r="942" spans="2:18" ht="9" customHeight="1" thickBot="1" x14ac:dyDescent="0.55000000000000004">
      <c r="B942" s="316"/>
      <c r="C942" s="456"/>
      <c r="D942" s="450"/>
      <c r="E942" s="450"/>
      <c r="F942" s="450"/>
      <c r="G942" s="450"/>
      <c r="H942" s="450"/>
      <c r="I942" s="450"/>
      <c r="J942" s="450"/>
      <c r="L942" s="350"/>
      <c r="M942" s="350"/>
      <c r="N942" s="345"/>
      <c r="O942" s="299"/>
      <c r="R942" s="348" t="str">
        <f>R$941</f>
        <v>DELETE</v>
      </c>
    </row>
    <row r="943" spans="2:18" ht="9" customHeight="1" thickTop="1" x14ac:dyDescent="0.5">
      <c r="B943" s="316"/>
      <c r="C943" s="456"/>
      <c r="D943" s="450"/>
      <c r="E943" s="450"/>
      <c r="F943" s="450"/>
      <c r="G943" s="450"/>
      <c r="H943" s="450"/>
      <c r="I943" s="450"/>
      <c r="J943" s="450"/>
      <c r="L943" s="350"/>
      <c r="M943" s="350"/>
      <c r="N943" s="345"/>
      <c r="O943" s="310"/>
      <c r="R943" s="348" t="str">
        <f>R$941</f>
        <v>DELETE</v>
      </c>
    </row>
    <row r="944" spans="2:18" ht="36" customHeight="1" x14ac:dyDescent="0.5">
      <c r="B944" s="316"/>
      <c r="C944" s="456"/>
      <c r="D944" s="450"/>
      <c r="E944" s="450"/>
      <c r="F944" s="450"/>
      <c r="G944" s="450"/>
      <c r="H944" s="450"/>
      <c r="I944" s="450"/>
      <c r="J944" s="450"/>
      <c r="L944" s="350"/>
      <c r="M944" s="350"/>
      <c r="N944" s="345"/>
      <c r="O944" s="296"/>
      <c r="R944" s="348" t="str">
        <f>R$941</f>
        <v>DELETE</v>
      </c>
    </row>
    <row r="945" spans="2:23" ht="36" customHeight="1" x14ac:dyDescent="0.5">
      <c r="B945" s="316"/>
      <c r="C945" s="456"/>
      <c r="D945" s="450"/>
      <c r="E945" s="450"/>
      <c r="F945" s="450"/>
      <c r="G945" s="450"/>
      <c r="H945" s="450"/>
      <c r="I945" s="450"/>
      <c r="J945" s="450"/>
      <c r="L945" s="350"/>
      <c r="M945" s="350"/>
      <c r="N945" s="345"/>
      <c r="O945" s="296"/>
      <c r="R945" s="348" t="str">
        <f t="shared" ref="R945:R947" si="27">R$941</f>
        <v>DELETE</v>
      </c>
    </row>
    <row r="946" spans="2:23" ht="36" customHeight="1" x14ac:dyDescent="0.5">
      <c r="B946" s="354"/>
      <c r="C946" s="456"/>
      <c r="D946" s="450"/>
      <c r="E946" s="450"/>
      <c r="F946" s="450"/>
      <c r="G946" s="450"/>
      <c r="H946" s="450"/>
      <c r="I946" s="450"/>
      <c r="J946" s="450"/>
      <c r="M946" s="356"/>
      <c r="N946" s="356"/>
      <c r="O946" s="356"/>
      <c r="P946" s="356"/>
      <c r="R946" s="348" t="str">
        <f t="shared" si="27"/>
        <v>DELETE</v>
      </c>
    </row>
    <row r="947" spans="2:23" ht="36" customHeight="1" x14ac:dyDescent="0.5">
      <c r="B947" s="354"/>
      <c r="C947" s="456"/>
      <c r="D947" s="450"/>
      <c r="E947" s="450"/>
      <c r="F947" s="450"/>
      <c r="G947" s="450"/>
      <c r="H947" s="450"/>
      <c r="I947" s="450"/>
      <c r="J947" s="450"/>
      <c r="M947" s="347"/>
      <c r="O947" s="347"/>
      <c r="R947" s="348" t="str">
        <f t="shared" si="27"/>
        <v>DELETE</v>
      </c>
    </row>
    <row r="948" spans="2:23" ht="36" customHeight="1" x14ac:dyDescent="0.5">
      <c r="B948" s="354"/>
      <c r="C948" s="450"/>
      <c r="D948" s="450"/>
      <c r="E948" s="450"/>
      <c r="F948" s="450"/>
      <c r="G948" s="450"/>
      <c r="H948" s="450"/>
      <c r="I948" s="450"/>
      <c r="J948" s="450"/>
      <c r="M948" s="347"/>
      <c r="O948" s="295" t="s">
        <v>89</v>
      </c>
      <c r="Q948" s="292">
        <f>MAX($Q$105:Q947)+1</f>
        <v>27</v>
      </c>
    </row>
    <row r="949" spans="2:23" ht="36" customHeight="1" x14ac:dyDescent="0.5">
      <c r="B949" s="354"/>
      <c r="C949" s="450"/>
      <c r="D949" s="456" t="str">
        <f>Criteria!E9</f>
        <v>HOLDING COMPANY 268 (PROPRIETARY) LIMITED</v>
      </c>
      <c r="E949" s="450"/>
      <c r="F949" s="450"/>
      <c r="G949" s="450"/>
      <c r="H949" s="450"/>
      <c r="I949" s="450"/>
      <c r="J949" s="450"/>
      <c r="M949" s="347"/>
      <c r="O949" s="347"/>
    </row>
    <row r="950" spans="2:23" ht="36" customHeight="1" x14ac:dyDescent="0.5">
      <c r="B950" s="354"/>
      <c r="C950" s="450"/>
      <c r="D950" s="456" t="str">
        <f>Criteria!E10</f>
        <v>CONSOLIDATED FINANCIAL STATEMENTS</v>
      </c>
      <c r="E950" s="450"/>
      <c r="F950" s="450"/>
      <c r="G950" s="450"/>
      <c r="H950" s="450"/>
      <c r="I950" s="450"/>
      <c r="J950" s="450"/>
      <c r="M950" s="347"/>
      <c r="O950" s="347"/>
      <c r="R950" s="348" t="str">
        <f>IF(D950=0,"DELETE"," ")</f>
        <v xml:space="preserve"> </v>
      </c>
    </row>
    <row r="951" spans="2:23" ht="36" customHeight="1" x14ac:dyDescent="0.5">
      <c r="B951" s="354"/>
      <c r="C951" s="450"/>
      <c r="D951" s="450"/>
      <c r="E951" s="450"/>
      <c r="F951" s="450"/>
      <c r="G951" s="450"/>
      <c r="H951" s="450"/>
      <c r="I951" s="450"/>
      <c r="J951" s="450"/>
      <c r="M951" s="347"/>
      <c r="O951" s="347"/>
    </row>
    <row r="952" spans="2:23" ht="36" customHeight="1" x14ac:dyDescent="0.5">
      <c r="B952" s="354"/>
      <c r="C952" s="450"/>
      <c r="D952" s="456" t="s">
        <v>351</v>
      </c>
      <c r="E952" s="450"/>
      <c r="F952" s="450"/>
      <c r="G952" s="450"/>
      <c r="H952" s="450"/>
      <c r="I952" s="450"/>
      <c r="J952" s="450"/>
      <c r="M952" s="347"/>
      <c r="O952" s="347"/>
    </row>
    <row r="953" spans="2:23" ht="36" customHeight="1" x14ac:dyDescent="0.5">
      <c r="B953" s="354"/>
      <c r="C953" s="450"/>
      <c r="D953" s="456" t="str">
        <f>Criteria!E20</f>
        <v>28 FEBRUARY 2025</v>
      </c>
      <c r="E953" s="450"/>
      <c r="F953" s="450"/>
      <c r="G953" s="450"/>
      <c r="H953" s="450"/>
      <c r="I953" s="450"/>
      <c r="J953" s="450" t="s">
        <v>231</v>
      </c>
      <c r="M953" s="347"/>
      <c r="O953" s="347"/>
    </row>
    <row r="954" spans="2:23" ht="36" customHeight="1" x14ac:dyDescent="0.5">
      <c r="B954" s="354"/>
      <c r="C954" s="450"/>
      <c r="D954" s="456"/>
      <c r="E954" s="450"/>
      <c r="F954" s="450"/>
      <c r="G954" s="450"/>
      <c r="H954" s="450"/>
      <c r="I954" s="450"/>
      <c r="J954" s="450"/>
      <c r="M954" s="347"/>
      <c r="O954" s="347"/>
    </row>
    <row r="955" spans="2:23" ht="36" customHeight="1" x14ac:dyDescent="0.5">
      <c r="B955" s="368"/>
      <c r="C955" s="460"/>
      <c r="D955" s="465"/>
      <c r="E955" s="460"/>
      <c r="F955" s="460"/>
      <c r="G955" s="460"/>
      <c r="H955" s="460"/>
      <c r="I955" s="460"/>
      <c r="J955" s="460"/>
      <c r="K955" s="364"/>
      <c r="L955" s="364"/>
      <c r="M955" s="367"/>
      <c r="N955" s="367"/>
      <c r="O955" s="367"/>
      <c r="P955" s="367"/>
      <c r="Q955" s="364"/>
    </row>
    <row r="956" spans="2:23" ht="36" customHeight="1" x14ac:dyDescent="0.5">
      <c r="B956" s="354"/>
      <c r="C956" s="450"/>
      <c r="D956" s="456"/>
      <c r="E956" s="450"/>
      <c r="F956" s="450"/>
      <c r="G956" s="450"/>
      <c r="H956" s="450"/>
      <c r="I956" s="450"/>
      <c r="J956" s="450"/>
      <c r="M956" s="356"/>
      <c r="N956" s="356"/>
      <c r="O956" s="294">
        <f>Criteria!E22</f>
        <v>2025</v>
      </c>
      <c r="P956" s="356"/>
    </row>
    <row r="957" spans="2:23" ht="36" customHeight="1" x14ac:dyDescent="0.5">
      <c r="B957" s="316"/>
      <c r="C957" s="456"/>
      <c r="D957" s="450"/>
      <c r="E957" s="450"/>
      <c r="F957" s="450"/>
      <c r="G957" s="450"/>
      <c r="H957" s="450"/>
      <c r="I957" s="450"/>
      <c r="J957" s="450"/>
      <c r="L957" s="350"/>
      <c r="M957" s="350"/>
      <c r="N957" s="345"/>
      <c r="O957" s="296"/>
    </row>
    <row r="958" spans="2:23" ht="36" customHeight="1" x14ac:dyDescent="0.5">
      <c r="B958" s="316">
        <f>MAX(B$602:B957)+1</f>
        <v>5</v>
      </c>
      <c r="C958" s="461" t="str">
        <f>IF(W958=2,"Operating profit","Operating loss")</f>
        <v>Operating profit</v>
      </c>
      <c r="D958" s="450"/>
      <c r="E958" s="450"/>
      <c r="F958" s="450"/>
      <c r="G958" s="450"/>
      <c r="H958" s="450"/>
      <c r="I958" s="450"/>
      <c r="J958" s="450"/>
      <c r="L958" s="350"/>
      <c r="M958" s="350"/>
      <c r="N958" s="345"/>
      <c r="O958" s="296"/>
      <c r="W958" s="331">
        <f>IF(SUM(S421:S435)&lt;0,1,2)</f>
        <v>2</v>
      </c>
    </row>
    <row r="959" spans="2:23" ht="36" customHeight="1" x14ac:dyDescent="0.5">
      <c r="B959" s="316"/>
      <c r="C959" s="461"/>
      <c r="D959" s="450"/>
      <c r="E959" s="450"/>
      <c r="F959" s="450"/>
      <c r="G959" s="450"/>
      <c r="H959" s="450"/>
      <c r="I959" s="450"/>
      <c r="J959" s="450"/>
      <c r="L959" s="350"/>
      <c r="M959" s="350"/>
      <c r="N959" s="345"/>
      <c r="O959" s="296"/>
    </row>
    <row r="960" spans="2:23" ht="36" customHeight="1" x14ac:dyDescent="0.5">
      <c r="B960" s="316"/>
      <c r="C960" s="458" t="str">
        <f>IF(W960=2,"The following items have been recognised as expenses in determining operating profit:","The following items have been recognised as expenses in determining operating loss:")</f>
        <v>The following items have been recognised as expenses in determining operating profit:</v>
      </c>
      <c r="D960" s="459"/>
      <c r="E960" s="450"/>
      <c r="F960" s="450"/>
      <c r="G960" s="450"/>
      <c r="H960" s="450"/>
      <c r="I960" s="450"/>
      <c r="J960" s="450"/>
      <c r="L960" s="350"/>
      <c r="M960" s="350"/>
      <c r="N960" s="345"/>
      <c r="O960" s="296"/>
      <c r="W960" s="331">
        <f>IF(SUM(S421:S435)&lt;0,1,2)</f>
        <v>2</v>
      </c>
    </row>
    <row r="961" spans="2:21" ht="36" customHeight="1" x14ac:dyDescent="0.5">
      <c r="B961" s="316"/>
      <c r="C961" s="458"/>
      <c r="D961" s="459"/>
      <c r="E961" s="450"/>
      <c r="F961" s="450"/>
      <c r="G961" s="450"/>
      <c r="H961" s="450"/>
      <c r="I961" s="450"/>
      <c r="J961" s="450"/>
      <c r="L961" s="350"/>
      <c r="M961" s="350"/>
      <c r="N961" s="345"/>
      <c r="O961" s="296"/>
    </row>
    <row r="962" spans="2:21" ht="36" customHeight="1" x14ac:dyDescent="0.5">
      <c r="B962" s="316"/>
      <c r="C962" s="450" t="s">
        <v>1214</v>
      </c>
      <c r="D962" s="350"/>
      <c r="E962" s="450"/>
      <c r="F962" s="450"/>
      <c r="G962" s="450"/>
      <c r="H962" s="450"/>
      <c r="I962" s="450"/>
      <c r="J962" s="450"/>
      <c r="L962" s="350"/>
      <c r="M962" s="350"/>
      <c r="N962" s="345"/>
      <c r="O962" s="296">
        <f>SUM(TrialBalance!L12:L26)+SUM(TrialBalanceA!I12:I26)+SUM(TrialBalanceB!I12:I26)+SUM(TrialBalanceC!I12:I26)</f>
        <v>0</v>
      </c>
      <c r="R962" s="348" t="str">
        <f>IF(O962=0,"DELETE"," ")</f>
        <v>DELETE</v>
      </c>
      <c r="U962" s="331" t="b">
        <f>O962=-O423</f>
        <v>1</v>
      </c>
    </row>
    <row r="963" spans="2:21" ht="36" customHeight="1" x14ac:dyDescent="0.5">
      <c r="B963" s="316"/>
      <c r="C963" s="450"/>
      <c r="D963" s="350"/>
      <c r="E963" s="450"/>
      <c r="F963" s="450"/>
      <c r="G963" s="450"/>
      <c r="H963" s="450"/>
      <c r="I963" s="450"/>
      <c r="J963" s="450"/>
      <c r="L963" s="350"/>
      <c r="M963" s="350"/>
      <c r="N963" s="345"/>
      <c r="O963" s="296"/>
      <c r="R963" s="348" t="str">
        <f>R962</f>
        <v>DELETE</v>
      </c>
    </row>
    <row r="964" spans="2:21" ht="36" customHeight="1" x14ac:dyDescent="0.5">
      <c r="B964" s="316"/>
      <c r="C964" s="450" t="s">
        <v>1210</v>
      </c>
      <c r="D964" s="350"/>
      <c r="E964" s="450"/>
      <c r="F964" s="450"/>
      <c r="G964" s="450"/>
      <c r="H964" s="450"/>
      <c r="I964" s="450"/>
      <c r="J964" s="450"/>
      <c r="L964" s="350"/>
      <c r="M964" s="350"/>
      <c r="N964" s="345"/>
      <c r="O964" s="296">
        <f>TrialBalance!L65+TrialBalanceA!I65+TrialBalanceB!I65+TrialBalanceC!I65</f>
        <v>0</v>
      </c>
      <c r="R964" s="348" t="str">
        <f>IF(O964=0,"DELETE"," ")</f>
        <v>DELETE</v>
      </c>
    </row>
    <row r="965" spans="2:21" ht="36" customHeight="1" x14ac:dyDescent="0.5">
      <c r="B965" s="316"/>
      <c r="C965" s="450"/>
      <c r="D965" s="350"/>
      <c r="E965" s="450"/>
      <c r="F965" s="450"/>
      <c r="G965" s="450"/>
      <c r="H965" s="450"/>
      <c r="I965" s="450"/>
      <c r="J965" s="450"/>
      <c r="L965" s="350"/>
      <c r="M965" s="350"/>
      <c r="N965" s="345"/>
      <c r="O965" s="296"/>
      <c r="R965" s="348" t="str">
        <f>R964</f>
        <v>DELETE</v>
      </c>
    </row>
    <row r="966" spans="2:21" ht="36" customHeight="1" x14ac:dyDescent="0.5">
      <c r="B966" s="316"/>
      <c r="C966" s="450" t="s">
        <v>921</v>
      </c>
      <c r="D966" s="350"/>
      <c r="E966" s="450"/>
      <c r="F966" s="450"/>
      <c r="G966" s="450"/>
      <c r="H966" s="450"/>
      <c r="I966" s="450"/>
      <c r="J966" s="450"/>
      <c r="L966" s="350"/>
      <c r="M966" s="350"/>
      <c r="N966" s="345"/>
      <c r="O966" s="296">
        <f>TrialBalance!L156+TrialBalanceA!I156+TrialBalanceB!I156+TrialBalanceC!I156</f>
        <v>0</v>
      </c>
      <c r="R966" s="348" t="str">
        <f>IF(O966=0,"DELETE"," ")</f>
        <v>DELETE</v>
      </c>
    </row>
    <row r="967" spans="2:21" ht="36" customHeight="1" x14ac:dyDescent="0.5">
      <c r="B967" s="316"/>
      <c r="C967" s="450"/>
      <c r="D967" s="350"/>
      <c r="E967" s="450"/>
      <c r="F967" s="450"/>
      <c r="G967" s="450"/>
      <c r="H967" s="450"/>
      <c r="I967" s="450"/>
      <c r="J967" s="450"/>
      <c r="L967" s="350"/>
      <c r="M967" s="350"/>
      <c r="N967" s="345"/>
      <c r="O967" s="296"/>
      <c r="R967" s="348" t="str">
        <f>R966</f>
        <v>DELETE</v>
      </c>
    </row>
    <row r="968" spans="2:21" ht="36" customHeight="1" x14ac:dyDescent="0.5">
      <c r="B968" s="316"/>
      <c r="C968" s="450" t="s">
        <v>1215</v>
      </c>
      <c r="D968" s="350"/>
      <c r="E968" s="450"/>
      <c r="F968" s="450"/>
      <c r="G968" s="450"/>
      <c r="H968" s="450"/>
      <c r="I968" s="450"/>
      <c r="J968" s="450"/>
      <c r="L968" s="350"/>
      <c r="M968" s="350"/>
      <c r="N968" s="345"/>
      <c r="O968" s="296">
        <f>SUM(TrialBalance!L140:L141)+SUM(TrialBalanceA!I140:I141)+SUM(TrialBalanceB!I140:I141)+SUM(TrialBalanceC!I140:I141)</f>
        <v>0</v>
      </c>
      <c r="R968" s="348" t="str">
        <f>IF(O968=0,"DELETE"," ")</f>
        <v>DELETE</v>
      </c>
    </row>
    <row r="969" spans="2:21" ht="36" customHeight="1" x14ac:dyDescent="0.5">
      <c r="B969" s="316"/>
      <c r="C969" s="450"/>
      <c r="D969" s="350"/>
      <c r="E969" s="450"/>
      <c r="F969" s="450"/>
      <c r="G969" s="450"/>
      <c r="H969" s="450"/>
      <c r="I969" s="450"/>
      <c r="J969" s="450"/>
      <c r="L969" s="350"/>
      <c r="M969" s="350"/>
      <c r="N969" s="345"/>
      <c r="O969" s="296"/>
      <c r="R969" s="348" t="str">
        <f>R968</f>
        <v>DELETE</v>
      </c>
    </row>
    <row r="970" spans="2:21" ht="36" customHeight="1" x14ac:dyDescent="0.5">
      <c r="B970" s="316"/>
      <c r="C970" s="450" t="s">
        <v>1212</v>
      </c>
      <c r="D970" s="350"/>
      <c r="E970" s="450"/>
      <c r="F970" s="450"/>
      <c r="G970" s="450"/>
      <c r="H970" s="450"/>
      <c r="I970" s="450"/>
      <c r="J970" s="450"/>
      <c r="L970" s="350"/>
      <c r="M970" s="350"/>
      <c r="N970" s="345"/>
      <c r="O970" s="296">
        <f>TrialBalance!L108+TrialBalanceA!I108+TrialBalanceB!I108+TrialBalanceC!I108</f>
        <v>0</v>
      </c>
      <c r="R970" s="348" t="str">
        <f>IF(O970=0,"DELETE"," ")</f>
        <v>DELETE</v>
      </c>
    </row>
    <row r="971" spans="2:21" ht="36" customHeight="1" x14ac:dyDescent="0.5">
      <c r="B971" s="316"/>
      <c r="C971" s="458"/>
      <c r="D971" s="459"/>
      <c r="E971" s="450"/>
      <c r="F971" s="450"/>
      <c r="G971" s="450"/>
      <c r="H971" s="450"/>
      <c r="I971" s="450"/>
      <c r="J971" s="450"/>
      <c r="L971" s="350"/>
      <c r="M971" s="350"/>
      <c r="N971" s="345"/>
      <c r="O971" s="296"/>
      <c r="R971" s="348" t="str">
        <f>R970</f>
        <v>DELETE</v>
      </c>
    </row>
    <row r="972" spans="2:21" ht="36" customHeight="1" x14ac:dyDescent="0.5">
      <c r="B972" s="316"/>
      <c r="C972" s="458"/>
      <c r="D972" s="459"/>
      <c r="E972" s="450"/>
      <c r="F972" s="450"/>
      <c r="G972" s="450"/>
      <c r="H972" s="450"/>
      <c r="I972" s="450"/>
      <c r="J972" s="450"/>
      <c r="L972" s="350"/>
      <c r="M972" s="350"/>
      <c r="N972" s="345"/>
      <c r="O972" s="296"/>
      <c r="R972" s="348" t="str">
        <f>R$974</f>
        <v>DELETE</v>
      </c>
    </row>
    <row r="973" spans="2:21" ht="36" customHeight="1" x14ac:dyDescent="0.5">
      <c r="B973" s="316"/>
      <c r="C973" s="458"/>
      <c r="D973" s="459"/>
      <c r="E973" s="450"/>
      <c r="F973" s="450"/>
      <c r="G973" s="450"/>
      <c r="H973" s="450"/>
      <c r="I973" s="450"/>
      <c r="J973" s="450"/>
      <c r="L973" s="350"/>
      <c r="M973" s="350"/>
      <c r="N973" s="345"/>
      <c r="O973" s="296"/>
      <c r="R973" s="348" t="str">
        <f>R$974</f>
        <v>DELETE</v>
      </c>
    </row>
    <row r="974" spans="2:21" ht="36" customHeight="1" x14ac:dyDescent="0.5">
      <c r="B974" s="354"/>
      <c r="C974" s="450"/>
      <c r="D974" s="450"/>
      <c r="E974" s="450"/>
      <c r="F974" s="450"/>
      <c r="G974" s="450"/>
      <c r="H974" s="450"/>
      <c r="I974" s="450"/>
      <c r="J974" s="450"/>
      <c r="M974" s="347"/>
      <c r="O974" s="295" t="s">
        <v>89</v>
      </c>
      <c r="Q974" s="292">
        <f>MAX($Q$105:Q973)+1</f>
        <v>28</v>
      </c>
      <c r="R974" s="348" t="str">
        <f>IF(SUM(O962:O970)=0,"DELETE"," ")</f>
        <v>DELETE</v>
      </c>
    </row>
    <row r="975" spans="2:21" ht="36" customHeight="1" x14ac:dyDescent="0.5">
      <c r="B975" s="354"/>
      <c r="C975" s="450"/>
      <c r="D975" s="456" t="str">
        <f>Criteria!E9</f>
        <v>HOLDING COMPANY 268 (PROPRIETARY) LIMITED</v>
      </c>
      <c r="E975" s="450"/>
      <c r="F975" s="450"/>
      <c r="G975" s="450"/>
      <c r="H975" s="450"/>
      <c r="I975" s="450"/>
      <c r="J975" s="450"/>
      <c r="M975" s="347"/>
      <c r="O975" s="347"/>
      <c r="R975" s="348" t="str">
        <f t="shared" ref="R975:R983" si="28">R$974</f>
        <v>DELETE</v>
      </c>
    </row>
    <row r="976" spans="2:21" ht="36" customHeight="1" x14ac:dyDescent="0.5">
      <c r="B976" s="354"/>
      <c r="C976" s="450"/>
      <c r="D976" s="456" t="str">
        <f>Criteria!E10</f>
        <v>CONSOLIDATED FINANCIAL STATEMENTS</v>
      </c>
      <c r="E976" s="450"/>
      <c r="F976" s="450"/>
      <c r="G976" s="450"/>
      <c r="H976" s="450"/>
      <c r="I976" s="450"/>
      <c r="J976" s="450"/>
      <c r="M976" s="347"/>
      <c r="O976" s="347"/>
      <c r="R976" s="348" t="str">
        <f>IF(R$974="DELETE","DELETE",IF(D976=0,"DELETE"," "))</f>
        <v>DELETE</v>
      </c>
    </row>
    <row r="977" spans="2:18" ht="36" customHeight="1" x14ac:dyDescent="0.5">
      <c r="B977" s="354"/>
      <c r="C977" s="450"/>
      <c r="D977" s="450"/>
      <c r="E977" s="450"/>
      <c r="F977" s="450"/>
      <c r="G977" s="450"/>
      <c r="H977" s="450"/>
      <c r="I977" s="450"/>
      <c r="J977" s="450"/>
      <c r="M977" s="347"/>
      <c r="O977" s="347"/>
      <c r="R977" s="348" t="str">
        <f t="shared" si="28"/>
        <v>DELETE</v>
      </c>
    </row>
    <row r="978" spans="2:18" ht="36" customHeight="1" x14ac:dyDescent="0.5">
      <c r="B978" s="354"/>
      <c r="C978" s="450"/>
      <c r="D978" s="456" t="s">
        <v>351</v>
      </c>
      <c r="E978" s="450"/>
      <c r="F978" s="450"/>
      <c r="G978" s="450"/>
      <c r="H978" s="450"/>
      <c r="I978" s="450"/>
      <c r="J978" s="450"/>
      <c r="M978" s="347"/>
      <c r="O978" s="347"/>
      <c r="R978" s="348" t="str">
        <f t="shared" si="28"/>
        <v>DELETE</v>
      </c>
    </row>
    <row r="979" spans="2:18" ht="36" customHeight="1" x14ac:dyDescent="0.5">
      <c r="B979" s="354"/>
      <c r="C979" s="450"/>
      <c r="D979" s="456" t="str">
        <f>Criteria!E20</f>
        <v>28 FEBRUARY 2025</v>
      </c>
      <c r="E979" s="450"/>
      <c r="F979" s="450"/>
      <c r="G979" s="450"/>
      <c r="H979" s="450"/>
      <c r="I979" s="450"/>
      <c r="J979" s="450" t="s">
        <v>231</v>
      </c>
      <c r="M979" s="347"/>
      <c r="O979" s="347"/>
      <c r="R979" s="348" t="str">
        <f t="shared" si="28"/>
        <v>DELETE</v>
      </c>
    </row>
    <row r="980" spans="2:18" ht="36" customHeight="1" x14ac:dyDescent="0.5">
      <c r="B980" s="354"/>
      <c r="C980" s="450"/>
      <c r="D980" s="456"/>
      <c r="E980" s="450"/>
      <c r="F980" s="450"/>
      <c r="G980" s="450"/>
      <c r="H980" s="450"/>
      <c r="I980" s="450"/>
      <c r="J980" s="450"/>
      <c r="M980" s="347"/>
      <c r="O980" s="347"/>
      <c r="R980" s="348" t="str">
        <f t="shared" si="28"/>
        <v>DELETE</v>
      </c>
    </row>
    <row r="981" spans="2:18" ht="36" customHeight="1" x14ac:dyDescent="0.5">
      <c r="B981" s="368"/>
      <c r="C981" s="460"/>
      <c r="D981" s="465"/>
      <c r="E981" s="460"/>
      <c r="F981" s="460"/>
      <c r="G981" s="460"/>
      <c r="H981" s="460"/>
      <c r="I981" s="460"/>
      <c r="J981" s="460"/>
      <c r="K981" s="364"/>
      <c r="L981" s="364"/>
      <c r="M981" s="367"/>
      <c r="N981" s="367"/>
      <c r="O981" s="367"/>
      <c r="P981" s="367"/>
      <c r="Q981" s="364"/>
      <c r="R981" s="348" t="str">
        <f t="shared" si="28"/>
        <v>DELETE</v>
      </c>
    </row>
    <row r="982" spans="2:18" ht="36" customHeight="1" x14ac:dyDescent="0.5">
      <c r="B982" s="354"/>
      <c r="C982" s="450"/>
      <c r="D982" s="456"/>
      <c r="E982" s="450"/>
      <c r="F982" s="450"/>
      <c r="G982" s="450"/>
      <c r="H982" s="450"/>
      <c r="I982" s="450"/>
      <c r="J982" s="450"/>
      <c r="M982" s="356"/>
      <c r="N982" s="356"/>
      <c r="O982" s="294">
        <f>Criteria!E22</f>
        <v>2025</v>
      </c>
      <c r="P982" s="356"/>
      <c r="R982" s="348" t="str">
        <f t="shared" si="28"/>
        <v>DELETE</v>
      </c>
    </row>
    <row r="983" spans="2:18" ht="36" customHeight="1" x14ac:dyDescent="0.5">
      <c r="B983" s="316"/>
      <c r="C983" s="456"/>
      <c r="D983" s="450"/>
      <c r="E983" s="450"/>
      <c r="F983" s="450"/>
      <c r="G983" s="450"/>
      <c r="H983" s="450"/>
      <c r="I983" s="450"/>
      <c r="J983" s="450"/>
      <c r="L983" s="350"/>
      <c r="M983" s="350"/>
      <c r="N983" s="345"/>
      <c r="O983" s="296"/>
      <c r="R983" s="348" t="str">
        <f t="shared" si="28"/>
        <v>DELETE</v>
      </c>
    </row>
    <row r="984" spans="2:18" ht="36" customHeight="1" x14ac:dyDescent="0.5">
      <c r="B984" s="316"/>
      <c r="C984" s="456" t="str">
        <f>IF(MAX(Criteria!I38:I42)&gt;1,"Directors' remuneration","Director's remuneration")</f>
        <v>Directors' remuneration</v>
      </c>
      <c r="D984" s="350"/>
      <c r="E984" s="450"/>
      <c r="F984" s="450"/>
      <c r="G984" s="450"/>
      <c r="H984" s="450"/>
      <c r="I984" s="450"/>
      <c r="J984" s="450"/>
      <c r="L984" s="350"/>
      <c r="M984" s="350"/>
      <c r="N984" s="345"/>
      <c r="O984" s="296"/>
    </row>
    <row r="985" spans="2:18" ht="36" customHeight="1" x14ac:dyDescent="0.5">
      <c r="B985" s="316"/>
      <c r="C985" s="456"/>
      <c r="D985" s="350"/>
      <c r="E985" s="450"/>
      <c r="F985" s="450"/>
      <c r="G985" s="450"/>
      <c r="H985" s="450"/>
      <c r="I985" s="450"/>
      <c r="J985" s="450"/>
      <c r="L985" s="350"/>
      <c r="M985" s="350"/>
      <c r="N985" s="345"/>
      <c r="O985" s="296"/>
    </row>
    <row r="986" spans="2:18" ht="36" customHeight="1" x14ac:dyDescent="0.5">
      <c r="B986" s="316"/>
      <c r="C986" s="466" t="str">
        <f>TrialBalance!C113</f>
        <v>A Director</v>
      </c>
      <c r="D986" s="350"/>
      <c r="E986" s="450"/>
      <c r="F986" s="450"/>
      <c r="G986" s="450"/>
      <c r="H986" s="450"/>
      <c r="I986" s="450"/>
      <c r="J986" s="450"/>
      <c r="L986" s="350"/>
      <c r="M986" s="350"/>
      <c r="N986" s="345"/>
      <c r="O986" s="296">
        <f>TrialBalance!L113+TrialBalanceA!I113+TrialBalanceB!I113+TrialBalanceC!I113</f>
        <v>0</v>
      </c>
      <c r="R986" s="348" t="str">
        <f t="shared" ref="R986:R990" si="29">IF(O986=0,"DELETE"," ")</f>
        <v>DELETE</v>
      </c>
    </row>
    <row r="987" spans="2:18" ht="36" customHeight="1" x14ac:dyDescent="0.5">
      <c r="B987" s="316"/>
      <c r="C987" s="466" t="str">
        <f>TrialBalance!C114</f>
        <v>B Director</v>
      </c>
      <c r="D987" s="350"/>
      <c r="E987" s="450"/>
      <c r="F987" s="450"/>
      <c r="G987" s="450"/>
      <c r="H987" s="450"/>
      <c r="I987" s="450"/>
      <c r="J987" s="450"/>
      <c r="L987" s="350"/>
      <c r="M987" s="350"/>
      <c r="N987" s="345"/>
      <c r="O987" s="296">
        <f>TrialBalance!L114+TrialBalanceA!I114+TrialBalanceB!I114+TrialBalanceC!I114</f>
        <v>0</v>
      </c>
      <c r="R987" s="348" t="str">
        <f t="shared" si="29"/>
        <v>DELETE</v>
      </c>
    </row>
    <row r="988" spans="2:18" ht="36" customHeight="1" x14ac:dyDescent="0.5">
      <c r="B988" s="316"/>
      <c r="C988" s="466">
        <f>TrialBalance!C115</f>
        <v>0</v>
      </c>
      <c r="D988" s="350"/>
      <c r="E988" s="450"/>
      <c r="F988" s="450"/>
      <c r="G988" s="450"/>
      <c r="H988" s="450"/>
      <c r="I988" s="450"/>
      <c r="J988" s="450"/>
      <c r="L988" s="350"/>
      <c r="M988" s="350"/>
      <c r="N988" s="345"/>
      <c r="O988" s="296">
        <f>TrialBalance!L115+TrialBalanceA!I115+TrialBalanceB!I115+TrialBalanceC!I115</f>
        <v>0</v>
      </c>
      <c r="R988" s="348" t="str">
        <f t="shared" si="29"/>
        <v>DELETE</v>
      </c>
    </row>
    <row r="989" spans="2:18" ht="36" customHeight="1" x14ac:dyDescent="0.5">
      <c r="B989" s="316"/>
      <c r="C989" s="466">
        <f>TrialBalance!C116</f>
        <v>0</v>
      </c>
      <c r="D989" s="350"/>
      <c r="E989" s="450"/>
      <c r="F989" s="450"/>
      <c r="G989" s="450"/>
      <c r="H989" s="450"/>
      <c r="I989" s="450"/>
      <c r="J989" s="450"/>
      <c r="L989" s="350"/>
      <c r="M989" s="350"/>
      <c r="N989" s="345"/>
      <c r="O989" s="296">
        <f>TrialBalance!L116+TrialBalanceA!I116+TrialBalanceB!I116+TrialBalanceC!I116</f>
        <v>0</v>
      </c>
      <c r="R989" s="348" t="str">
        <f>IF(O989=0,"DELETE"," ")</f>
        <v>DELETE</v>
      </c>
    </row>
    <row r="990" spans="2:18" ht="36" customHeight="1" x14ac:dyDescent="0.5">
      <c r="B990" s="316"/>
      <c r="C990" s="466">
        <f>TrialBalance!C117</f>
        <v>0</v>
      </c>
      <c r="D990" s="350"/>
      <c r="E990" s="450"/>
      <c r="F990" s="450"/>
      <c r="G990" s="450"/>
      <c r="H990" s="450"/>
      <c r="I990" s="450"/>
      <c r="J990" s="450"/>
      <c r="L990" s="350"/>
      <c r="M990" s="350"/>
      <c r="N990" s="345"/>
      <c r="O990" s="296">
        <f>TrialBalance!L117+TrialBalanceA!I117+TrialBalanceB!I117+TrialBalanceC!I117</f>
        <v>0</v>
      </c>
      <c r="R990" s="348" t="str">
        <f t="shared" si="29"/>
        <v>DELETE</v>
      </c>
    </row>
    <row r="991" spans="2:18" ht="9" customHeight="1" x14ac:dyDescent="0.5">
      <c r="B991" s="316"/>
      <c r="C991" s="374"/>
      <c r="D991" s="450"/>
      <c r="E991" s="450"/>
      <c r="F991" s="450"/>
      <c r="G991" s="450"/>
      <c r="H991" s="450"/>
      <c r="I991" s="450"/>
      <c r="J991" s="450"/>
      <c r="L991" s="350"/>
      <c r="M991" s="350"/>
      <c r="N991" s="345"/>
      <c r="O991" s="298"/>
      <c r="R991" s="348" t="str">
        <f>R993</f>
        <v>DELETE</v>
      </c>
    </row>
    <row r="992" spans="2:18" ht="9" customHeight="1" x14ac:dyDescent="0.5">
      <c r="B992" s="316"/>
      <c r="C992" s="374"/>
      <c r="D992" s="450"/>
      <c r="E992" s="450"/>
      <c r="F992" s="450"/>
      <c r="G992" s="450"/>
      <c r="H992" s="450"/>
      <c r="I992" s="450"/>
      <c r="J992" s="450"/>
      <c r="L992" s="350"/>
      <c r="M992" s="350"/>
      <c r="N992" s="345"/>
      <c r="O992" s="296"/>
      <c r="R992" s="348" t="str">
        <f>R993</f>
        <v>DELETE</v>
      </c>
    </row>
    <row r="993" spans="2:21" ht="36.75" customHeight="1" x14ac:dyDescent="0.5">
      <c r="B993" s="316"/>
      <c r="C993" s="374"/>
      <c r="D993" s="450"/>
      <c r="E993" s="450"/>
      <c r="F993" s="450"/>
      <c r="G993" s="450"/>
      <c r="H993" s="450"/>
      <c r="I993" s="450"/>
      <c r="J993" s="450"/>
      <c r="L993" s="350"/>
      <c r="M993" s="350"/>
      <c r="N993" s="345"/>
      <c r="O993" s="296">
        <f>SUM(O986:O992)</f>
        <v>0</v>
      </c>
      <c r="R993" s="348" t="str">
        <f t="shared" ref="R993" si="30">IF(O993=0,"DELETE"," ")</f>
        <v>DELETE</v>
      </c>
      <c r="U993" s="331" t="b">
        <f>O993=SUM(TrialBalance!L113:L117)+SUM(TrialBalanceA!I113:I117)+SUM(TrialBalanceB!I113:I117)+SUM(TrialBalanceC!I113:I117)</f>
        <v>1</v>
      </c>
    </row>
    <row r="994" spans="2:21" ht="9" customHeight="1" thickBot="1" x14ac:dyDescent="0.55000000000000004">
      <c r="B994" s="316"/>
      <c r="C994" s="374"/>
      <c r="D994" s="450"/>
      <c r="E994" s="450"/>
      <c r="F994" s="450"/>
      <c r="G994" s="450"/>
      <c r="H994" s="450"/>
      <c r="I994" s="450"/>
      <c r="J994" s="450"/>
      <c r="L994" s="350"/>
      <c r="M994" s="350"/>
      <c r="N994" s="345"/>
      <c r="O994" s="299"/>
      <c r="R994" s="348" t="str">
        <f>R993</f>
        <v>DELETE</v>
      </c>
    </row>
    <row r="995" spans="2:21" ht="9" customHeight="1" thickTop="1" x14ac:dyDescent="0.5">
      <c r="B995" s="316"/>
      <c r="C995" s="374"/>
      <c r="D995" s="450"/>
      <c r="E995" s="450"/>
      <c r="F995" s="450"/>
      <c r="G995" s="450"/>
      <c r="H995" s="450"/>
      <c r="I995" s="450"/>
      <c r="J995" s="450"/>
      <c r="L995" s="350"/>
      <c r="M995" s="350"/>
      <c r="N995" s="345"/>
      <c r="O995" s="310"/>
      <c r="R995" s="348" t="str">
        <f>R994</f>
        <v>DELETE</v>
      </c>
    </row>
    <row r="996" spans="2:21" ht="36" customHeight="1" x14ac:dyDescent="0.5">
      <c r="B996" s="316"/>
      <c r="C996" s="374"/>
      <c r="D996" s="450"/>
      <c r="E996" s="450"/>
      <c r="F996" s="450"/>
      <c r="G996" s="450"/>
      <c r="H996" s="450"/>
      <c r="I996" s="450"/>
      <c r="J996" s="450"/>
      <c r="L996" s="350"/>
      <c r="M996" s="350"/>
      <c r="N996" s="345"/>
      <c r="O996" s="296"/>
      <c r="R996" s="348" t="str">
        <f>R993</f>
        <v>DELETE</v>
      </c>
    </row>
    <row r="997" spans="2:21" ht="36" customHeight="1" x14ac:dyDescent="0.5">
      <c r="B997" s="316"/>
      <c r="C997" s="450" t="str">
        <f>IF(SUM(TrialBalance!L113:L117)+SUM(TrialBalance!N113:N117)+SUM(TrialBalanceA!I113:I117)+SUM(TrialBalanceA!K113:K117)+SUM(TrialBalanceB!I113:I117)+SUM(TrialBalanceB!K113:K117)+SUM(TrialBalanceC!I113:I117)+SUM(TrialBalanceC!K113:K117)&gt;0," ",IF(MAX(Criteria!I38:I42)&gt;1,"No remuneration was paid to the directors during the period under review.","No remuneration was paid to the director during the period under review."))</f>
        <v>No remuneration was paid to the directors during the period under review.</v>
      </c>
      <c r="D997" s="350"/>
      <c r="E997" s="450"/>
      <c r="F997" s="450"/>
      <c r="G997" s="450"/>
      <c r="H997" s="450"/>
      <c r="I997" s="450"/>
      <c r="J997" s="450"/>
      <c r="M997" s="296"/>
      <c r="N997" s="296"/>
      <c r="O997" s="296"/>
      <c r="R997" s="348" t="str">
        <f>IF(C997=" ","DELETE"," ")</f>
        <v xml:space="preserve"> </v>
      </c>
    </row>
    <row r="998" spans="2:21" ht="36" customHeight="1" x14ac:dyDescent="0.5">
      <c r="B998" s="316"/>
      <c r="C998" s="374"/>
      <c r="D998" s="450"/>
      <c r="E998" s="450"/>
      <c r="F998" s="450"/>
      <c r="G998" s="450"/>
      <c r="H998" s="450"/>
      <c r="I998" s="450"/>
      <c r="J998" s="450"/>
      <c r="M998" s="296"/>
      <c r="N998" s="296"/>
      <c r="O998" s="296"/>
    </row>
    <row r="999" spans="2:21" ht="36" customHeight="1" x14ac:dyDescent="0.5">
      <c r="B999" s="354"/>
      <c r="D999" s="456"/>
      <c r="E999" s="450"/>
      <c r="F999" s="450"/>
      <c r="G999" s="450"/>
      <c r="H999" s="450"/>
      <c r="I999" s="450"/>
      <c r="J999" s="450"/>
      <c r="M999" s="356"/>
      <c r="N999" s="356"/>
      <c r="O999" s="356"/>
      <c r="P999" s="356"/>
    </row>
    <row r="1000" spans="2:21" ht="36" customHeight="1" x14ac:dyDescent="0.5">
      <c r="B1000" s="354"/>
      <c r="D1000" s="456"/>
      <c r="E1000" s="450"/>
      <c r="F1000" s="450"/>
      <c r="G1000" s="450"/>
      <c r="H1000" s="450"/>
      <c r="I1000" s="450"/>
      <c r="J1000" s="450"/>
      <c r="M1000" s="356"/>
      <c r="N1000" s="356"/>
      <c r="O1000" s="356"/>
      <c r="P1000" s="356"/>
    </row>
    <row r="1001" spans="2:21" ht="36" customHeight="1" x14ac:dyDescent="0.5">
      <c r="B1001" s="354"/>
      <c r="D1001" s="456"/>
      <c r="E1001" s="450"/>
      <c r="F1001" s="450"/>
      <c r="G1001" s="450"/>
      <c r="H1001" s="450"/>
      <c r="I1001" s="450"/>
      <c r="J1001" s="450"/>
      <c r="M1001" s="347"/>
      <c r="O1001" s="347"/>
    </row>
    <row r="1002" spans="2:21" ht="36" customHeight="1" x14ac:dyDescent="0.5">
      <c r="B1002" s="316"/>
      <c r="C1002" s="374"/>
      <c r="D1002" s="450"/>
      <c r="E1002" s="450"/>
      <c r="F1002" s="450"/>
      <c r="G1002" s="450"/>
      <c r="H1002" s="450"/>
      <c r="I1002" s="450"/>
      <c r="J1002" s="450"/>
      <c r="M1002" s="296"/>
      <c r="N1002" s="296"/>
      <c r="O1002" s="296" t="s">
        <v>89</v>
      </c>
      <c r="Q1002" s="292">
        <f>MAX($Q$105:Q1001)+1</f>
        <v>29</v>
      </c>
      <c r="R1002" s="348" t="str">
        <f>R$1028</f>
        <v>DELETE</v>
      </c>
    </row>
    <row r="1003" spans="2:21" ht="36" customHeight="1" x14ac:dyDescent="0.5">
      <c r="B1003" s="354"/>
      <c r="C1003" s="375"/>
      <c r="D1003" s="456" t="str">
        <f>Criteria!E9</f>
        <v>HOLDING COMPANY 268 (PROPRIETARY) LIMITED</v>
      </c>
      <c r="E1003" s="450"/>
      <c r="F1003" s="450"/>
      <c r="G1003" s="450"/>
      <c r="H1003" s="450"/>
      <c r="I1003" s="450"/>
      <c r="J1003" s="450"/>
      <c r="M1003" s="351"/>
      <c r="N1003" s="351"/>
      <c r="O1003" s="347"/>
      <c r="R1003" s="348" t="str">
        <f>R$1028</f>
        <v>DELETE</v>
      </c>
    </row>
    <row r="1004" spans="2:21" ht="36" customHeight="1" x14ac:dyDescent="0.5">
      <c r="B1004" s="354"/>
      <c r="C1004" s="375"/>
      <c r="D1004" s="456" t="str">
        <f>Criteria!E10</f>
        <v>CONSOLIDATED FINANCIAL STATEMENTS</v>
      </c>
      <c r="E1004" s="450"/>
      <c r="F1004" s="450"/>
      <c r="G1004" s="450"/>
      <c r="H1004" s="450"/>
      <c r="I1004" s="450"/>
      <c r="J1004" s="450"/>
      <c r="M1004" s="351"/>
      <c r="N1004" s="351"/>
      <c r="O1004" s="351"/>
      <c r="R1004" s="348" t="str">
        <f>IF(R$1028="DELETE","DELETE",IF(D1004=0,"DELETE"," "))</f>
        <v>DELETE</v>
      </c>
    </row>
    <row r="1005" spans="2:21" ht="36" customHeight="1" x14ac:dyDescent="0.5">
      <c r="B1005" s="354"/>
      <c r="C1005" s="375"/>
      <c r="D1005" s="450"/>
      <c r="E1005" s="450"/>
      <c r="F1005" s="450"/>
      <c r="G1005" s="450"/>
      <c r="H1005" s="450"/>
      <c r="I1005" s="450"/>
      <c r="J1005" s="450"/>
      <c r="M1005" s="351"/>
      <c r="N1005" s="351"/>
      <c r="O1005" s="351"/>
      <c r="R1005" s="348" t="str">
        <f t="shared" ref="R1005:R1013" si="31">R$1028</f>
        <v>DELETE</v>
      </c>
    </row>
    <row r="1006" spans="2:21" ht="36" customHeight="1" x14ac:dyDescent="0.5">
      <c r="B1006" s="354"/>
      <c r="C1006" s="375"/>
      <c r="D1006" s="456" t="s">
        <v>351</v>
      </c>
      <c r="E1006" s="450"/>
      <c r="F1006" s="450"/>
      <c r="G1006" s="450"/>
      <c r="H1006" s="450"/>
      <c r="I1006" s="450"/>
      <c r="J1006" s="450"/>
      <c r="M1006" s="351"/>
      <c r="N1006" s="351"/>
      <c r="O1006" s="351"/>
      <c r="R1006" s="348" t="str">
        <f t="shared" si="31"/>
        <v>DELETE</v>
      </c>
    </row>
    <row r="1007" spans="2:21" ht="36" customHeight="1" x14ac:dyDescent="0.5">
      <c r="B1007" s="354"/>
      <c r="C1007" s="375"/>
      <c r="D1007" s="456" t="str">
        <f>Criteria!E20</f>
        <v>28 FEBRUARY 2025</v>
      </c>
      <c r="E1007" s="450"/>
      <c r="F1007" s="450"/>
      <c r="G1007" s="450"/>
      <c r="H1007" s="450"/>
      <c r="I1007" s="450"/>
      <c r="J1007" s="450" t="s">
        <v>231</v>
      </c>
      <c r="M1007" s="351"/>
      <c r="N1007" s="351"/>
      <c r="O1007" s="351"/>
      <c r="R1007" s="348" t="str">
        <f t="shared" si="31"/>
        <v>DELETE</v>
      </c>
    </row>
    <row r="1008" spans="2:21" ht="36" customHeight="1" x14ac:dyDescent="0.5">
      <c r="B1008" s="354"/>
      <c r="C1008" s="375"/>
      <c r="D1008" s="456"/>
      <c r="E1008" s="450"/>
      <c r="F1008" s="450"/>
      <c r="G1008" s="450"/>
      <c r="H1008" s="450"/>
      <c r="I1008" s="450"/>
      <c r="J1008" s="450"/>
      <c r="M1008" s="351"/>
      <c r="N1008" s="351"/>
      <c r="O1008" s="351"/>
      <c r="R1008" s="348" t="str">
        <f t="shared" si="31"/>
        <v>DELETE</v>
      </c>
    </row>
    <row r="1009" spans="2:18" ht="36" customHeight="1" x14ac:dyDescent="0.5">
      <c r="B1009" s="447"/>
      <c r="C1009" s="376"/>
      <c r="D1009" s="460"/>
      <c r="E1009" s="460"/>
      <c r="F1009" s="460"/>
      <c r="G1009" s="460"/>
      <c r="H1009" s="460"/>
      <c r="I1009" s="460"/>
      <c r="J1009" s="460"/>
      <c r="K1009" s="364"/>
      <c r="L1009" s="364"/>
      <c r="M1009" s="297"/>
      <c r="N1009" s="297"/>
      <c r="O1009" s="297"/>
      <c r="P1009" s="367"/>
      <c r="Q1009" s="364"/>
      <c r="R1009" s="348" t="str">
        <f t="shared" si="31"/>
        <v>DELETE</v>
      </c>
    </row>
    <row r="1010" spans="2:18" ht="36" customHeight="1" x14ac:dyDescent="0.5">
      <c r="B1010" s="316"/>
      <c r="C1010" s="374"/>
      <c r="D1010" s="450"/>
      <c r="E1010" s="450"/>
      <c r="F1010" s="450"/>
      <c r="G1010" s="450"/>
      <c r="H1010" s="450"/>
      <c r="I1010" s="450"/>
      <c r="J1010" s="450"/>
      <c r="L1010" s="350"/>
      <c r="M1010" s="350"/>
      <c r="N1010" s="345"/>
      <c r="O1010" s="294">
        <f>Criteria!E22</f>
        <v>2025</v>
      </c>
      <c r="R1010" s="348" t="str">
        <f t="shared" si="31"/>
        <v>DELETE</v>
      </c>
    </row>
    <row r="1011" spans="2:18" ht="36" customHeight="1" x14ac:dyDescent="0.5">
      <c r="B1011" s="316"/>
      <c r="C1011" s="374"/>
      <c r="D1011" s="450"/>
      <c r="E1011" s="450"/>
      <c r="F1011" s="450"/>
      <c r="G1011" s="450"/>
      <c r="H1011" s="450"/>
      <c r="I1011" s="450"/>
      <c r="J1011" s="450"/>
      <c r="L1011" s="350"/>
      <c r="M1011" s="350"/>
      <c r="N1011" s="345"/>
      <c r="O1011" s="296"/>
      <c r="R1011" s="348" t="str">
        <f t="shared" si="31"/>
        <v>DELETE</v>
      </c>
    </row>
    <row r="1012" spans="2:18" ht="36" customHeight="1" x14ac:dyDescent="0.5">
      <c r="B1012" s="316"/>
      <c r="C1012" s="456" t="s">
        <v>479</v>
      </c>
      <c r="D1012" s="350"/>
      <c r="E1012" s="450"/>
      <c r="F1012" s="450"/>
      <c r="G1012" s="450"/>
      <c r="H1012" s="450"/>
      <c r="I1012" s="450"/>
      <c r="J1012" s="450"/>
      <c r="L1012" s="350"/>
      <c r="M1012" s="350"/>
      <c r="N1012" s="345"/>
      <c r="O1012" s="296"/>
      <c r="R1012" s="348" t="str">
        <f t="shared" si="31"/>
        <v>DELETE</v>
      </c>
    </row>
    <row r="1013" spans="2:18" ht="36" customHeight="1" x14ac:dyDescent="0.5">
      <c r="B1013" s="316"/>
      <c r="C1013" s="456"/>
      <c r="D1013" s="350"/>
      <c r="E1013" s="450"/>
      <c r="F1013" s="450"/>
      <c r="G1013" s="450"/>
      <c r="H1013" s="450"/>
      <c r="I1013" s="450"/>
      <c r="J1013" s="450"/>
      <c r="L1013" s="350"/>
      <c r="M1013" s="350"/>
      <c r="N1013" s="345"/>
      <c r="O1013" s="296"/>
      <c r="R1013" s="348" t="str">
        <f t="shared" si="31"/>
        <v>DELETE</v>
      </c>
    </row>
    <row r="1014" spans="2:18" ht="36" customHeight="1" x14ac:dyDescent="0.5">
      <c r="B1014" s="316"/>
      <c r="C1014" s="450" t="str">
        <f>TrialBalance!C61</f>
        <v>Premises</v>
      </c>
      <c r="D1014" s="350"/>
      <c r="E1014" s="450"/>
      <c r="F1014" s="450"/>
      <c r="G1014" s="450"/>
      <c r="H1014" s="450"/>
      <c r="I1014" s="450"/>
      <c r="J1014" s="450"/>
      <c r="L1014" s="350"/>
      <c r="M1014" s="350"/>
      <c r="N1014" s="345"/>
      <c r="O1014" s="296">
        <f>TrialBalance!L61</f>
        <v>0</v>
      </c>
      <c r="R1014" s="348" t="str">
        <f t="shared" ref="R1014:R1025" si="32">IF(O1014=0,"DELETE"," ")</f>
        <v>DELETE</v>
      </c>
    </row>
    <row r="1015" spans="2:18" ht="36" customHeight="1" x14ac:dyDescent="0.5">
      <c r="B1015" s="316"/>
      <c r="C1015" s="450">
        <f>TrialBalance!C62</f>
        <v>0</v>
      </c>
      <c r="D1015" s="350"/>
      <c r="E1015" s="450"/>
      <c r="F1015" s="450"/>
      <c r="G1015" s="450"/>
      <c r="H1015" s="450"/>
      <c r="I1015" s="450"/>
      <c r="J1015" s="450"/>
      <c r="L1015" s="350"/>
      <c r="M1015" s="350"/>
      <c r="N1015" s="345"/>
      <c r="O1015" s="296">
        <f>TrialBalance!L62</f>
        <v>0</v>
      </c>
      <c r="R1015" s="348" t="str">
        <f t="shared" si="32"/>
        <v>DELETE</v>
      </c>
    </row>
    <row r="1016" spans="2:18" ht="36" customHeight="1" x14ac:dyDescent="0.5">
      <c r="B1016" s="316"/>
      <c r="C1016" s="450">
        <f>TrialBalance!C63</f>
        <v>0</v>
      </c>
      <c r="D1016" s="350"/>
      <c r="E1016" s="450"/>
      <c r="F1016" s="450"/>
      <c r="G1016" s="450"/>
      <c r="H1016" s="450"/>
      <c r="I1016" s="450"/>
      <c r="J1016" s="450"/>
      <c r="L1016" s="350"/>
      <c r="M1016" s="350"/>
      <c r="N1016" s="345"/>
      <c r="O1016" s="296">
        <f>TrialBalance!L63</f>
        <v>0</v>
      </c>
      <c r="R1016" s="348" t="str">
        <f t="shared" si="32"/>
        <v>DELETE</v>
      </c>
    </row>
    <row r="1017" spans="2:18" ht="36" customHeight="1" x14ac:dyDescent="0.5">
      <c r="B1017" s="316"/>
      <c r="C1017" s="450">
        <f>TrialBalanceA!C61</f>
        <v>0</v>
      </c>
      <c r="D1017" s="350"/>
      <c r="E1017" s="450"/>
      <c r="F1017" s="450"/>
      <c r="G1017" s="450"/>
      <c r="H1017" s="450"/>
      <c r="I1017" s="450"/>
      <c r="J1017" s="450"/>
      <c r="L1017" s="350"/>
      <c r="M1017" s="350"/>
      <c r="N1017" s="345"/>
      <c r="O1017" s="296">
        <f>TrialBalanceA!I61</f>
        <v>0</v>
      </c>
      <c r="R1017" s="348" t="str">
        <f t="shared" si="32"/>
        <v>DELETE</v>
      </c>
    </row>
    <row r="1018" spans="2:18" ht="36" customHeight="1" x14ac:dyDescent="0.5">
      <c r="B1018" s="316"/>
      <c r="C1018" s="450">
        <f>TrialBalanceA!C62</f>
        <v>0</v>
      </c>
      <c r="D1018" s="350"/>
      <c r="E1018" s="450"/>
      <c r="F1018" s="450"/>
      <c r="G1018" s="450"/>
      <c r="H1018" s="450"/>
      <c r="I1018" s="450"/>
      <c r="J1018" s="450"/>
      <c r="L1018" s="350"/>
      <c r="M1018" s="350"/>
      <c r="N1018" s="345"/>
      <c r="O1018" s="296">
        <f>TrialBalanceA!I62</f>
        <v>0</v>
      </c>
      <c r="R1018" s="348" t="str">
        <f t="shared" si="32"/>
        <v>DELETE</v>
      </c>
    </row>
    <row r="1019" spans="2:18" ht="36" customHeight="1" x14ac:dyDescent="0.5">
      <c r="B1019" s="316"/>
      <c r="C1019" s="450">
        <f>TrialBalanceA!C63</f>
        <v>0</v>
      </c>
      <c r="D1019" s="350"/>
      <c r="E1019" s="450"/>
      <c r="F1019" s="450"/>
      <c r="G1019" s="450"/>
      <c r="H1019" s="450"/>
      <c r="I1019" s="450"/>
      <c r="J1019" s="450"/>
      <c r="L1019" s="350"/>
      <c r="M1019" s="350"/>
      <c r="N1019" s="345"/>
      <c r="O1019" s="296">
        <f>TrialBalanceA!I63</f>
        <v>0</v>
      </c>
      <c r="R1019" s="348" t="str">
        <f t="shared" si="32"/>
        <v>DELETE</v>
      </c>
    </row>
    <row r="1020" spans="2:18" ht="36" customHeight="1" x14ac:dyDescent="0.5">
      <c r="B1020" s="316"/>
      <c r="C1020" s="450">
        <f>TrialBalanceB!C61</f>
        <v>0</v>
      </c>
      <c r="D1020" s="350"/>
      <c r="E1020" s="450"/>
      <c r="F1020" s="450"/>
      <c r="G1020" s="450"/>
      <c r="H1020" s="450"/>
      <c r="I1020" s="450"/>
      <c r="J1020" s="450"/>
      <c r="L1020" s="350"/>
      <c r="M1020" s="350"/>
      <c r="N1020" s="345"/>
      <c r="O1020" s="296">
        <f>TrialBalanceB!I61</f>
        <v>0</v>
      </c>
      <c r="R1020" s="348" t="str">
        <f t="shared" si="32"/>
        <v>DELETE</v>
      </c>
    </row>
    <row r="1021" spans="2:18" ht="36" customHeight="1" x14ac:dyDescent="0.5">
      <c r="B1021" s="316"/>
      <c r="C1021" s="450">
        <f>TrialBalanceB!C62</f>
        <v>0</v>
      </c>
      <c r="D1021" s="350"/>
      <c r="E1021" s="450"/>
      <c r="F1021" s="450"/>
      <c r="G1021" s="450"/>
      <c r="H1021" s="450"/>
      <c r="I1021" s="450"/>
      <c r="J1021" s="450"/>
      <c r="L1021" s="350"/>
      <c r="M1021" s="350"/>
      <c r="N1021" s="345"/>
      <c r="O1021" s="296">
        <f>TrialBalanceB!I62</f>
        <v>0</v>
      </c>
      <c r="R1021" s="348" t="str">
        <f t="shared" si="32"/>
        <v>DELETE</v>
      </c>
    </row>
    <row r="1022" spans="2:18" ht="36" customHeight="1" x14ac:dyDescent="0.5">
      <c r="B1022" s="316"/>
      <c r="C1022" s="450">
        <f>TrialBalanceB!C63</f>
        <v>0</v>
      </c>
      <c r="D1022" s="350"/>
      <c r="E1022" s="450"/>
      <c r="F1022" s="450"/>
      <c r="G1022" s="450"/>
      <c r="H1022" s="450"/>
      <c r="I1022" s="450"/>
      <c r="J1022" s="450"/>
      <c r="L1022" s="350"/>
      <c r="M1022" s="350"/>
      <c r="N1022" s="345"/>
      <c r="O1022" s="296">
        <f>TrialBalanceB!I63</f>
        <v>0</v>
      </c>
      <c r="R1022" s="348" t="str">
        <f t="shared" si="32"/>
        <v>DELETE</v>
      </c>
    </row>
    <row r="1023" spans="2:18" ht="36" customHeight="1" x14ac:dyDescent="0.5">
      <c r="B1023" s="316"/>
      <c r="C1023" s="450">
        <f>TrialBalanceC!C61</f>
        <v>0</v>
      </c>
      <c r="D1023" s="350"/>
      <c r="E1023" s="450"/>
      <c r="F1023" s="450"/>
      <c r="G1023" s="450"/>
      <c r="H1023" s="450"/>
      <c r="I1023" s="450"/>
      <c r="J1023" s="450"/>
      <c r="L1023" s="350"/>
      <c r="M1023" s="350"/>
      <c r="N1023" s="345"/>
      <c r="O1023" s="296">
        <f>TrialBalanceC!I61</f>
        <v>0</v>
      </c>
      <c r="R1023" s="348" t="str">
        <f t="shared" si="32"/>
        <v>DELETE</v>
      </c>
    </row>
    <row r="1024" spans="2:18" ht="36" customHeight="1" x14ac:dyDescent="0.5">
      <c r="B1024" s="316"/>
      <c r="C1024" s="450">
        <f>TrialBalanceC!C62</f>
        <v>0</v>
      </c>
      <c r="D1024" s="350"/>
      <c r="E1024" s="450"/>
      <c r="F1024" s="450"/>
      <c r="G1024" s="450"/>
      <c r="H1024" s="450"/>
      <c r="I1024" s="450"/>
      <c r="J1024" s="450"/>
      <c r="L1024" s="350"/>
      <c r="M1024" s="350"/>
      <c r="N1024" s="345"/>
      <c r="O1024" s="296">
        <f>TrialBalanceC!I62</f>
        <v>0</v>
      </c>
      <c r="R1024" s="348" t="str">
        <f t="shared" si="32"/>
        <v>DELETE</v>
      </c>
    </row>
    <row r="1025" spans="2:21" ht="36" customHeight="1" x14ac:dyDescent="0.5">
      <c r="B1025" s="316"/>
      <c r="C1025" s="450">
        <f>TrialBalanceC!C63</f>
        <v>0</v>
      </c>
      <c r="D1025" s="350"/>
      <c r="E1025" s="450"/>
      <c r="F1025" s="450"/>
      <c r="G1025" s="450"/>
      <c r="H1025" s="450"/>
      <c r="I1025" s="450"/>
      <c r="J1025" s="450"/>
      <c r="L1025" s="350"/>
      <c r="M1025" s="350"/>
      <c r="N1025" s="345"/>
      <c r="O1025" s="296">
        <f>TrialBalanceC!I63</f>
        <v>0</v>
      </c>
      <c r="R1025" s="348" t="str">
        <f t="shared" si="32"/>
        <v>DELETE</v>
      </c>
    </row>
    <row r="1026" spans="2:21" ht="9" customHeight="1" x14ac:dyDescent="0.5">
      <c r="B1026" s="316"/>
      <c r="C1026" s="317"/>
      <c r="D1026" s="450"/>
      <c r="E1026" s="450"/>
      <c r="F1026" s="450"/>
      <c r="G1026" s="450"/>
      <c r="H1026" s="450"/>
      <c r="I1026" s="450"/>
      <c r="J1026" s="450"/>
      <c r="L1026" s="350"/>
      <c r="M1026" s="350"/>
      <c r="N1026" s="345"/>
      <c r="O1026" s="298"/>
      <c r="R1026" s="348" t="str">
        <f>R$1028</f>
        <v>DELETE</v>
      </c>
    </row>
    <row r="1027" spans="2:21" ht="9" customHeight="1" x14ac:dyDescent="0.5">
      <c r="B1027" s="316"/>
      <c r="C1027" s="317"/>
      <c r="D1027" s="450"/>
      <c r="E1027" s="450"/>
      <c r="F1027" s="450"/>
      <c r="G1027" s="450"/>
      <c r="H1027" s="450"/>
      <c r="I1027" s="450"/>
      <c r="J1027" s="450"/>
      <c r="L1027" s="350"/>
      <c r="M1027" s="350"/>
      <c r="N1027" s="345"/>
      <c r="O1027" s="296"/>
      <c r="R1027" s="348" t="str">
        <f>R$1028</f>
        <v>DELETE</v>
      </c>
    </row>
    <row r="1028" spans="2:21" ht="36.75" customHeight="1" x14ac:dyDescent="0.5">
      <c r="B1028" s="316"/>
      <c r="C1028" s="317"/>
      <c r="D1028" s="450"/>
      <c r="E1028" s="450"/>
      <c r="F1028" s="450"/>
      <c r="G1028" s="450"/>
      <c r="H1028" s="450"/>
      <c r="I1028" s="450"/>
      <c r="J1028" s="450"/>
      <c r="L1028" s="350"/>
      <c r="M1028" s="350"/>
      <c r="N1028" s="345"/>
      <c r="O1028" s="296">
        <f>SUM(O1014:O1027)</f>
        <v>0</v>
      </c>
      <c r="R1028" s="348" t="str">
        <f t="shared" ref="R1028" si="33">IF(O1028=0,"DELETE"," ")</f>
        <v>DELETE</v>
      </c>
      <c r="U1028" s="331" t="b">
        <f>O1028=SUM(TrialBalance!L61:L63)+SUM(TrialBalanceA!I61:I63)+SUM(TrialBalanceB!I61:I63)+SUM(TrialBalanceC!I61:I63)</f>
        <v>1</v>
      </c>
    </row>
    <row r="1029" spans="2:21" ht="9" customHeight="1" thickBot="1" x14ac:dyDescent="0.55000000000000004">
      <c r="B1029" s="316"/>
      <c r="C1029" s="317"/>
      <c r="D1029" s="450"/>
      <c r="E1029" s="450"/>
      <c r="F1029" s="450"/>
      <c r="G1029" s="450"/>
      <c r="H1029" s="450"/>
      <c r="I1029" s="450"/>
      <c r="J1029" s="450"/>
      <c r="L1029" s="350"/>
      <c r="M1029" s="350"/>
      <c r="N1029" s="345"/>
      <c r="O1029" s="299"/>
      <c r="R1029" s="348" t="str">
        <f t="shared" ref="R1029:R1034" si="34">R$1028</f>
        <v>DELETE</v>
      </c>
    </row>
    <row r="1030" spans="2:21" ht="9" customHeight="1" thickTop="1" x14ac:dyDescent="0.5">
      <c r="B1030" s="316"/>
      <c r="C1030" s="317"/>
      <c r="D1030" s="450"/>
      <c r="E1030" s="450"/>
      <c r="F1030" s="450"/>
      <c r="G1030" s="450"/>
      <c r="H1030" s="450"/>
      <c r="I1030" s="450"/>
      <c r="J1030" s="450"/>
      <c r="L1030" s="350"/>
      <c r="M1030" s="350"/>
      <c r="N1030" s="345"/>
      <c r="O1030" s="310"/>
      <c r="R1030" s="348" t="str">
        <f t="shared" si="34"/>
        <v>DELETE</v>
      </c>
    </row>
    <row r="1031" spans="2:21" ht="36" customHeight="1" x14ac:dyDescent="0.5">
      <c r="B1031" s="316"/>
      <c r="C1031" s="317"/>
      <c r="D1031" s="450"/>
      <c r="E1031" s="450"/>
      <c r="F1031" s="450"/>
      <c r="G1031" s="450"/>
      <c r="H1031" s="450"/>
      <c r="I1031" s="450"/>
      <c r="J1031" s="450"/>
      <c r="L1031" s="350"/>
      <c r="M1031" s="350"/>
      <c r="N1031" s="345"/>
      <c r="O1031" s="296"/>
      <c r="R1031" s="348" t="str">
        <f t="shared" si="34"/>
        <v>DELETE</v>
      </c>
    </row>
    <row r="1032" spans="2:21" ht="36" customHeight="1" x14ac:dyDescent="0.5">
      <c r="B1032" s="316"/>
      <c r="C1032" s="317"/>
      <c r="D1032" s="450"/>
      <c r="E1032" s="450"/>
      <c r="F1032" s="450"/>
      <c r="G1032" s="450"/>
      <c r="H1032" s="450"/>
      <c r="I1032" s="450"/>
      <c r="J1032" s="450"/>
      <c r="M1032" s="296"/>
      <c r="N1032" s="296"/>
      <c r="O1032" s="296"/>
      <c r="R1032" s="348" t="str">
        <f t="shared" si="34"/>
        <v>DELETE</v>
      </c>
    </row>
    <row r="1033" spans="2:21" ht="36" customHeight="1" x14ac:dyDescent="0.5">
      <c r="B1033" s="316"/>
      <c r="C1033" s="317"/>
      <c r="D1033" s="450"/>
      <c r="E1033" s="450"/>
      <c r="F1033" s="450"/>
      <c r="G1033" s="450"/>
      <c r="H1033" s="450"/>
      <c r="I1033" s="450"/>
      <c r="J1033" s="450"/>
      <c r="M1033" s="310"/>
      <c r="N1033" s="310"/>
      <c r="O1033" s="310"/>
      <c r="P1033" s="356"/>
      <c r="R1033" s="348" t="str">
        <f t="shared" si="34"/>
        <v>DELETE</v>
      </c>
    </row>
    <row r="1034" spans="2:21" ht="36" customHeight="1" x14ac:dyDescent="0.5">
      <c r="B1034" s="316"/>
      <c r="C1034" s="317"/>
      <c r="D1034" s="450"/>
      <c r="E1034" s="450"/>
      <c r="F1034" s="450"/>
      <c r="G1034" s="450"/>
      <c r="H1034" s="450"/>
      <c r="I1034" s="450"/>
      <c r="J1034" s="450"/>
      <c r="M1034" s="296"/>
      <c r="N1034" s="296"/>
      <c r="O1034" s="296"/>
      <c r="R1034" s="348" t="str">
        <f t="shared" si="34"/>
        <v>DELETE</v>
      </c>
    </row>
    <row r="1035" spans="2:21" ht="36" customHeight="1" x14ac:dyDescent="0.5">
      <c r="B1035" s="316"/>
      <c r="C1035" s="317"/>
      <c r="D1035" s="450"/>
      <c r="E1035" s="450"/>
      <c r="F1035" s="450"/>
      <c r="G1035" s="450"/>
      <c r="H1035" s="450"/>
      <c r="I1035" s="450"/>
      <c r="J1035" s="450"/>
      <c r="M1035" s="296"/>
      <c r="N1035" s="296"/>
      <c r="O1035" s="296" t="s">
        <v>89</v>
      </c>
      <c r="Q1035" s="292">
        <f>MAX($Q$105:Q1034)+1</f>
        <v>30</v>
      </c>
      <c r="R1035" s="348" t="str">
        <f>R$1054</f>
        <v>DELETE</v>
      </c>
    </row>
    <row r="1036" spans="2:21" ht="36" customHeight="1" x14ac:dyDescent="0.5">
      <c r="B1036" s="354"/>
      <c r="C1036" s="375"/>
      <c r="D1036" s="456" t="str">
        <f>Criteria!E9</f>
        <v>HOLDING COMPANY 268 (PROPRIETARY) LIMITED</v>
      </c>
      <c r="E1036" s="450"/>
      <c r="F1036" s="450"/>
      <c r="G1036" s="450"/>
      <c r="H1036" s="450"/>
      <c r="I1036" s="450"/>
      <c r="J1036" s="450"/>
      <c r="M1036" s="351"/>
      <c r="N1036" s="351"/>
      <c r="O1036" s="347"/>
      <c r="R1036" s="348" t="str">
        <f>R$1054</f>
        <v>DELETE</v>
      </c>
    </row>
    <row r="1037" spans="2:21" ht="36" customHeight="1" x14ac:dyDescent="0.5">
      <c r="B1037" s="354"/>
      <c r="C1037" s="375"/>
      <c r="D1037" s="456" t="str">
        <f>Criteria!E10</f>
        <v>CONSOLIDATED FINANCIAL STATEMENTS</v>
      </c>
      <c r="E1037" s="450"/>
      <c r="F1037" s="450"/>
      <c r="G1037" s="450"/>
      <c r="H1037" s="450"/>
      <c r="I1037" s="450"/>
      <c r="J1037" s="450"/>
      <c r="M1037" s="351"/>
      <c r="N1037" s="351"/>
      <c r="O1037" s="351"/>
      <c r="R1037" s="348" t="str">
        <f>IF(R$1054="DELETE","DELETE",IF(D1037=0,"DELETE"," "))</f>
        <v>DELETE</v>
      </c>
    </row>
    <row r="1038" spans="2:21" ht="36" customHeight="1" x14ac:dyDescent="0.5">
      <c r="B1038" s="354"/>
      <c r="C1038" s="375"/>
      <c r="D1038" s="450"/>
      <c r="E1038" s="450"/>
      <c r="F1038" s="450"/>
      <c r="G1038" s="450"/>
      <c r="H1038" s="450"/>
      <c r="I1038" s="450"/>
      <c r="J1038" s="450"/>
      <c r="M1038" s="351"/>
      <c r="N1038" s="351"/>
      <c r="O1038" s="351"/>
      <c r="R1038" s="348" t="str">
        <f t="shared" ref="R1038:R1046" si="35">R$1054</f>
        <v>DELETE</v>
      </c>
    </row>
    <row r="1039" spans="2:21" ht="36" customHeight="1" x14ac:dyDescent="0.5">
      <c r="B1039" s="354"/>
      <c r="C1039" s="375"/>
      <c r="D1039" s="456" t="s">
        <v>351</v>
      </c>
      <c r="E1039" s="450"/>
      <c r="F1039" s="450"/>
      <c r="G1039" s="450"/>
      <c r="H1039" s="450"/>
      <c r="I1039" s="450"/>
      <c r="J1039" s="450"/>
      <c r="M1039" s="351"/>
      <c r="N1039" s="351"/>
      <c r="O1039" s="351"/>
      <c r="R1039" s="348" t="str">
        <f t="shared" si="35"/>
        <v>DELETE</v>
      </c>
    </row>
    <row r="1040" spans="2:21" ht="36" customHeight="1" x14ac:dyDescent="0.5">
      <c r="B1040" s="354"/>
      <c r="C1040" s="375"/>
      <c r="D1040" s="456" t="str">
        <f>Criteria!E20</f>
        <v>28 FEBRUARY 2025</v>
      </c>
      <c r="E1040" s="450"/>
      <c r="F1040" s="450"/>
      <c r="G1040" s="450"/>
      <c r="H1040" s="450"/>
      <c r="I1040" s="450"/>
      <c r="J1040" s="450" t="s">
        <v>231</v>
      </c>
      <c r="M1040" s="351"/>
      <c r="N1040" s="351"/>
      <c r="O1040" s="351"/>
      <c r="R1040" s="348" t="str">
        <f t="shared" si="35"/>
        <v>DELETE</v>
      </c>
    </row>
    <row r="1041" spans="2:21" ht="36" customHeight="1" x14ac:dyDescent="0.5">
      <c r="B1041" s="354"/>
      <c r="C1041" s="375"/>
      <c r="D1041" s="456"/>
      <c r="E1041" s="450"/>
      <c r="F1041" s="450"/>
      <c r="G1041" s="450"/>
      <c r="H1041" s="450"/>
      <c r="I1041" s="450"/>
      <c r="J1041" s="450"/>
      <c r="M1041" s="351"/>
      <c r="N1041" s="351"/>
      <c r="O1041" s="351"/>
      <c r="R1041" s="348" t="str">
        <f t="shared" si="35"/>
        <v>DELETE</v>
      </c>
    </row>
    <row r="1042" spans="2:21" ht="36" customHeight="1" x14ac:dyDescent="0.5">
      <c r="B1042" s="447"/>
      <c r="C1042" s="318"/>
      <c r="D1042" s="460"/>
      <c r="E1042" s="460"/>
      <c r="F1042" s="460"/>
      <c r="G1042" s="460"/>
      <c r="H1042" s="460"/>
      <c r="I1042" s="460"/>
      <c r="J1042" s="460"/>
      <c r="K1042" s="364"/>
      <c r="L1042" s="364"/>
      <c r="M1042" s="297"/>
      <c r="N1042" s="297"/>
      <c r="O1042" s="297"/>
      <c r="P1042" s="367"/>
      <c r="Q1042" s="364"/>
      <c r="R1042" s="348" t="str">
        <f t="shared" si="35"/>
        <v>DELETE</v>
      </c>
    </row>
    <row r="1043" spans="2:21" ht="36" customHeight="1" x14ac:dyDescent="0.5">
      <c r="B1043" s="316"/>
      <c r="C1043" s="317"/>
      <c r="D1043" s="450"/>
      <c r="E1043" s="450"/>
      <c r="F1043" s="450"/>
      <c r="G1043" s="450"/>
      <c r="H1043" s="450"/>
      <c r="I1043" s="450"/>
      <c r="J1043" s="450"/>
      <c r="L1043" s="350"/>
      <c r="M1043" s="350"/>
      <c r="N1043" s="345"/>
      <c r="O1043" s="294">
        <f>Criteria!E22</f>
        <v>2025</v>
      </c>
      <c r="R1043" s="348" t="str">
        <f t="shared" si="35"/>
        <v>DELETE</v>
      </c>
    </row>
    <row r="1044" spans="2:21" ht="36" customHeight="1" x14ac:dyDescent="0.5">
      <c r="B1044" s="316"/>
      <c r="C1044" s="317"/>
      <c r="D1044" s="450"/>
      <c r="E1044" s="450"/>
      <c r="F1044" s="450"/>
      <c r="G1044" s="450"/>
      <c r="H1044" s="450"/>
      <c r="I1044" s="450"/>
      <c r="J1044" s="450"/>
      <c r="L1044" s="350"/>
      <c r="M1044" s="350"/>
      <c r="N1044" s="345"/>
      <c r="O1044" s="296"/>
      <c r="R1044" s="348" t="str">
        <f t="shared" si="35"/>
        <v>DELETE</v>
      </c>
    </row>
    <row r="1045" spans="2:21" ht="36" customHeight="1" x14ac:dyDescent="0.5">
      <c r="B1045" s="316"/>
      <c r="C1045" s="456" t="s">
        <v>252</v>
      </c>
      <c r="D1045" s="350"/>
      <c r="E1045" s="450"/>
      <c r="F1045" s="450"/>
      <c r="G1045" s="450"/>
      <c r="H1045" s="450"/>
      <c r="I1045" s="450"/>
      <c r="J1045" s="450"/>
      <c r="L1045" s="350"/>
      <c r="M1045" s="350"/>
      <c r="N1045" s="345"/>
      <c r="O1045" s="296"/>
      <c r="R1045" s="348" t="str">
        <f t="shared" si="35"/>
        <v>DELETE</v>
      </c>
    </row>
    <row r="1046" spans="2:21" ht="36" customHeight="1" x14ac:dyDescent="0.5">
      <c r="B1046" s="316"/>
      <c r="C1046" s="456"/>
      <c r="D1046" s="350"/>
      <c r="E1046" s="450"/>
      <c r="F1046" s="450"/>
      <c r="G1046" s="450"/>
      <c r="H1046" s="450"/>
      <c r="I1046" s="450"/>
      <c r="J1046" s="450"/>
      <c r="L1046" s="350"/>
      <c r="M1046" s="350"/>
      <c r="N1046" s="345"/>
      <c r="O1046" s="296"/>
      <c r="R1046" s="348" t="str">
        <f t="shared" si="35"/>
        <v>DELETE</v>
      </c>
    </row>
    <row r="1047" spans="2:21" ht="36" customHeight="1" x14ac:dyDescent="0.5">
      <c r="B1047" s="316"/>
      <c r="C1047" s="450" t="s">
        <v>857</v>
      </c>
      <c r="D1047" s="350"/>
      <c r="E1047" s="450"/>
      <c r="F1047" s="450"/>
      <c r="G1047" s="450"/>
      <c r="H1047" s="450"/>
      <c r="I1047" s="450"/>
      <c r="J1047" s="450"/>
      <c r="L1047" s="350"/>
      <c r="M1047" s="350"/>
      <c r="N1047" s="345"/>
      <c r="O1047" s="296">
        <f>TrialBalance!L44+TrialBalanceA!I44+TrialBalanceB!I44+TrialBalanceC!I44</f>
        <v>0</v>
      </c>
      <c r="R1047" s="348" t="str">
        <f t="shared" ref="R1047:R1051" si="36">IF(O1047=0,"DELETE"," ")</f>
        <v>DELETE</v>
      </c>
    </row>
    <row r="1048" spans="2:21" ht="36" customHeight="1" x14ac:dyDescent="0.5">
      <c r="B1048" s="316"/>
      <c r="C1048" s="450" t="s">
        <v>683</v>
      </c>
      <c r="D1048" s="350"/>
      <c r="E1048" s="450"/>
      <c r="F1048" s="450"/>
      <c r="G1048" s="450"/>
      <c r="H1048" s="450"/>
      <c r="I1048" s="450"/>
      <c r="J1048" s="450"/>
      <c r="L1048" s="350"/>
      <c r="M1048" s="350"/>
      <c r="N1048" s="345"/>
      <c r="O1048" s="296">
        <f>TrialBalance!L45+TrialBalanceA!I45+TrialBalanceB!I45+TrialBalanceC!I45</f>
        <v>0</v>
      </c>
      <c r="R1048" s="348" t="str">
        <f t="shared" si="36"/>
        <v>DELETE</v>
      </c>
    </row>
    <row r="1049" spans="2:21" ht="36" customHeight="1" x14ac:dyDescent="0.5">
      <c r="B1049" s="316"/>
      <c r="C1049" s="450" t="s">
        <v>529</v>
      </c>
      <c r="D1049" s="350"/>
      <c r="E1049" s="450"/>
      <c r="F1049" s="450"/>
      <c r="G1049" s="450"/>
      <c r="H1049" s="450"/>
      <c r="I1049" s="450"/>
      <c r="J1049" s="450"/>
      <c r="L1049" s="350"/>
      <c r="M1049" s="350"/>
      <c r="N1049" s="345"/>
      <c r="O1049" s="296">
        <f>TrialBalance!L46+TrialBalanceA!I46+TrialBalanceB!I46+TrialBalanceC!I46</f>
        <v>0</v>
      </c>
      <c r="R1049" s="348" t="str">
        <f t="shared" si="36"/>
        <v>DELETE</v>
      </c>
    </row>
    <row r="1050" spans="2:21" ht="36" customHeight="1" x14ac:dyDescent="0.5">
      <c r="B1050" s="316"/>
      <c r="C1050" s="450" t="s">
        <v>530</v>
      </c>
      <c r="D1050" s="350"/>
      <c r="E1050" s="450"/>
      <c r="F1050" s="450"/>
      <c r="G1050" s="450"/>
      <c r="H1050" s="450"/>
      <c r="I1050" s="450"/>
      <c r="J1050" s="450"/>
      <c r="L1050" s="350"/>
      <c r="M1050" s="350"/>
      <c r="N1050" s="345"/>
      <c r="O1050" s="296">
        <f>TrialBalance!L110+TrialBalanceA!I110+TrialBalanceB!I110+TrialBalanceC!I110</f>
        <v>0</v>
      </c>
      <c r="R1050" s="348" t="str">
        <f t="shared" si="36"/>
        <v>DELETE</v>
      </c>
    </row>
    <row r="1051" spans="2:21" ht="36" customHeight="1" x14ac:dyDescent="0.5">
      <c r="B1051" s="316"/>
      <c r="C1051" s="450" t="s">
        <v>686</v>
      </c>
      <c r="D1051" s="350"/>
      <c r="E1051" s="450"/>
      <c r="F1051" s="450"/>
      <c r="G1051" s="450"/>
      <c r="H1051" s="450"/>
      <c r="I1051" s="450"/>
      <c r="J1051" s="450"/>
      <c r="L1051" s="350"/>
      <c r="M1051" s="350"/>
      <c r="N1051" s="345"/>
      <c r="O1051" s="296">
        <f>TrialBalance!L111+TrialBalanceA!I111+TrialBalanceB!I111+TrialBalanceC!I111</f>
        <v>0</v>
      </c>
      <c r="R1051" s="348" t="str">
        <f t="shared" si="36"/>
        <v>DELETE</v>
      </c>
    </row>
    <row r="1052" spans="2:21" ht="9" customHeight="1" x14ac:dyDescent="0.5">
      <c r="B1052" s="316"/>
      <c r="C1052" s="317"/>
      <c r="D1052" s="450"/>
      <c r="E1052" s="450"/>
      <c r="F1052" s="450"/>
      <c r="G1052" s="450"/>
      <c r="H1052" s="450"/>
      <c r="I1052" s="450"/>
      <c r="J1052" s="450"/>
      <c r="L1052" s="350"/>
      <c r="M1052" s="350"/>
      <c r="N1052" s="345"/>
      <c r="O1052" s="298"/>
      <c r="R1052" s="348" t="str">
        <f>R$1054</f>
        <v>DELETE</v>
      </c>
    </row>
    <row r="1053" spans="2:21" ht="9" customHeight="1" x14ac:dyDescent="0.5">
      <c r="B1053" s="316"/>
      <c r="C1053" s="317"/>
      <c r="D1053" s="450"/>
      <c r="E1053" s="450"/>
      <c r="F1053" s="450"/>
      <c r="G1053" s="450"/>
      <c r="H1053" s="450"/>
      <c r="I1053" s="450"/>
      <c r="J1053" s="450"/>
      <c r="L1053" s="350"/>
      <c r="M1053" s="350"/>
      <c r="N1053" s="345"/>
      <c r="O1053" s="296"/>
      <c r="R1053" s="348" t="str">
        <f>R$1054</f>
        <v>DELETE</v>
      </c>
    </row>
    <row r="1054" spans="2:21" ht="36.75" customHeight="1" x14ac:dyDescent="0.5">
      <c r="B1054" s="316"/>
      <c r="C1054" s="317"/>
      <c r="D1054" s="450"/>
      <c r="E1054" s="450"/>
      <c r="F1054" s="450"/>
      <c r="G1054" s="450"/>
      <c r="H1054" s="450"/>
      <c r="I1054" s="450"/>
      <c r="J1054" s="450"/>
      <c r="L1054" s="350"/>
      <c r="M1054" s="350"/>
      <c r="N1054" s="345"/>
      <c r="O1054" s="296">
        <f>SUM(O1047:O1053)</f>
        <v>0</v>
      </c>
      <c r="R1054" s="348" t="str">
        <f t="shared" ref="R1054" si="37">IF(O1054=0,"DELETE"," ")</f>
        <v>DELETE</v>
      </c>
      <c r="U1054" s="331" t="b">
        <f>O1054=SUM(TrialBalance!L44:L46)+SUM(TrialBalance!L110:L111)+SUM(TrialBalanceA!I44:I46)+SUM(TrialBalanceA!I110:I111)+SUM(TrialBalanceB!I44:I46)+SUM(TrialBalanceB!I110:I111)+SUM(TrialBalanceC!I44:I46)+SUM(TrialBalanceC!I110:I111)</f>
        <v>1</v>
      </c>
    </row>
    <row r="1055" spans="2:21" ht="9" customHeight="1" thickBot="1" x14ac:dyDescent="0.55000000000000004">
      <c r="B1055" s="316"/>
      <c r="C1055" s="317"/>
      <c r="D1055" s="450"/>
      <c r="E1055" s="450"/>
      <c r="F1055" s="450"/>
      <c r="G1055" s="450"/>
      <c r="H1055" s="450"/>
      <c r="I1055" s="450"/>
      <c r="J1055" s="450"/>
      <c r="L1055" s="350"/>
      <c r="M1055" s="350"/>
      <c r="N1055" s="345"/>
      <c r="O1055" s="299"/>
      <c r="R1055" s="348" t="str">
        <f t="shared" ref="R1055:R1060" si="38">R$1054</f>
        <v>DELETE</v>
      </c>
    </row>
    <row r="1056" spans="2:21" ht="9" customHeight="1" thickTop="1" x14ac:dyDescent="0.5">
      <c r="B1056" s="316"/>
      <c r="C1056" s="317"/>
      <c r="D1056" s="450"/>
      <c r="E1056" s="450"/>
      <c r="F1056" s="450"/>
      <c r="G1056" s="450"/>
      <c r="H1056" s="450"/>
      <c r="I1056" s="450"/>
      <c r="J1056" s="450"/>
      <c r="L1056" s="350"/>
      <c r="M1056" s="350"/>
      <c r="N1056" s="345"/>
      <c r="O1056" s="310"/>
      <c r="R1056" s="348" t="str">
        <f t="shared" si="38"/>
        <v>DELETE</v>
      </c>
    </row>
    <row r="1057" spans="2:18" ht="36" customHeight="1" x14ac:dyDescent="0.5">
      <c r="B1057" s="316"/>
      <c r="C1057" s="374"/>
      <c r="D1057" s="450"/>
      <c r="E1057" s="450"/>
      <c r="F1057" s="450"/>
      <c r="G1057" s="450"/>
      <c r="H1057" s="450"/>
      <c r="I1057" s="450"/>
      <c r="J1057" s="450"/>
      <c r="L1057" s="350"/>
      <c r="M1057" s="350"/>
      <c r="N1057" s="345"/>
      <c r="O1057" s="296"/>
      <c r="R1057" s="348" t="str">
        <f t="shared" si="38"/>
        <v>DELETE</v>
      </c>
    </row>
    <row r="1058" spans="2:18" ht="36" customHeight="1" x14ac:dyDescent="0.5">
      <c r="B1058" s="316"/>
      <c r="C1058" s="374"/>
      <c r="D1058" s="450"/>
      <c r="E1058" s="450"/>
      <c r="F1058" s="450"/>
      <c r="G1058" s="450"/>
      <c r="H1058" s="450"/>
      <c r="I1058" s="450"/>
      <c r="J1058" s="450"/>
      <c r="M1058" s="296"/>
      <c r="N1058" s="296"/>
      <c r="O1058" s="296"/>
      <c r="R1058" s="348" t="str">
        <f t="shared" si="38"/>
        <v>DELETE</v>
      </c>
    </row>
    <row r="1059" spans="2:18" ht="36" customHeight="1" x14ac:dyDescent="0.5">
      <c r="B1059" s="316"/>
      <c r="C1059" s="374"/>
      <c r="D1059" s="450"/>
      <c r="E1059" s="450"/>
      <c r="F1059" s="450"/>
      <c r="G1059" s="450"/>
      <c r="H1059" s="450"/>
      <c r="I1059" s="450"/>
      <c r="J1059" s="450"/>
      <c r="M1059" s="310"/>
      <c r="N1059" s="310"/>
      <c r="O1059" s="310"/>
      <c r="P1059" s="356"/>
      <c r="R1059" s="348" t="str">
        <f t="shared" si="38"/>
        <v>DELETE</v>
      </c>
    </row>
    <row r="1060" spans="2:18" ht="36" customHeight="1" x14ac:dyDescent="0.5">
      <c r="B1060" s="316"/>
      <c r="C1060" s="352"/>
      <c r="D1060" s="450"/>
      <c r="E1060" s="450"/>
      <c r="F1060" s="450"/>
      <c r="G1060" s="450"/>
      <c r="H1060" s="450"/>
      <c r="I1060" s="450"/>
      <c r="J1060" s="450"/>
      <c r="M1060" s="296"/>
      <c r="N1060" s="296"/>
      <c r="O1060" s="296"/>
      <c r="R1060" s="348" t="str">
        <f t="shared" si="38"/>
        <v>DELETE</v>
      </c>
    </row>
    <row r="1061" spans="2:18" ht="36" customHeight="1" x14ac:dyDescent="0.5">
      <c r="B1061" s="316"/>
      <c r="C1061" s="352"/>
      <c r="D1061" s="450"/>
      <c r="E1061" s="450"/>
      <c r="F1061" s="450"/>
      <c r="G1061" s="450"/>
      <c r="H1061" s="450"/>
      <c r="I1061" s="450"/>
      <c r="J1061" s="450"/>
      <c r="M1061" s="296"/>
      <c r="N1061" s="296"/>
      <c r="O1061" s="296" t="s">
        <v>89</v>
      </c>
      <c r="Q1061" s="292">
        <f>MAX($Q$105:Q1060)+1</f>
        <v>31</v>
      </c>
      <c r="R1061" s="348" t="str">
        <f>R$1114</f>
        <v>DELETE</v>
      </c>
    </row>
    <row r="1062" spans="2:18" ht="36" customHeight="1" x14ac:dyDescent="0.5">
      <c r="B1062" s="354"/>
      <c r="D1062" s="456" t="str">
        <f>Criteria!E9</f>
        <v>HOLDING COMPANY 268 (PROPRIETARY) LIMITED</v>
      </c>
      <c r="E1062" s="450"/>
      <c r="F1062" s="450"/>
      <c r="G1062" s="450"/>
      <c r="H1062" s="450"/>
      <c r="I1062" s="450"/>
      <c r="J1062" s="450"/>
      <c r="M1062" s="351"/>
      <c r="N1062" s="351"/>
      <c r="O1062" s="347"/>
      <c r="R1062" s="348" t="str">
        <f>R$1114</f>
        <v>DELETE</v>
      </c>
    </row>
    <row r="1063" spans="2:18" ht="36" customHeight="1" x14ac:dyDescent="0.5">
      <c r="B1063" s="354"/>
      <c r="D1063" s="456" t="str">
        <f>Criteria!E10</f>
        <v>CONSOLIDATED FINANCIAL STATEMENTS</v>
      </c>
      <c r="E1063" s="450"/>
      <c r="F1063" s="450"/>
      <c r="G1063" s="450"/>
      <c r="H1063" s="450"/>
      <c r="I1063" s="450"/>
      <c r="J1063" s="450"/>
      <c r="M1063" s="351"/>
      <c r="N1063" s="351"/>
      <c r="O1063" s="351"/>
      <c r="R1063" s="348" t="str">
        <f>IF(R$1114="DELETE","DELETE",IF(D1063=0,"DELETE"," "))</f>
        <v>DELETE</v>
      </c>
    </row>
    <row r="1064" spans="2:18" ht="36" customHeight="1" x14ac:dyDescent="0.5">
      <c r="B1064" s="354"/>
      <c r="D1064" s="450"/>
      <c r="E1064" s="450"/>
      <c r="F1064" s="450"/>
      <c r="G1064" s="450"/>
      <c r="H1064" s="450"/>
      <c r="I1064" s="450"/>
      <c r="J1064" s="450"/>
      <c r="M1064" s="351"/>
      <c r="N1064" s="351"/>
      <c r="O1064" s="351"/>
      <c r="R1064" s="348" t="str">
        <f t="shared" ref="R1064:R1073" si="39">R$1114</f>
        <v>DELETE</v>
      </c>
    </row>
    <row r="1065" spans="2:18" ht="36" customHeight="1" x14ac:dyDescent="0.5">
      <c r="B1065" s="354"/>
      <c r="D1065" s="456" t="s">
        <v>351</v>
      </c>
      <c r="E1065" s="450"/>
      <c r="F1065" s="450"/>
      <c r="G1065" s="450"/>
      <c r="H1065" s="450"/>
      <c r="I1065" s="450"/>
      <c r="J1065" s="450"/>
      <c r="M1065" s="351"/>
      <c r="N1065" s="351"/>
      <c r="O1065" s="351"/>
      <c r="R1065" s="348" t="str">
        <f t="shared" si="39"/>
        <v>DELETE</v>
      </c>
    </row>
    <row r="1066" spans="2:18" ht="36" customHeight="1" x14ac:dyDescent="0.5">
      <c r="B1066" s="354"/>
      <c r="D1066" s="456" t="str">
        <f>Criteria!E20</f>
        <v>28 FEBRUARY 2025</v>
      </c>
      <c r="E1066" s="450"/>
      <c r="F1066" s="450"/>
      <c r="G1066" s="450"/>
      <c r="H1066" s="450"/>
      <c r="I1066" s="450"/>
      <c r="J1066" s="450" t="s">
        <v>231</v>
      </c>
      <c r="M1066" s="351"/>
      <c r="N1066" s="351"/>
      <c r="O1066" s="351"/>
      <c r="R1066" s="348" t="str">
        <f t="shared" si="39"/>
        <v>DELETE</v>
      </c>
    </row>
    <row r="1067" spans="2:18" ht="36" customHeight="1" x14ac:dyDescent="0.5">
      <c r="B1067" s="354"/>
      <c r="D1067" s="456"/>
      <c r="E1067" s="450"/>
      <c r="F1067" s="450"/>
      <c r="G1067" s="450"/>
      <c r="H1067" s="450"/>
      <c r="I1067" s="450"/>
      <c r="J1067" s="450"/>
      <c r="M1067" s="351"/>
      <c r="N1067" s="351"/>
      <c r="O1067" s="351"/>
      <c r="R1067" s="348" t="str">
        <f t="shared" si="39"/>
        <v>DELETE</v>
      </c>
    </row>
    <row r="1068" spans="2:18" ht="36" customHeight="1" x14ac:dyDescent="0.5">
      <c r="B1068" s="447"/>
      <c r="C1068" s="370"/>
      <c r="D1068" s="460"/>
      <c r="E1068" s="460"/>
      <c r="F1068" s="460"/>
      <c r="G1068" s="460"/>
      <c r="H1068" s="460"/>
      <c r="I1068" s="460"/>
      <c r="J1068" s="460"/>
      <c r="K1068" s="364"/>
      <c r="L1068" s="364"/>
      <c r="M1068" s="297"/>
      <c r="N1068" s="297"/>
      <c r="O1068" s="297"/>
      <c r="P1068" s="367"/>
      <c r="Q1068" s="364"/>
      <c r="R1068" s="348" t="str">
        <f t="shared" si="39"/>
        <v>DELETE</v>
      </c>
    </row>
    <row r="1069" spans="2:18" ht="36" customHeight="1" x14ac:dyDescent="0.5">
      <c r="B1069" s="316"/>
      <c r="C1069" s="352"/>
      <c r="D1069" s="450"/>
      <c r="E1069" s="450"/>
      <c r="F1069" s="450"/>
      <c r="G1069" s="450"/>
      <c r="H1069" s="450"/>
      <c r="I1069" s="450"/>
      <c r="J1069" s="450"/>
      <c r="L1069" s="350"/>
      <c r="M1069" s="350"/>
      <c r="N1069" s="345"/>
      <c r="O1069" s="294">
        <f>Criteria!E22</f>
        <v>2025</v>
      </c>
      <c r="R1069" s="348" t="str">
        <f t="shared" si="39"/>
        <v>DELETE</v>
      </c>
    </row>
    <row r="1070" spans="2:18" ht="36" customHeight="1" x14ac:dyDescent="0.5">
      <c r="B1070" s="316"/>
      <c r="C1070" s="352"/>
      <c r="D1070" s="450"/>
      <c r="E1070" s="450"/>
      <c r="F1070" s="450"/>
      <c r="G1070" s="450"/>
      <c r="H1070" s="450"/>
      <c r="I1070" s="450"/>
      <c r="J1070" s="450"/>
      <c r="L1070" s="350"/>
      <c r="M1070" s="350"/>
      <c r="N1070" s="345"/>
      <c r="O1070" s="296"/>
      <c r="R1070" s="348" t="str">
        <f t="shared" si="39"/>
        <v>DELETE</v>
      </c>
    </row>
    <row r="1071" spans="2:18" ht="36" customHeight="1" x14ac:dyDescent="0.5">
      <c r="B1071" s="316">
        <f>MAX(B$602:B1070)+1</f>
        <v>6</v>
      </c>
      <c r="C1071" s="456" t="s">
        <v>191</v>
      </c>
      <c r="D1071" s="450"/>
      <c r="E1071" s="450"/>
      <c r="F1071" s="450"/>
      <c r="G1071" s="450"/>
      <c r="H1071" s="450"/>
      <c r="I1071" s="450"/>
      <c r="J1071" s="450"/>
      <c r="L1071" s="350"/>
      <c r="M1071" s="350"/>
      <c r="N1071" s="345"/>
      <c r="O1071" s="296"/>
      <c r="R1071" s="348" t="str">
        <f t="shared" si="39"/>
        <v>DELETE</v>
      </c>
    </row>
    <row r="1072" spans="2:18" ht="36" hidden="1" customHeight="1" x14ac:dyDescent="0.5">
      <c r="B1072" s="316"/>
      <c r="C1072" s="456">
        <f>B1071</f>
        <v>6</v>
      </c>
      <c r="D1072" s="450"/>
      <c r="E1072" s="450"/>
      <c r="F1072" s="450"/>
      <c r="G1072" s="450"/>
      <c r="H1072" s="450"/>
      <c r="I1072" s="450"/>
      <c r="J1072" s="450"/>
      <c r="L1072" s="350"/>
      <c r="M1072" s="350"/>
      <c r="N1072" s="345"/>
      <c r="O1072" s="296"/>
      <c r="R1072" s="348" t="str">
        <f>R1071</f>
        <v>DELETE</v>
      </c>
    </row>
    <row r="1073" spans="2:22" ht="36" customHeight="1" x14ac:dyDescent="0.5">
      <c r="B1073" s="316"/>
      <c r="C1073" s="456"/>
      <c r="D1073" s="450"/>
      <c r="E1073" s="450"/>
      <c r="F1073" s="450"/>
      <c r="G1073" s="450"/>
      <c r="H1073" s="450"/>
      <c r="I1073" s="450"/>
      <c r="J1073" s="450"/>
      <c r="L1073" s="350"/>
      <c r="M1073" s="350"/>
      <c r="N1073" s="345"/>
      <c r="O1073" s="296"/>
      <c r="R1073" s="348" t="str">
        <f t="shared" si="39"/>
        <v>DELETE</v>
      </c>
    </row>
    <row r="1074" spans="2:22" ht="36" customHeight="1" x14ac:dyDescent="0.5">
      <c r="B1074" s="316"/>
      <c r="C1074" s="316">
        <f>MAX(C$1071:C1073)+0.1</f>
        <v>6.1</v>
      </c>
      <c r="D1074" s="450" t="s">
        <v>496</v>
      </c>
      <c r="E1074" s="450"/>
      <c r="F1074" s="450"/>
      <c r="G1074" s="450"/>
      <c r="H1074" s="450"/>
      <c r="I1074" s="450"/>
      <c r="J1074" s="450"/>
      <c r="L1074" s="350"/>
      <c r="M1074" s="350"/>
      <c r="N1074" s="345"/>
      <c r="O1074" s="296">
        <f>SUM(O1077:O1079)</f>
        <v>0</v>
      </c>
      <c r="R1074" s="348" t="str">
        <f t="shared" ref="R1074" si="40">IF(O1074=0,"DELETE"," ")</f>
        <v>DELETE</v>
      </c>
      <c r="S1074" s="336">
        <f>O1074</f>
        <v>0</v>
      </c>
      <c r="T1074" s="336"/>
      <c r="U1074" s="336"/>
      <c r="V1074" s="336"/>
    </row>
    <row r="1075" spans="2:22" ht="9" customHeight="1" x14ac:dyDescent="0.5">
      <c r="B1075" s="316"/>
      <c r="C1075" s="374"/>
      <c r="D1075" s="450"/>
      <c r="E1075" s="450"/>
      <c r="F1075" s="450"/>
      <c r="G1075" s="450"/>
      <c r="H1075" s="450"/>
      <c r="I1075" s="450"/>
      <c r="J1075" s="450"/>
      <c r="L1075" s="350"/>
      <c r="M1075" s="350"/>
      <c r="N1075" s="345"/>
      <c r="O1075" s="296"/>
      <c r="R1075" s="348" t="str">
        <f>R1074</f>
        <v>DELETE</v>
      </c>
    </row>
    <row r="1076" spans="2:22" ht="9" customHeight="1" x14ac:dyDescent="0.5">
      <c r="B1076" s="316"/>
      <c r="C1076" s="374"/>
      <c r="D1076" s="450"/>
      <c r="E1076" s="450"/>
      <c r="F1076" s="450"/>
      <c r="G1076" s="450"/>
      <c r="H1076" s="450"/>
      <c r="I1076" s="450"/>
      <c r="J1076" s="450"/>
      <c r="L1076" s="350"/>
      <c r="M1076" s="350"/>
      <c r="N1076" s="345"/>
      <c r="O1076" s="407"/>
      <c r="R1076" s="348" t="str">
        <f>R1074</f>
        <v>DELETE</v>
      </c>
    </row>
    <row r="1077" spans="2:22" ht="36" customHeight="1" x14ac:dyDescent="0.5">
      <c r="B1077" s="316"/>
      <c r="C1077" s="374"/>
      <c r="D1077" s="450" t="s">
        <v>244</v>
      </c>
      <c r="E1077" s="450"/>
      <c r="F1077" s="450"/>
      <c r="G1077" s="450"/>
      <c r="H1077" s="450"/>
      <c r="I1077" s="450"/>
      <c r="J1077" s="450"/>
      <c r="L1077" s="350"/>
      <c r="M1077" s="350"/>
      <c r="N1077" s="345"/>
      <c r="O1077" s="408">
        <f>-TrialBalance!L91-TrialBalanceA!I91-TrialBalanceB!I91-TrialBalanceC!I91</f>
        <v>0</v>
      </c>
      <c r="R1077" s="348" t="str">
        <f t="shared" ref="R1077:R1079" si="41">IF(O1077=0,"DELETE"," ")</f>
        <v>DELETE</v>
      </c>
    </row>
    <row r="1078" spans="2:22" ht="36" customHeight="1" x14ac:dyDescent="0.5">
      <c r="B1078" s="316"/>
      <c r="C1078" s="374"/>
      <c r="D1078" s="450" t="s">
        <v>993</v>
      </c>
      <c r="E1078" s="450"/>
      <c r="F1078" s="450"/>
      <c r="G1078" s="450"/>
      <c r="H1078" s="450"/>
      <c r="I1078" s="450"/>
      <c r="J1078" s="450"/>
      <c r="L1078" s="350"/>
      <c r="M1078" s="350"/>
      <c r="N1078" s="345"/>
      <c r="O1078" s="408">
        <f>-TrialBalance!L92-TrialBalanceA!I92-TrialBalanceB!I92-TrialBalanceC!I92</f>
        <v>0</v>
      </c>
      <c r="R1078" s="348" t="str">
        <f t="shared" ref="R1078" si="42">IF(O1078=0,"DELETE"," ")</f>
        <v>DELETE</v>
      </c>
    </row>
    <row r="1079" spans="2:22" ht="36" customHeight="1" x14ac:dyDescent="0.5">
      <c r="B1079" s="316"/>
      <c r="C1079" s="374"/>
      <c r="D1079" s="450" t="s">
        <v>531</v>
      </c>
      <c r="E1079" s="450"/>
      <c r="F1079" s="450"/>
      <c r="G1079" s="450"/>
      <c r="H1079" s="450"/>
      <c r="I1079" s="450"/>
      <c r="J1079" s="450"/>
      <c r="L1079" s="350"/>
      <c r="M1079" s="350"/>
      <c r="N1079" s="345"/>
      <c r="O1079" s="408">
        <f>-TrialBalance!L93-TrialBalanceA!I93-TrialBalanceB!I93-TrialBalanceC!I93</f>
        <v>0</v>
      </c>
      <c r="R1079" s="348" t="str">
        <f t="shared" si="41"/>
        <v>DELETE</v>
      </c>
    </row>
    <row r="1080" spans="2:22" ht="9" customHeight="1" x14ac:dyDescent="0.5">
      <c r="B1080" s="316"/>
      <c r="C1080" s="374"/>
      <c r="D1080" s="450"/>
      <c r="E1080" s="450"/>
      <c r="F1080" s="450"/>
      <c r="G1080" s="450"/>
      <c r="H1080" s="450"/>
      <c r="I1080" s="450"/>
      <c r="J1080" s="450"/>
      <c r="L1080" s="350"/>
      <c r="M1080" s="350"/>
      <c r="N1080" s="345"/>
      <c r="O1080" s="409"/>
      <c r="R1080" s="348" t="str">
        <f>R1074</f>
        <v>DELETE</v>
      </c>
    </row>
    <row r="1081" spans="2:22" ht="9" customHeight="1" x14ac:dyDescent="0.5">
      <c r="B1081" s="316"/>
      <c r="C1081" s="374"/>
      <c r="D1081" s="450"/>
      <c r="E1081" s="450"/>
      <c r="F1081" s="450"/>
      <c r="G1081" s="450"/>
      <c r="H1081" s="450"/>
      <c r="I1081" s="450"/>
      <c r="J1081" s="450"/>
      <c r="L1081" s="350"/>
      <c r="M1081" s="350"/>
      <c r="N1081" s="345"/>
      <c r="O1081" s="296"/>
      <c r="R1081" s="348" t="str">
        <f>R1074</f>
        <v>DELETE</v>
      </c>
    </row>
    <row r="1082" spans="2:22" ht="36.75" customHeight="1" x14ac:dyDescent="0.5">
      <c r="B1082" s="316"/>
      <c r="C1082" s="316">
        <f>MAX(C$1071:C1081)+0.1</f>
        <v>6.1999999999999993</v>
      </c>
      <c r="D1082" s="450" t="s">
        <v>644</v>
      </c>
      <c r="E1082" s="450"/>
      <c r="F1082" s="450"/>
      <c r="G1082" s="450"/>
      <c r="H1082" s="450"/>
      <c r="I1082" s="450"/>
      <c r="J1082" s="450"/>
      <c r="L1082" s="350"/>
      <c r="M1082" s="350"/>
      <c r="N1082" s="345"/>
      <c r="O1082" s="296">
        <f>SUM(O1084:O1101)</f>
        <v>0</v>
      </c>
      <c r="R1082" s="348" t="str">
        <f t="shared" ref="R1082" si="43">IF(O1082=0,"DELETE"," ")</f>
        <v>DELETE</v>
      </c>
      <c r="S1082" s="336">
        <f>O1082</f>
        <v>0</v>
      </c>
      <c r="T1082" s="336"/>
      <c r="U1082" s="336"/>
      <c r="V1082" s="336"/>
    </row>
    <row r="1083" spans="2:22" ht="9" customHeight="1" x14ac:dyDescent="0.5">
      <c r="B1083" s="316"/>
      <c r="C1083" s="374"/>
      <c r="D1083" s="450"/>
      <c r="E1083" s="450"/>
      <c r="F1083" s="450"/>
      <c r="G1083" s="450"/>
      <c r="H1083" s="450"/>
      <c r="I1083" s="450"/>
      <c r="J1083" s="450"/>
      <c r="L1083" s="350"/>
      <c r="M1083" s="350"/>
      <c r="N1083" s="345"/>
      <c r="O1083" s="296"/>
      <c r="R1083" s="348" t="str">
        <f>R1082</f>
        <v>DELETE</v>
      </c>
    </row>
    <row r="1084" spans="2:22" ht="9" customHeight="1" x14ac:dyDescent="0.5">
      <c r="B1084" s="316"/>
      <c r="C1084" s="374"/>
      <c r="D1084" s="450"/>
      <c r="E1084" s="450"/>
      <c r="F1084" s="450"/>
      <c r="G1084" s="450"/>
      <c r="H1084" s="450"/>
      <c r="I1084" s="450"/>
      <c r="J1084" s="450"/>
      <c r="L1084" s="350"/>
      <c r="M1084" s="350"/>
      <c r="N1084" s="345"/>
      <c r="O1084" s="407"/>
      <c r="R1084" s="348" t="str">
        <f>R1082</f>
        <v>DELETE</v>
      </c>
    </row>
    <row r="1085" spans="2:22" ht="36" customHeight="1" x14ac:dyDescent="0.5">
      <c r="B1085" s="316"/>
      <c r="C1085" s="374"/>
      <c r="D1085" s="466">
        <f>TrialBalance!C86</f>
        <v>0</v>
      </c>
      <c r="E1085" s="450"/>
      <c r="F1085" s="450"/>
      <c r="G1085" s="450"/>
      <c r="H1085" s="450"/>
      <c r="I1085" s="450"/>
      <c r="J1085" s="450"/>
      <c r="L1085" s="350"/>
      <c r="M1085" s="350"/>
      <c r="N1085" s="345"/>
      <c r="O1085" s="408">
        <f>-TrialBalance!L86</f>
        <v>0</v>
      </c>
      <c r="R1085" s="348" t="str">
        <f t="shared" ref="R1085:R1100" si="44">IF(O1085=0,"DELETE"," ")</f>
        <v>DELETE</v>
      </c>
    </row>
    <row r="1086" spans="2:22" ht="36" customHeight="1" x14ac:dyDescent="0.5">
      <c r="B1086" s="316"/>
      <c r="C1086" s="374"/>
      <c r="D1086" s="466">
        <f>TrialBalance!C87</f>
        <v>0</v>
      </c>
      <c r="E1086" s="450"/>
      <c r="F1086" s="450"/>
      <c r="G1086" s="450"/>
      <c r="H1086" s="450"/>
      <c r="I1086" s="450"/>
      <c r="J1086" s="450"/>
      <c r="L1086" s="350"/>
      <c r="M1086" s="350"/>
      <c r="N1086" s="345"/>
      <c r="O1086" s="408">
        <f>-TrialBalance!L87</f>
        <v>0</v>
      </c>
      <c r="R1086" s="348" t="str">
        <f t="shared" si="44"/>
        <v>DELETE</v>
      </c>
    </row>
    <row r="1087" spans="2:22" ht="36" customHeight="1" x14ac:dyDescent="0.5">
      <c r="B1087" s="316"/>
      <c r="C1087" s="374"/>
      <c r="D1087" s="466">
        <f>TrialBalance!C88</f>
        <v>0</v>
      </c>
      <c r="E1087" s="450"/>
      <c r="F1087" s="450"/>
      <c r="G1087" s="450"/>
      <c r="H1087" s="450"/>
      <c r="I1087" s="450"/>
      <c r="J1087" s="450"/>
      <c r="L1087" s="350"/>
      <c r="M1087" s="350"/>
      <c r="N1087" s="345"/>
      <c r="O1087" s="408">
        <f>-TrialBalance!L88</f>
        <v>0</v>
      </c>
      <c r="R1087" s="348" t="str">
        <f t="shared" si="44"/>
        <v>DELETE</v>
      </c>
    </row>
    <row r="1088" spans="2:22" ht="36" customHeight="1" x14ac:dyDescent="0.5">
      <c r="B1088" s="316"/>
      <c r="C1088" s="374"/>
      <c r="D1088" s="466">
        <f>TrialBalance!C89</f>
        <v>0</v>
      </c>
      <c r="E1088" s="450"/>
      <c r="F1088" s="450"/>
      <c r="G1088" s="450"/>
      <c r="H1088" s="450"/>
      <c r="I1088" s="450"/>
      <c r="J1088" s="450"/>
      <c r="L1088" s="350"/>
      <c r="M1088" s="350"/>
      <c r="N1088" s="345"/>
      <c r="O1088" s="408">
        <f>-TrialBalance!L89</f>
        <v>0</v>
      </c>
      <c r="R1088" s="348" t="str">
        <f t="shared" si="44"/>
        <v>DELETE</v>
      </c>
    </row>
    <row r="1089" spans="2:19" ht="36" customHeight="1" x14ac:dyDescent="0.5">
      <c r="B1089" s="316"/>
      <c r="C1089" s="374"/>
      <c r="D1089" s="466">
        <f>TrialBalanceA!C86</f>
        <v>0</v>
      </c>
      <c r="E1089" s="450"/>
      <c r="F1089" s="450"/>
      <c r="G1089" s="450"/>
      <c r="H1089" s="450"/>
      <c r="I1089" s="450"/>
      <c r="J1089" s="450"/>
      <c r="L1089" s="350"/>
      <c r="M1089" s="350"/>
      <c r="N1089" s="345"/>
      <c r="O1089" s="408">
        <f>-TrialBalanceA!I86</f>
        <v>0</v>
      </c>
      <c r="R1089" s="348" t="str">
        <f t="shared" si="44"/>
        <v>DELETE</v>
      </c>
    </row>
    <row r="1090" spans="2:19" ht="36" customHeight="1" x14ac:dyDescent="0.5">
      <c r="B1090" s="316"/>
      <c r="C1090" s="374"/>
      <c r="D1090" s="466">
        <f>TrialBalanceA!C87</f>
        <v>0</v>
      </c>
      <c r="E1090" s="450"/>
      <c r="F1090" s="450"/>
      <c r="G1090" s="450"/>
      <c r="H1090" s="450"/>
      <c r="I1090" s="450"/>
      <c r="J1090" s="450"/>
      <c r="L1090" s="350"/>
      <c r="M1090" s="350"/>
      <c r="N1090" s="345"/>
      <c r="O1090" s="408">
        <f>-TrialBalanceA!I87</f>
        <v>0</v>
      </c>
      <c r="R1090" s="348" t="str">
        <f t="shared" si="44"/>
        <v>DELETE</v>
      </c>
    </row>
    <row r="1091" spans="2:19" ht="36" customHeight="1" x14ac:dyDescent="0.5">
      <c r="B1091" s="316"/>
      <c r="C1091" s="374"/>
      <c r="D1091" s="466">
        <f>TrialBalanceA!C88</f>
        <v>0</v>
      </c>
      <c r="E1091" s="450"/>
      <c r="F1091" s="450"/>
      <c r="G1091" s="450"/>
      <c r="H1091" s="450"/>
      <c r="I1091" s="450"/>
      <c r="J1091" s="450"/>
      <c r="L1091" s="350"/>
      <c r="M1091" s="350"/>
      <c r="N1091" s="345"/>
      <c r="O1091" s="408">
        <f>-TrialBalanceA!I88</f>
        <v>0</v>
      </c>
      <c r="R1091" s="348" t="str">
        <f t="shared" si="44"/>
        <v>DELETE</v>
      </c>
    </row>
    <row r="1092" spans="2:19" ht="36" customHeight="1" x14ac:dyDescent="0.5">
      <c r="B1092" s="316"/>
      <c r="C1092" s="374"/>
      <c r="D1092" s="466">
        <f>TrialBalanceA!C89</f>
        <v>0</v>
      </c>
      <c r="E1092" s="450"/>
      <c r="F1092" s="450"/>
      <c r="G1092" s="450"/>
      <c r="H1092" s="450"/>
      <c r="I1092" s="450"/>
      <c r="J1092" s="450"/>
      <c r="L1092" s="350"/>
      <c r="M1092" s="350"/>
      <c r="N1092" s="345"/>
      <c r="O1092" s="408">
        <f>-TrialBalanceA!I89</f>
        <v>0</v>
      </c>
      <c r="R1092" s="348" t="str">
        <f t="shared" si="44"/>
        <v>DELETE</v>
      </c>
    </row>
    <row r="1093" spans="2:19" ht="36" customHeight="1" x14ac:dyDescent="0.5">
      <c r="B1093" s="316"/>
      <c r="C1093" s="374"/>
      <c r="D1093" s="466">
        <f>TrialBalanceB!C86</f>
        <v>0</v>
      </c>
      <c r="E1093" s="450"/>
      <c r="F1093" s="450"/>
      <c r="G1093" s="450"/>
      <c r="H1093" s="450"/>
      <c r="I1093" s="450"/>
      <c r="J1093" s="450"/>
      <c r="L1093" s="350"/>
      <c r="M1093" s="350"/>
      <c r="N1093" s="345"/>
      <c r="O1093" s="408">
        <f>-TrialBalanceB!I86</f>
        <v>0</v>
      </c>
      <c r="R1093" s="348" t="str">
        <f t="shared" si="44"/>
        <v>DELETE</v>
      </c>
    </row>
    <row r="1094" spans="2:19" ht="36" customHeight="1" x14ac:dyDescent="0.5">
      <c r="B1094" s="316"/>
      <c r="C1094" s="374"/>
      <c r="D1094" s="466">
        <f>TrialBalanceB!C87</f>
        <v>0</v>
      </c>
      <c r="E1094" s="450"/>
      <c r="F1094" s="450"/>
      <c r="G1094" s="450"/>
      <c r="H1094" s="450"/>
      <c r="I1094" s="450"/>
      <c r="J1094" s="450"/>
      <c r="L1094" s="350"/>
      <c r="M1094" s="350"/>
      <c r="N1094" s="345"/>
      <c r="O1094" s="408">
        <f>-TrialBalanceB!I87</f>
        <v>0</v>
      </c>
      <c r="R1094" s="348" t="str">
        <f t="shared" si="44"/>
        <v>DELETE</v>
      </c>
    </row>
    <row r="1095" spans="2:19" ht="36" customHeight="1" x14ac:dyDescent="0.5">
      <c r="B1095" s="316"/>
      <c r="C1095" s="374"/>
      <c r="D1095" s="466">
        <f>TrialBalanceB!C88</f>
        <v>0</v>
      </c>
      <c r="E1095" s="450"/>
      <c r="F1095" s="450"/>
      <c r="G1095" s="450"/>
      <c r="H1095" s="450"/>
      <c r="I1095" s="450"/>
      <c r="J1095" s="450"/>
      <c r="L1095" s="350"/>
      <c r="M1095" s="350"/>
      <c r="N1095" s="345"/>
      <c r="O1095" s="408">
        <f>-TrialBalanceB!I88</f>
        <v>0</v>
      </c>
      <c r="R1095" s="348" t="str">
        <f t="shared" si="44"/>
        <v>DELETE</v>
      </c>
    </row>
    <row r="1096" spans="2:19" ht="36" customHeight="1" x14ac:dyDescent="0.5">
      <c r="B1096" s="316"/>
      <c r="C1096" s="374"/>
      <c r="D1096" s="466">
        <f>TrialBalanceB!C89</f>
        <v>0</v>
      </c>
      <c r="E1096" s="450"/>
      <c r="F1096" s="450"/>
      <c r="G1096" s="450"/>
      <c r="H1096" s="450"/>
      <c r="I1096" s="450"/>
      <c r="J1096" s="450"/>
      <c r="L1096" s="350"/>
      <c r="M1096" s="350"/>
      <c r="N1096" s="345"/>
      <c r="O1096" s="408">
        <f>-TrialBalanceB!I89</f>
        <v>0</v>
      </c>
      <c r="R1096" s="348" t="str">
        <f t="shared" si="44"/>
        <v>DELETE</v>
      </c>
    </row>
    <row r="1097" spans="2:19" ht="36" customHeight="1" x14ac:dyDescent="0.5">
      <c r="B1097" s="316"/>
      <c r="C1097" s="374"/>
      <c r="D1097" s="466">
        <f>TrialBalanceC!C86</f>
        <v>0</v>
      </c>
      <c r="E1097" s="450"/>
      <c r="F1097" s="450"/>
      <c r="G1097" s="450"/>
      <c r="H1097" s="450"/>
      <c r="I1097" s="450"/>
      <c r="J1097" s="450"/>
      <c r="L1097" s="350"/>
      <c r="M1097" s="350"/>
      <c r="N1097" s="345"/>
      <c r="O1097" s="408">
        <f>-TrialBalanceC!I86</f>
        <v>0</v>
      </c>
      <c r="R1097" s="348" t="str">
        <f t="shared" si="44"/>
        <v>DELETE</v>
      </c>
    </row>
    <row r="1098" spans="2:19" ht="36" customHeight="1" x14ac:dyDescent="0.5">
      <c r="B1098" s="316"/>
      <c r="C1098" s="374"/>
      <c r="D1098" s="466">
        <f>TrialBalanceC!C87</f>
        <v>0</v>
      </c>
      <c r="E1098" s="450"/>
      <c r="F1098" s="450"/>
      <c r="G1098" s="450"/>
      <c r="H1098" s="450"/>
      <c r="I1098" s="450"/>
      <c r="J1098" s="450"/>
      <c r="L1098" s="350"/>
      <c r="M1098" s="350"/>
      <c r="N1098" s="345"/>
      <c r="O1098" s="408">
        <f>-TrialBalanceC!I87</f>
        <v>0</v>
      </c>
      <c r="R1098" s="348" t="str">
        <f t="shared" si="44"/>
        <v>DELETE</v>
      </c>
    </row>
    <row r="1099" spans="2:19" ht="36" customHeight="1" x14ac:dyDescent="0.5">
      <c r="B1099" s="316"/>
      <c r="C1099" s="374"/>
      <c r="D1099" s="466">
        <f>TrialBalanceC!C88</f>
        <v>0</v>
      </c>
      <c r="E1099" s="450"/>
      <c r="F1099" s="450"/>
      <c r="G1099" s="450"/>
      <c r="H1099" s="450"/>
      <c r="I1099" s="450"/>
      <c r="J1099" s="450"/>
      <c r="L1099" s="350"/>
      <c r="M1099" s="350"/>
      <c r="N1099" s="345"/>
      <c r="O1099" s="408">
        <f>-TrialBalanceC!I88</f>
        <v>0</v>
      </c>
      <c r="R1099" s="348" t="str">
        <f t="shared" si="44"/>
        <v>DELETE</v>
      </c>
    </row>
    <row r="1100" spans="2:19" ht="36" customHeight="1" x14ac:dyDescent="0.5">
      <c r="B1100" s="316"/>
      <c r="C1100" s="374"/>
      <c r="D1100" s="466">
        <f>TrialBalanceC!C89</f>
        <v>0</v>
      </c>
      <c r="E1100" s="450"/>
      <c r="F1100" s="450"/>
      <c r="G1100" s="450"/>
      <c r="H1100" s="450"/>
      <c r="I1100" s="450"/>
      <c r="J1100" s="450"/>
      <c r="L1100" s="350"/>
      <c r="M1100" s="350"/>
      <c r="N1100" s="345"/>
      <c r="O1100" s="408">
        <f>-TrialBalanceC!I89</f>
        <v>0</v>
      </c>
      <c r="R1100" s="348" t="str">
        <f t="shared" si="44"/>
        <v>DELETE</v>
      </c>
    </row>
    <row r="1101" spans="2:19" ht="9" customHeight="1" x14ac:dyDescent="0.5">
      <c r="B1101" s="316"/>
      <c r="C1101" s="374"/>
      <c r="D1101" s="450"/>
      <c r="E1101" s="450"/>
      <c r="F1101" s="450"/>
      <c r="G1101" s="450"/>
      <c r="H1101" s="450"/>
      <c r="I1101" s="450"/>
      <c r="J1101" s="450"/>
      <c r="L1101" s="350"/>
      <c r="M1101" s="350"/>
      <c r="N1101" s="345"/>
      <c r="O1101" s="409"/>
      <c r="R1101" s="348" t="str">
        <f>R1082</f>
        <v>DELETE</v>
      </c>
    </row>
    <row r="1102" spans="2:19" ht="9" customHeight="1" x14ac:dyDescent="0.5">
      <c r="B1102" s="316"/>
      <c r="C1102" s="374"/>
      <c r="D1102" s="450"/>
      <c r="E1102" s="450"/>
      <c r="F1102" s="450"/>
      <c r="G1102" s="450"/>
      <c r="H1102" s="450"/>
      <c r="I1102" s="450"/>
      <c r="J1102" s="450"/>
      <c r="L1102" s="350"/>
      <c r="M1102" s="350"/>
      <c r="N1102" s="345"/>
      <c r="O1102" s="296"/>
      <c r="R1102" s="348" t="str">
        <f>R1082</f>
        <v>DELETE</v>
      </c>
    </row>
    <row r="1103" spans="2:19" ht="36.75" customHeight="1" x14ac:dyDescent="0.5">
      <c r="B1103" s="316"/>
      <c r="C1103" s="316">
        <f>MAX(C$1071:C1102)+0.1</f>
        <v>6.2999999999999989</v>
      </c>
      <c r="D1103" s="450" t="s">
        <v>395</v>
      </c>
      <c r="E1103" s="450"/>
      <c r="F1103" s="450"/>
      <c r="G1103" s="450"/>
      <c r="H1103" s="450"/>
      <c r="I1103" s="450"/>
      <c r="J1103" s="450"/>
      <c r="L1103" s="350"/>
      <c r="M1103" s="350"/>
      <c r="N1103" s="345"/>
      <c r="O1103" s="296">
        <f>SUM(O1105:O1111)</f>
        <v>0</v>
      </c>
      <c r="R1103" s="348" t="str">
        <f>IF(SUM(O1106:O1110)=0,"DELETE"," ")</f>
        <v>DELETE</v>
      </c>
      <c r="S1103" s="333">
        <f>O1103</f>
        <v>0</v>
      </c>
    </row>
    <row r="1104" spans="2:19" ht="9" customHeight="1" x14ac:dyDescent="0.5">
      <c r="B1104" s="316"/>
      <c r="C1104" s="317"/>
      <c r="D1104" s="450"/>
      <c r="E1104" s="450"/>
      <c r="F1104" s="450"/>
      <c r="G1104" s="450"/>
      <c r="H1104" s="450"/>
      <c r="I1104" s="450"/>
      <c r="J1104" s="450"/>
      <c r="L1104" s="350"/>
      <c r="M1104" s="350"/>
      <c r="N1104" s="345"/>
      <c r="O1104" s="296"/>
      <c r="R1104" s="348" t="str">
        <f>R1103</f>
        <v>DELETE</v>
      </c>
    </row>
    <row r="1105" spans="2:22" ht="9" customHeight="1" x14ac:dyDescent="0.5">
      <c r="B1105" s="316"/>
      <c r="C1105" s="317"/>
      <c r="D1105" s="450"/>
      <c r="E1105" s="450"/>
      <c r="F1105" s="450"/>
      <c r="G1105" s="450"/>
      <c r="H1105" s="450"/>
      <c r="I1105" s="450"/>
      <c r="J1105" s="450"/>
      <c r="L1105" s="350"/>
      <c r="M1105" s="350"/>
      <c r="N1105" s="345"/>
      <c r="O1105" s="407"/>
      <c r="R1105" s="348" t="str">
        <f>R1103</f>
        <v>DELETE</v>
      </c>
    </row>
    <row r="1106" spans="2:22" ht="36" customHeight="1" x14ac:dyDescent="0.5">
      <c r="B1106" s="316"/>
      <c r="C1106" s="374"/>
      <c r="D1106" s="450" t="s">
        <v>513</v>
      </c>
      <c r="E1106" s="450"/>
      <c r="F1106" s="450"/>
      <c r="G1106" s="450"/>
      <c r="H1106" s="450"/>
      <c r="I1106" s="450"/>
      <c r="J1106" s="450"/>
      <c r="L1106" s="350"/>
      <c r="M1106" s="350"/>
      <c r="N1106" s="345"/>
      <c r="O1106" s="408">
        <f>IF(TrialBalance!L94&lt;0,-TrialBalance!L94,0)+IF(TrialBalanceA!I94&lt;0,-TrialBalanceA!I94,0)+IF(TrialBalanceB!I94&lt;0,-TrialBalanceB!I94,0)+IF(TrialBalanceC!I94&lt;0,-TrialBalanceC!I94,0)</f>
        <v>0</v>
      </c>
      <c r="R1106" s="348" t="str">
        <f t="shared" ref="R1106:R1109" si="45">IF(O1106=0,"DELETE"," ")</f>
        <v>DELETE</v>
      </c>
      <c r="S1106" s="336"/>
      <c r="T1106" s="336"/>
      <c r="U1106" s="336"/>
      <c r="V1106" s="336"/>
    </row>
    <row r="1107" spans="2:22" ht="36" customHeight="1" x14ac:dyDescent="0.5">
      <c r="B1107" s="316"/>
      <c r="C1107" s="374"/>
      <c r="D1107" s="450" t="s">
        <v>334</v>
      </c>
      <c r="E1107" s="450"/>
      <c r="F1107" s="450"/>
      <c r="G1107" s="450"/>
      <c r="H1107" s="450"/>
      <c r="I1107" s="450"/>
      <c r="J1107" s="450"/>
      <c r="L1107" s="350"/>
      <c r="M1107" s="350"/>
      <c r="N1107" s="345"/>
      <c r="O1107" s="408">
        <f>-TrialBalance!L84-TrialBalanceA!I84-TrialBalanceB!I84-TrialBalanceC!I84</f>
        <v>0</v>
      </c>
      <c r="R1107" s="348" t="str">
        <f t="shared" si="45"/>
        <v>DELETE</v>
      </c>
      <c r="S1107" s="336"/>
      <c r="T1107" s="336"/>
      <c r="U1107" s="336"/>
      <c r="V1107" s="336"/>
    </row>
    <row r="1108" spans="2:22" ht="36" customHeight="1" x14ac:dyDescent="0.5">
      <c r="B1108" s="316"/>
      <c r="C1108" s="374"/>
      <c r="D1108" s="450" t="s">
        <v>189</v>
      </c>
      <c r="E1108" s="450"/>
      <c r="F1108" s="450"/>
      <c r="G1108" s="450"/>
      <c r="H1108" s="450"/>
      <c r="I1108" s="450"/>
      <c r="J1108" s="450"/>
      <c r="L1108" s="350"/>
      <c r="M1108" s="350"/>
      <c r="N1108" s="345"/>
      <c r="O1108" s="408">
        <f>-TrialBalance!L95-TrialBalanceA!I95-TrialBalanceB!I95-TrialBalanceC!I95</f>
        <v>0</v>
      </c>
      <c r="R1108" s="348" t="str">
        <f t="shared" si="45"/>
        <v>DELETE</v>
      </c>
      <c r="S1108" s="336"/>
      <c r="T1108" s="336"/>
      <c r="U1108" s="336"/>
      <c r="V1108" s="336"/>
    </row>
    <row r="1109" spans="2:22" ht="36" customHeight="1" x14ac:dyDescent="0.5">
      <c r="B1109" s="316"/>
      <c r="C1109" s="374"/>
      <c r="D1109" s="450" t="s">
        <v>395</v>
      </c>
      <c r="E1109" s="450"/>
      <c r="F1109" s="450"/>
      <c r="G1109" s="450"/>
      <c r="H1109" s="450"/>
      <c r="I1109" s="450"/>
      <c r="J1109" s="450"/>
      <c r="L1109" s="350"/>
      <c r="M1109" s="350"/>
      <c r="N1109" s="345"/>
      <c r="O1109" s="408">
        <f>-TrialBalance!L96-TrialBalanceA!I96-TrialBalanceB!I96-TrialBalanceC!I96</f>
        <v>0</v>
      </c>
      <c r="R1109" s="348" t="str">
        <f t="shared" si="45"/>
        <v>DELETE</v>
      </c>
      <c r="S1109" s="336"/>
      <c r="T1109" s="336"/>
      <c r="U1109" s="336"/>
      <c r="V1109" s="336"/>
    </row>
    <row r="1110" spans="2:22" ht="36" customHeight="1" x14ac:dyDescent="0.5">
      <c r="B1110" s="316"/>
      <c r="C1110" s="374"/>
      <c r="D1110" s="450" t="str">
        <f>TrialBalance!C97</f>
        <v>Revaluation of investment property</v>
      </c>
      <c r="E1110" s="450"/>
      <c r="F1110" s="450"/>
      <c r="G1110" s="450"/>
      <c r="H1110" s="450"/>
      <c r="I1110" s="450"/>
      <c r="J1110" s="450"/>
      <c r="L1110" s="350"/>
      <c r="M1110" s="350"/>
      <c r="N1110" s="345"/>
      <c r="O1110" s="408">
        <f>-TrialBalance!L97-TrialBalanceA!I97-TrialBalanceB!I97-TrialBalanceC!I97</f>
        <v>0</v>
      </c>
      <c r="R1110" s="348" t="str">
        <f t="shared" ref="R1110" si="46">IF(O1110=0,"DELETE"," ")</f>
        <v>DELETE</v>
      </c>
      <c r="S1110" s="336"/>
      <c r="T1110" s="336"/>
      <c r="U1110" s="336"/>
      <c r="V1110" s="336"/>
    </row>
    <row r="1111" spans="2:22" ht="9" customHeight="1" x14ac:dyDescent="0.5">
      <c r="B1111" s="316"/>
      <c r="C1111" s="374"/>
      <c r="D1111" s="450"/>
      <c r="E1111" s="450"/>
      <c r="F1111" s="450"/>
      <c r="G1111" s="450"/>
      <c r="H1111" s="450"/>
      <c r="I1111" s="450"/>
      <c r="J1111" s="450"/>
      <c r="L1111" s="350"/>
      <c r="M1111" s="350"/>
      <c r="N1111" s="345"/>
      <c r="O1111" s="409"/>
      <c r="R1111" s="348" t="str">
        <f>R1103</f>
        <v>DELETE</v>
      </c>
      <c r="S1111" s="336"/>
      <c r="T1111" s="336"/>
      <c r="U1111" s="336"/>
      <c r="V1111" s="336"/>
    </row>
    <row r="1112" spans="2:22" ht="9" customHeight="1" x14ac:dyDescent="0.5">
      <c r="B1112" s="316"/>
      <c r="C1112" s="374"/>
      <c r="D1112" s="450"/>
      <c r="E1112" s="450"/>
      <c r="F1112" s="450"/>
      <c r="G1112" s="450"/>
      <c r="H1112" s="450"/>
      <c r="I1112" s="450"/>
      <c r="J1112" s="450"/>
      <c r="L1112" s="350"/>
      <c r="M1112" s="350"/>
      <c r="N1112" s="345"/>
      <c r="O1112" s="298"/>
      <c r="R1112" s="348" t="str">
        <f>R1114</f>
        <v>DELETE</v>
      </c>
    </row>
    <row r="1113" spans="2:22" ht="9" customHeight="1" x14ac:dyDescent="0.5">
      <c r="B1113" s="316"/>
      <c r="C1113" s="374"/>
      <c r="D1113" s="450"/>
      <c r="E1113" s="450"/>
      <c r="F1113" s="450"/>
      <c r="G1113" s="450"/>
      <c r="H1113" s="450"/>
      <c r="I1113" s="450"/>
      <c r="J1113" s="450"/>
      <c r="L1113" s="350"/>
      <c r="M1113" s="350"/>
      <c r="N1113" s="345"/>
      <c r="O1113" s="296"/>
      <c r="R1113" s="348" t="str">
        <f>R1114</f>
        <v>DELETE</v>
      </c>
    </row>
    <row r="1114" spans="2:22" ht="36.75" customHeight="1" x14ac:dyDescent="0.5">
      <c r="B1114" s="316"/>
      <c r="C1114" s="374"/>
      <c r="D1114" s="450" t="s">
        <v>532</v>
      </c>
      <c r="E1114" s="450"/>
      <c r="F1114" s="450"/>
      <c r="G1114" s="450"/>
      <c r="H1114" s="450"/>
      <c r="I1114" s="450"/>
      <c r="J1114" s="450"/>
      <c r="L1114" s="350"/>
      <c r="M1114" s="350"/>
      <c r="N1114" s="345"/>
      <c r="O1114" s="296">
        <f>SUM(S1074:S1112)</f>
        <v>0</v>
      </c>
      <c r="R1114" s="348" t="str">
        <f t="shared" ref="R1114" si="47">IF(O1114=0,"DELETE"," ")</f>
        <v>DELETE</v>
      </c>
      <c r="U1114" s="338"/>
      <c r="V1114" s="338"/>
    </row>
    <row r="1115" spans="2:22" ht="9" customHeight="1" thickBot="1" x14ac:dyDescent="0.55000000000000004">
      <c r="B1115" s="316"/>
      <c r="C1115" s="374"/>
      <c r="D1115" s="450"/>
      <c r="E1115" s="450"/>
      <c r="F1115" s="450"/>
      <c r="G1115" s="450"/>
      <c r="H1115" s="450"/>
      <c r="I1115" s="450"/>
      <c r="J1115" s="450"/>
      <c r="L1115" s="350"/>
      <c r="M1115" s="350"/>
      <c r="N1115" s="345"/>
      <c r="O1115" s="299"/>
      <c r="R1115" s="348" t="str">
        <f t="shared" ref="R1115:R1120" si="48">R$1114</f>
        <v>DELETE</v>
      </c>
    </row>
    <row r="1116" spans="2:22" ht="9" customHeight="1" thickTop="1" x14ac:dyDescent="0.5">
      <c r="B1116" s="316"/>
      <c r="C1116" s="374"/>
      <c r="D1116" s="450"/>
      <c r="E1116" s="450"/>
      <c r="F1116" s="450"/>
      <c r="G1116" s="450"/>
      <c r="H1116" s="450"/>
      <c r="I1116" s="450"/>
      <c r="J1116" s="450"/>
      <c r="L1116" s="350"/>
      <c r="M1116" s="350"/>
      <c r="N1116" s="345"/>
      <c r="O1116" s="310"/>
      <c r="R1116" s="348" t="str">
        <f t="shared" si="48"/>
        <v>DELETE</v>
      </c>
    </row>
    <row r="1117" spans="2:22" ht="36" customHeight="1" x14ac:dyDescent="0.5">
      <c r="B1117" s="316"/>
      <c r="C1117" s="374"/>
      <c r="D1117" s="450"/>
      <c r="E1117" s="450"/>
      <c r="F1117" s="450"/>
      <c r="G1117" s="450"/>
      <c r="H1117" s="450"/>
      <c r="I1117" s="450"/>
      <c r="J1117" s="450"/>
      <c r="L1117" s="350"/>
      <c r="M1117" s="350"/>
      <c r="N1117" s="345"/>
      <c r="O1117" s="296"/>
      <c r="R1117" s="348" t="str">
        <f t="shared" si="48"/>
        <v>DELETE</v>
      </c>
    </row>
    <row r="1118" spans="2:22" ht="36" customHeight="1" x14ac:dyDescent="0.5">
      <c r="B1118" s="316"/>
      <c r="C1118" s="374"/>
      <c r="D1118" s="450"/>
      <c r="E1118" s="450"/>
      <c r="F1118" s="450"/>
      <c r="G1118" s="450"/>
      <c r="H1118" s="450"/>
      <c r="I1118" s="450"/>
      <c r="J1118" s="450"/>
      <c r="M1118" s="296"/>
      <c r="N1118" s="296"/>
      <c r="O1118" s="296"/>
      <c r="R1118" s="348" t="str">
        <f t="shared" si="48"/>
        <v>DELETE</v>
      </c>
    </row>
    <row r="1119" spans="2:22" ht="36" customHeight="1" x14ac:dyDescent="0.5">
      <c r="B1119" s="316"/>
      <c r="C1119" s="374"/>
      <c r="D1119" s="450"/>
      <c r="E1119" s="450"/>
      <c r="F1119" s="450"/>
      <c r="G1119" s="450"/>
      <c r="H1119" s="450"/>
      <c r="I1119" s="450"/>
      <c r="J1119" s="450"/>
      <c r="M1119" s="310"/>
      <c r="N1119" s="310"/>
      <c r="O1119" s="310"/>
      <c r="P1119" s="356"/>
      <c r="R1119" s="348" t="str">
        <f t="shared" si="48"/>
        <v>DELETE</v>
      </c>
    </row>
    <row r="1120" spans="2:22" ht="36" customHeight="1" x14ac:dyDescent="0.5">
      <c r="B1120" s="316"/>
      <c r="C1120" s="352"/>
      <c r="D1120" s="450"/>
      <c r="E1120" s="450"/>
      <c r="F1120" s="450"/>
      <c r="G1120" s="450"/>
      <c r="H1120" s="450"/>
      <c r="I1120" s="450"/>
      <c r="J1120" s="450"/>
      <c r="M1120" s="296"/>
      <c r="N1120" s="296"/>
      <c r="O1120" s="296"/>
      <c r="R1120" s="348" t="str">
        <f t="shared" si="48"/>
        <v>DELETE</v>
      </c>
    </row>
    <row r="1121" spans="2:18" ht="36" customHeight="1" x14ac:dyDescent="0.5">
      <c r="B1121" s="354"/>
      <c r="D1121" s="450"/>
      <c r="E1121" s="450"/>
      <c r="F1121" s="450"/>
      <c r="G1121" s="450"/>
      <c r="H1121" s="450"/>
      <c r="I1121" s="450"/>
      <c r="J1121" s="450"/>
      <c r="M1121" s="351"/>
      <c r="N1121" s="351"/>
      <c r="O1121" s="296" t="s">
        <v>89</v>
      </c>
      <c r="Q1121" s="292">
        <f>MAX($Q$105:Q1120)+1</f>
        <v>32</v>
      </c>
      <c r="R1121" s="348" t="str">
        <f>R$1179</f>
        <v>DELETE</v>
      </c>
    </row>
    <row r="1122" spans="2:18" ht="36" customHeight="1" x14ac:dyDescent="0.5">
      <c r="B1122" s="354"/>
      <c r="D1122" s="456" t="str">
        <f>Criteria!E9</f>
        <v>HOLDING COMPANY 268 (PROPRIETARY) LIMITED</v>
      </c>
      <c r="E1122" s="450"/>
      <c r="F1122" s="450"/>
      <c r="G1122" s="450"/>
      <c r="H1122" s="450"/>
      <c r="I1122" s="450"/>
      <c r="J1122" s="450"/>
      <c r="M1122" s="351"/>
      <c r="N1122" s="351"/>
      <c r="O1122" s="347"/>
      <c r="R1122" s="348" t="str">
        <f>R$1179</f>
        <v>DELETE</v>
      </c>
    </row>
    <row r="1123" spans="2:18" ht="36" customHeight="1" x14ac:dyDescent="0.5">
      <c r="B1123" s="354"/>
      <c r="D1123" s="456" t="str">
        <f>Criteria!E10</f>
        <v>CONSOLIDATED FINANCIAL STATEMENTS</v>
      </c>
      <c r="E1123" s="450"/>
      <c r="F1123" s="450"/>
      <c r="G1123" s="450"/>
      <c r="H1123" s="450"/>
      <c r="I1123" s="450"/>
      <c r="J1123" s="450"/>
      <c r="M1123" s="351"/>
      <c r="N1123" s="351"/>
      <c r="O1123" s="351"/>
      <c r="R1123" s="348" t="str">
        <f>IF(R$1179="DELETE","DELETE",IF(D1123=0,"DELETE"," "))</f>
        <v>DELETE</v>
      </c>
    </row>
    <row r="1124" spans="2:18" ht="36" customHeight="1" x14ac:dyDescent="0.5">
      <c r="B1124" s="354"/>
      <c r="D1124" s="450"/>
      <c r="E1124" s="450"/>
      <c r="F1124" s="450"/>
      <c r="G1124" s="450"/>
      <c r="H1124" s="450"/>
      <c r="I1124" s="450"/>
      <c r="J1124" s="450"/>
      <c r="M1124" s="351"/>
      <c r="N1124" s="351"/>
      <c r="O1124" s="351"/>
      <c r="R1124" s="348" t="str">
        <f t="shared" ref="R1124:R1132" si="49">R$1179</f>
        <v>DELETE</v>
      </c>
    </row>
    <row r="1125" spans="2:18" ht="36" customHeight="1" x14ac:dyDescent="0.5">
      <c r="B1125" s="354"/>
      <c r="D1125" s="456" t="s">
        <v>351</v>
      </c>
      <c r="E1125" s="450"/>
      <c r="F1125" s="450"/>
      <c r="G1125" s="450"/>
      <c r="H1125" s="450"/>
      <c r="I1125" s="450"/>
      <c r="J1125" s="450"/>
      <c r="M1125" s="351"/>
      <c r="N1125" s="351"/>
      <c r="O1125" s="351"/>
      <c r="R1125" s="348" t="str">
        <f t="shared" si="49"/>
        <v>DELETE</v>
      </c>
    </row>
    <row r="1126" spans="2:18" ht="36" customHeight="1" x14ac:dyDescent="0.5">
      <c r="B1126" s="354"/>
      <c r="D1126" s="456" t="str">
        <f>Criteria!E20</f>
        <v>28 FEBRUARY 2025</v>
      </c>
      <c r="E1126" s="450"/>
      <c r="F1126" s="450"/>
      <c r="G1126" s="450"/>
      <c r="H1126" s="450"/>
      <c r="I1126" s="450"/>
      <c r="J1126" s="450" t="s">
        <v>231</v>
      </c>
      <c r="M1126" s="351"/>
      <c r="N1126" s="351"/>
      <c r="O1126" s="351"/>
      <c r="R1126" s="348" t="str">
        <f t="shared" si="49"/>
        <v>DELETE</v>
      </c>
    </row>
    <row r="1127" spans="2:18" ht="36" customHeight="1" x14ac:dyDescent="0.5">
      <c r="B1127" s="354"/>
      <c r="D1127" s="450"/>
      <c r="E1127" s="450"/>
      <c r="F1127" s="450"/>
      <c r="G1127" s="450"/>
      <c r="H1127" s="450"/>
      <c r="I1127" s="450"/>
      <c r="J1127" s="450"/>
      <c r="M1127" s="372"/>
      <c r="N1127" s="372"/>
      <c r="O1127" s="372"/>
      <c r="R1127" s="348" t="str">
        <f t="shared" si="49"/>
        <v>DELETE</v>
      </c>
    </row>
    <row r="1128" spans="2:18" ht="36" customHeight="1" x14ac:dyDescent="0.5">
      <c r="B1128" s="368"/>
      <c r="C1128" s="364"/>
      <c r="D1128" s="460"/>
      <c r="E1128" s="460"/>
      <c r="F1128" s="460"/>
      <c r="G1128" s="460"/>
      <c r="H1128" s="460"/>
      <c r="I1128" s="460"/>
      <c r="J1128" s="460"/>
      <c r="K1128" s="364"/>
      <c r="L1128" s="364"/>
      <c r="M1128" s="378"/>
      <c r="N1128" s="378"/>
      <c r="O1128" s="378"/>
      <c r="P1128" s="367"/>
      <c r="Q1128" s="364"/>
      <c r="R1128" s="348" t="str">
        <f t="shared" si="49"/>
        <v>DELETE</v>
      </c>
    </row>
    <row r="1129" spans="2:18" ht="36" customHeight="1" x14ac:dyDescent="0.5">
      <c r="B1129" s="354"/>
      <c r="D1129" s="450"/>
      <c r="E1129" s="450"/>
      <c r="F1129" s="450"/>
      <c r="G1129" s="450"/>
      <c r="H1129" s="450"/>
      <c r="I1129" s="450"/>
      <c r="J1129" s="450"/>
      <c r="L1129" s="350"/>
      <c r="M1129" s="350"/>
      <c r="N1129" s="345"/>
      <c r="O1129" s="294">
        <f>Criteria!E22</f>
        <v>2025</v>
      </c>
      <c r="R1129" s="348" t="str">
        <f t="shared" si="49"/>
        <v>DELETE</v>
      </c>
    </row>
    <row r="1130" spans="2:18" ht="36" customHeight="1" x14ac:dyDescent="0.5">
      <c r="B1130" s="316"/>
      <c r="C1130" s="352"/>
      <c r="D1130" s="450"/>
      <c r="E1130" s="450"/>
      <c r="F1130" s="450"/>
      <c r="G1130" s="450"/>
      <c r="H1130" s="450"/>
      <c r="I1130" s="450"/>
      <c r="J1130" s="450"/>
      <c r="L1130" s="350"/>
      <c r="M1130" s="350"/>
      <c r="N1130" s="345"/>
      <c r="O1130" s="296"/>
      <c r="R1130" s="348" t="str">
        <f t="shared" si="49"/>
        <v>DELETE</v>
      </c>
    </row>
    <row r="1131" spans="2:18" ht="36" customHeight="1" x14ac:dyDescent="0.5">
      <c r="B1131" s="316">
        <f>MAX(B$602:B1130)+1</f>
        <v>7</v>
      </c>
      <c r="C1131" s="456" t="s">
        <v>1040</v>
      </c>
      <c r="D1131" s="450"/>
      <c r="E1131" s="450"/>
      <c r="F1131" s="450"/>
      <c r="G1131" s="450"/>
      <c r="H1131" s="450"/>
      <c r="I1131" s="450"/>
      <c r="J1131" s="450"/>
      <c r="L1131" s="350"/>
      <c r="M1131" s="350"/>
      <c r="N1131" s="345"/>
      <c r="O1131" s="296"/>
      <c r="R1131" s="348" t="str">
        <f t="shared" si="49"/>
        <v>DELETE</v>
      </c>
    </row>
    <row r="1132" spans="2:18" ht="36" customHeight="1" x14ac:dyDescent="0.5">
      <c r="B1132" s="316"/>
      <c r="C1132" s="456"/>
      <c r="D1132" s="450"/>
      <c r="E1132" s="450"/>
      <c r="F1132" s="450"/>
      <c r="G1132" s="450"/>
      <c r="H1132" s="450"/>
      <c r="I1132" s="450"/>
      <c r="J1132" s="450"/>
      <c r="L1132" s="350"/>
      <c r="M1132" s="350"/>
      <c r="N1132" s="345"/>
      <c r="O1132" s="296"/>
      <c r="R1132" s="348" t="str">
        <f t="shared" si="49"/>
        <v>DELETE</v>
      </c>
    </row>
    <row r="1133" spans="2:18" ht="36" customHeight="1" x14ac:dyDescent="0.5">
      <c r="B1133" s="316"/>
      <c r="C1133" s="450">
        <f>TrialBalance!C144</f>
        <v>0</v>
      </c>
      <c r="D1133" s="459"/>
      <c r="E1133" s="450"/>
      <c r="F1133" s="450"/>
      <c r="G1133" s="450"/>
      <c r="H1133" s="450"/>
      <c r="I1133" s="450"/>
      <c r="J1133" s="450"/>
      <c r="L1133" s="350"/>
      <c r="M1133" s="350"/>
      <c r="N1133" s="345"/>
      <c r="O1133" s="296">
        <f>TrialBalance!L144</f>
        <v>0</v>
      </c>
      <c r="R1133" s="348" t="str">
        <f t="shared" ref="R1133:R1176" si="50">IF(O1133=0,"DELETE"," ")</f>
        <v>DELETE</v>
      </c>
    </row>
    <row r="1134" spans="2:18" ht="36" customHeight="1" x14ac:dyDescent="0.5">
      <c r="B1134" s="316"/>
      <c r="C1134" s="450">
        <f>TrialBalance!C145</f>
        <v>0</v>
      </c>
      <c r="D1134" s="459"/>
      <c r="E1134" s="450"/>
      <c r="F1134" s="450"/>
      <c r="G1134" s="450"/>
      <c r="H1134" s="450"/>
      <c r="I1134" s="450"/>
      <c r="J1134" s="450"/>
      <c r="L1134" s="350"/>
      <c r="M1134" s="350"/>
      <c r="N1134" s="345"/>
      <c r="O1134" s="296">
        <f>TrialBalance!L145</f>
        <v>0</v>
      </c>
      <c r="R1134" s="348" t="str">
        <f t="shared" si="50"/>
        <v>DELETE</v>
      </c>
    </row>
    <row r="1135" spans="2:18" ht="36" customHeight="1" x14ac:dyDescent="0.5">
      <c r="B1135" s="316"/>
      <c r="C1135" s="450">
        <f>TrialBalance!C146</f>
        <v>0</v>
      </c>
      <c r="D1135" s="459"/>
      <c r="E1135" s="450"/>
      <c r="F1135" s="450"/>
      <c r="G1135" s="450"/>
      <c r="H1135" s="450"/>
      <c r="I1135" s="450"/>
      <c r="J1135" s="450"/>
      <c r="L1135" s="350"/>
      <c r="M1135" s="350"/>
      <c r="N1135" s="345"/>
      <c r="O1135" s="296">
        <f>TrialBalance!L146</f>
        <v>0</v>
      </c>
      <c r="R1135" s="348" t="str">
        <f t="shared" si="50"/>
        <v>DELETE</v>
      </c>
    </row>
    <row r="1136" spans="2:18" ht="36" customHeight="1" x14ac:dyDescent="0.5">
      <c r="B1136" s="316"/>
      <c r="C1136" s="450">
        <f>TrialBalance!C147</f>
        <v>0</v>
      </c>
      <c r="D1136" s="459"/>
      <c r="E1136" s="450"/>
      <c r="F1136" s="450"/>
      <c r="G1136" s="450"/>
      <c r="H1136" s="450"/>
      <c r="I1136" s="450"/>
      <c r="J1136" s="450"/>
      <c r="L1136" s="350"/>
      <c r="M1136" s="350"/>
      <c r="N1136" s="345"/>
      <c r="O1136" s="296">
        <f>TrialBalance!L147</f>
        <v>0</v>
      </c>
      <c r="R1136" s="348" t="str">
        <f t="shared" si="50"/>
        <v>DELETE</v>
      </c>
    </row>
    <row r="1137" spans="2:18" ht="36" customHeight="1" x14ac:dyDescent="0.5">
      <c r="B1137" s="316"/>
      <c r="C1137" s="450">
        <f>TrialBalance!C148</f>
        <v>0</v>
      </c>
      <c r="D1137" s="459"/>
      <c r="E1137" s="450"/>
      <c r="F1137" s="450"/>
      <c r="G1137" s="450"/>
      <c r="H1137" s="450"/>
      <c r="I1137" s="450"/>
      <c r="J1137" s="450"/>
      <c r="L1137" s="350"/>
      <c r="M1137" s="350"/>
      <c r="N1137" s="345"/>
      <c r="O1137" s="296">
        <f>TrialBalance!L148</f>
        <v>0</v>
      </c>
      <c r="R1137" s="348" t="str">
        <f t="shared" si="50"/>
        <v>DELETE</v>
      </c>
    </row>
    <row r="1138" spans="2:18" ht="36" customHeight="1" x14ac:dyDescent="0.5">
      <c r="B1138" s="316"/>
      <c r="C1138" s="450">
        <f>TrialBalance!C149</f>
        <v>0</v>
      </c>
      <c r="D1138" s="459"/>
      <c r="E1138" s="450"/>
      <c r="F1138" s="450"/>
      <c r="G1138" s="450"/>
      <c r="H1138" s="450"/>
      <c r="I1138" s="450"/>
      <c r="J1138" s="450"/>
      <c r="L1138" s="350"/>
      <c r="M1138" s="350"/>
      <c r="N1138" s="345"/>
      <c r="O1138" s="296">
        <f>TrialBalance!L149</f>
        <v>0</v>
      </c>
      <c r="R1138" s="348" t="str">
        <f t="shared" si="50"/>
        <v>DELETE</v>
      </c>
    </row>
    <row r="1139" spans="2:18" ht="36" customHeight="1" x14ac:dyDescent="0.5">
      <c r="B1139" s="316"/>
      <c r="C1139" s="450">
        <f>TrialBalance!C150</f>
        <v>0</v>
      </c>
      <c r="D1139" s="459"/>
      <c r="E1139" s="450"/>
      <c r="F1139" s="450"/>
      <c r="G1139" s="450"/>
      <c r="H1139" s="450"/>
      <c r="I1139" s="450"/>
      <c r="J1139" s="450"/>
      <c r="L1139" s="350"/>
      <c r="M1139" s="350"/>
      <c r="N1139" s="345"/>
      <c r="O1139" s="296">
        <f>TrialBalance!L150</f>
        <v>0</v>
      </c>
      <c r="R1139" s="348" t="str">
        <f t="shared" si="50"/>
        <v>DELETE</v>
      </c>
    </row>
    <row r="1140" spans="2:18" ht="36" customHeight="1" x14ac:dyDescent="0.5">
      <c r="B1140" s="316"/>
      <c r="C1140" s="450">
        <f>TrialBalance!C151</f>
        <v>0</v>
      </c>
      <c r="D1140" s="459"/>
      <c r="E1140" s="450"/>
      <c r="F1140" s="450"/>
      <c r="G1140" s="450"/>
      <c r="H1140" s="450"/>
      <c r="I1140" s="450"/>
      <c r="J1140" s="450"/>
      <c r="L1140" s="350"/>
      <c r="M1140" s="350"/>
      <c r="N1140" s="345"/>
      <c r="O1140" s="296">
        <f>TrialBalance!L151</f>
        <v>0</v>
      </c>
      <c r="R1140" s="348" t="str">
        <f t="shared" si="50"/>
        <v>DELETE</v>
      </c>
    </row>
    <row r="1141" spans="2:18" ht="36" customHeight="1" x14ac:dyDescent="0.5">
      <c r="B1141" s="316"/>
      <c r="C1141" s="450">
        <f>TrialBalance!C152</f>
        <v>0</v>
      </c>
      <c r="D1141" s="459"/>
      <c r="E1141" s="450"/>
      <c r="F1141" s="450"/>
      <c r="G1141" s="450"/>
      <c r="H1141" s="450"/>
      <c r="I1141" s="450"/>
      <c r="J1141" s="450"/>
      <c r="L1141" s="350"/>
      <c r="M1141" s="350"/>
      <c r="N1141" s="345"/>
      <c r="O1141" s="296">
        <f>TrialBalance!L152</f>
        <v>0</v>
      </c>
      <c r="R1141" s="348" t="str">
        <f t="shared" si="50"/>
        <v>DELETE</v>
      </c>
    </row>
    <row r="1142" spans="2:18" ht="36" customHeight="1" x14ac:dyDescent="0.5">
      <c r="B1142" s="316"/>
      <c r="C1142" s="450">
        <f>TrialBalance!C153</f>
        <v>0</v>
      </c>
      <c r="D1142" s="459"/>
      <c r="E1142" s="450"/>
      <c r="F1142" s="450"/>
      <c r="G1142" s="450"/>
      <c r="H1142" s="450"/>
      <c r="I1142" s="450"/>
      <c r="J1142" s="450"/>
      <c r="L1142" s="350"/>
      <c r="M1142" s="350"/>
      <c r="N1142" s="345"/>
      <c r="O1142" s="296">
        <f>TrialBalance!L153</f>
        <v>0</v>
      </c>
      <c r="R1142" s="348" t="str">
        <f t="shared" si="50"/>
        <v>DELETE</v>
      </c>
    </row>
    <row r="1143" spans="2:18" ht="36" customHeight="1" x14ac:dyDescent="0.5">
      <c r="B1143" s="316"/>
      <c r="C1143" s="450" t="str">
        <f>TrialBalance!C154</f>
        <v>Finance leases - Financial instruments</v>
      </c>
      <c r="D1143" s="459"/>
      <c r="E1143" s="450"/>
      <c r="F1143" s="450"/>
      <c r="G1143" s="450"/>
      <c r="H1143" s="450"/>
      <c r="I1143" s="450"/>
      <c r="J1143" s="450"/>
      <c r="L1143" s="350"/>
      <c r="M1143" s="350"/>
      <c r="N1143" s="345"/>
      <c r="O1143" s="296">
        <f>TrialBalance!L154</f>
        <v>0</v>
      </c>
      <c r="R1143" s="348" t="str">
        <f t="shared" si="50"/>
        <v>DELETE</v>
      </c>
    </row>
    <row r="1144" spans="2:18" ht="36" customHeight="1" x14ac:dyDescent="0.5">
      <c r="B1144" s="316"/>
      <c r="C1144" s="450">
        <f>TrialBalanceA!C144</f>
        <v>0</v>
      </c>
      <c r="D1144" s="459"/>
      <c r="E1144" s="450"/>
      <c r="F1144" s="450"/>
      <c r="G1144" s="450"/>
      <c r="H1144" s="450"/>
      <c r="I1144" s="450"/>
      <c r="J1144" s="450"/>
      <c r="L1144" s="350"/>
      <c r="M1144" s="350"/>
      <c r="N1144" s="345"/>
      <c r="O1144" s="296">
        <f>TrialBalanceA!I144</f>
        <v>0</v>
      </c>
      <c r="R1144" s="348" t="str">
        <f t="shared" si="50"/>
        <v>DELETE</v>
      </c>
    </row>
    <row r="1145" spans="2:18" ht="36" customHeight="1" x14ac:dyDescent="0.5">
      <c r="B1145" s="316"/>
      <c r="C1145" s="450">
        <f>TrialBalanceA!C145</f>
        <v>0</v>
      </c>
      <c r="D1145" s="459"/>
      <c r="E1145" s="450"/>
      <c r="F1145" s="450"/>
      <c r="G1145" s="450"/>
      <c r="H1145" s="450"/>
      <c r="I1145" s="450"/>
      <c r="J1145" s="450"/>
      <c r="L1145" s="350"/>
      <c r="M1145" s="350"/>
      <c r="N1145" s="345"/>
      <c r="O1145" s="296">
        <f>TrialBalanceA!I145</f>
        <v>0</v>
      </c>
      <c r="R1145" s="348" t="str">
        <f t="shared" si="50"/>
        <v>DELETE</v>
      </c>
    </row>
    <row r="1146" spans="2:18" ht="36" customHeight="1" x14ac:dyDescent="0.5">
      <c r="B1146" s="316"/>
      <c r="C1146" s="450">
        <f>TrialBalanceA!C146</f>
        <v>0</v>
      </c>
      <c r="D1146" s="459"/>
      <c r="E1146" s="450"/>
      <c r="F1146" s="450"/>
      <c r="G1146" s="450"/>
      <c r="H1146" s="450"/>
      <c r="I1146" s="450"/>
      <c r="J1146" s="450"/>
      <c r="L1146" s="350"/>
      <c r="M1146" s="350"/>
      <c r="N1146" s="345"/>
      <c r="O1146" s="296">
        <f>TrialBalanceA!I146</f>
        <v>0</v>
      </c>
      <c r="R1146" s="348" t="str">
        <f t="shared" si="50"/>
        <v>DELETE</v>
      </c>
    </row>
    <row r="1147" spans="2:18" ht="36" customHeight="1" x14ac:dyDescent="0.5">
      <c r="B1147" s="316"/>
      <c r="C1147" s="450">
        <f>TrialBalanceA!C147</f>
        <v>0</v>
      </c>
      <c r="D1147" s="459"/>
      <c r="E1147" s="450"/>
      <c r="F1147" s="450"/>
      <c r="G1147" s="450"/>
      <c r="H1147" s="450"/>
      <c r="I1147" s="450"/>
      <c r="J1147" s="450"/>
      <c r="L1147" s="350"/>
      <c r="M1147" s="350"/>
      <c r="N1147" s="345"/>
      <c r="O1147" s="296">
        <f>TrialBalanceA!I147</f>
        <v>0</v>
      </c>
      <c r="R1147" s="348" t="str">
        <f t="shared" si="50"/>
        <v>DELETE</v>
      </c>
    </row>
    <row r="1148" spans="2:18" ht="36" customHeight="1" x14ac:dyDescent="0.5">
      <c r="B1148" s="316"/>
      <c r="C1148" s="450">
        <f>TrialBalanceA!C148</f>
        <v>0</v>
      </c>
      <c r="D1148" s="459"/>
      <c r="E1148" s="450"/>
      <c r="F1148" s="450"/>
      <c r="G1148" s="450"/>
      <c r="H1148" s="450"/>
      <c r="I1148" s="450"/>
      <c r="J1148" s="450"/>
      <c r="L1148" s="350"/>
      <c r="M1148" s="350"/>
      <c r="N1148" s="345"/>
      <c r="O1148" s="296">
        <f>TrialBalanceA!I148</f>
        <v>0</v>
      </c>
      <c r="R1148" s="348" t="str">
        <f t="shared" si="50"/>
        <v>DELETE</v>
      </c>
    </row>
    <row r="1149" spans="2:18" ht="36" customHeight="1" x14ac:dyDescent="0.5">
      <c r="B1149" s="316"/>
      <c r="C1149" s="450">
        <f>TrialBalanceA!C149</f>
        <v>0</v>
      </c>
      <c r="D1149" s="459"/>
      <c r="E1149" s="450"/>
      <c r="F1149" s="450"/>
      <c r="G1149" s="450"/>
      <c r="H1149" s="450"/>
      <c r="I1149" s="450"/>
      <c r="J1149" s="450"/>
      <c r="L1149" s="350"/>
      <c r="M1149" s="350"/>
      <c r="N1149" s="345"/>
      <c r="O1149" s="296">
        <f>TrialBalanceA!I149</f>
        <v>0</v>
      </c>
      <c r="R1149" s="348" t="str">
        <f t="shared" si="50"/>
        <v>DELETE</v>
      </c>
    </row>
    <row r="1150" spans="2:18" ht="36" customHeight="1" x14ac:dyDescent="0.5">
      <c r="B1150" s="316"/>
      <c r="C1150" s="450">
        <f>TrialBalanceA!C150</f>
        <v>0</v>
      </c>
      <c r="D1150" s="459"/>
      <c r="E1150" s="450"/>
      <c r="F1150" s="450"/>
      <c r="G1150" s="450"/>
      <c r="H1150" s="450"/>
      <c r="I1150" s="450"/>
      <c r="J1150" s="450"/>
      <c r="L1150" s="350"/>
      <c r="M1150" s="350"/>
      <c r="N1150" s="345"/>
      <c r="O1150" s="296">
        <f>TrialBalanceA!I150</f>
        <v>0</v>
      </c>
      <c r="R1150" s="348" t="str">
        <f t="shared" si="50"/>
        <v>DELETE</v>
      </c>
    </row>
    <row r="1151" spans="2:18" ht="36" customHeight="1" x14ac:dyDescent="0.5">
      <c r="B1151" s="316"/>
      <c r="C1151" s="450">
        <f>TrialBalanceA!C151</f>
        <v>0</v>
      </c>
      <c r="D1151" s="459"/>
      <c r="E1151" s="450"/>
      <c r="F1151" s="450"/>
      <c r="G1151" s="450"/>
      <c r="H1151" s="450"/>
      <c r="I1151" s="450"/>
      <c r="J1151" s="450"/>
      <c r="L1151" s="350"/>
      <c r="M1151" s="350"/>
      <c r="N1151" s="345"/>
      <c r="O1151" s="296">
        <f>TrialBalanceA!I151</f>
        <v>0</v>
      </c>
      <c r="R1151" s="348" t="str">
        <f t="shared" si="50"/>
        <v>DELETE</v>
      </c>
    </row>
    <row r="1152" spans="2:18" ht="36" customHeight="1" x14ac:dyDescent="0.5">
      <c r="B1152" s="316"/>
      <c r="C1152" s="450">
        <f>TrialBalanceA!C152</f>
        <v>0</v>
      </c>
      <c r="D1152" s="459"/>
      <c r="E1152" s="450"/>
      <c r="F1152" s="450"/>
      <c r="G1152" s="450"/>
      <c r="H1152" s="450"/>
      <c r="I1152" s="450"/>
      <c r="J1152" s="450"/>
      <c r="L1152" s="350"/>
      <c r="M1152" s="350"/>
      <c r="N1152" s="345"/>
      <c r="O1152" s="296">
        <f>TrialBalanceA!I152</f>
        <v>0</v>
      </c>
      <c r="R1152" s="348" t="str">
        <f t="shared" si="50"/>
        <v>DELETE</v>
      </c>
    </row>
    <row r="1153" spans="2:18" ht="36" customHeight="1" x14ac:dyDescent="0.5">
      <c r="B1153" s="316"/>
      <c r="C1153" s="450">
        <f>TrialBalanceA!C153</f>
        <v>0</v>
      </c>
      <c r="D1153" s="459"/>
      <c r="E1153" s="450"/>
      <c r="F1153" s="450"/>
      <c r="G1153" s="450"/>
      <c r="H1153" s="450"/>
      <c r="I1153" s="450"/>
      <c r="J1153" s="450"/>
      <c r="L1153" s="350"/>
      <c r="M1153" s="350"/>
      <c r="N1153" s="345"/>
      <c r="O1153" s="296">
        <f>TrialBalanceA!I153</f>
        <v>0</v>
      </c>
      <c r="R1153" s="348" t="str">
        <f t="shared" si="50"/>
        <v>DELETE</v>
      </c>
    </row>
    <row r="1154" spans="2:18" ht="36" customHeight="1" x14ac:dyDescent="0.5">
      <c r="B1154" s="316"/>
      <c r="C1154" s="450" t="str">
        <f>TrialBalanceA!C154</f>
        <v>Finance leases - Subsidiary One 111 (Pty) Ltd</v>
      </c>
      <c r="D1154" s="459"/>
      <c r="E1154" s="450"/>
      <c r="F1154" s="450"/>
      <c r="G1154" s="450"/>
      <c r="H1154" s="450"/>
      <c r="I1154" s="450"/>
      <c r="J1154" s="450"/>
      <c r="L1154" s="350"/>
      <c r="M1154" s="350"/>
      <c r="N1154" s="345"/>
      <c r="O1154" s="296">
        <f>TrialBalanceA!I154</f>
        <v>0</v>
      </c>
      <c r="R1154" s="348" t="str">
        <f t="shared" si="50"/>
        <v>DELETE</v>
      </c>
    </row>
    <row r="1155" spans="2:18" ht="36" customHeight="1" x14ac:dyDescent="0.5">
      <c r="B1155" s="316"/>
      <c r="C1155" s="450">
        <f>TrialBalanceB!C144</f>
        <v>0</v>
      </c>
      <c r="D1155" s="459"/>
      <c r="E1155" s="450"/>
      <c r="F1155" s="450"/>
      <c r="G1155" s="450"/>
      <c r="H1155" s="450"/>
      <c r="I1155" s="450"/>
      <c r="J1155" s="450"/>
      <c r="L1155" s="350"/>
      <c r="M1155" s="350"/>
      <c r="N1155" s="345"/>
      <c r="O1155" s="296">
        <f>TrialBalanceB!I144</f>
        <v>0</v>
      </c>
      <c r="R1155" s="348" t="str">
        <f t="shared" si="50"/>
        <v>DELETE</v>
      </c>
    </row>
    <row r="1156" spans="2:18" ht="36" customHeight="1" x14ac:dyDescent="0.5">
      <c r="B1156" s="316"/>
      <c r="C1156" s="450">
        <f>TrialBalanceB!C145</f>
        <v>0</v>
      </c>
      <c r="D1156" s="459"/>
      <c r="E1156" s="450"/>
      <c r="F1156" s="450"/>
      <c r="G1156" s="450"/>
      <c r="H1156" s="450"/>
      <c r="I1156" s="450"/>
      <c r="J1156" s="450"/>
      <c r="L1156" s="350"/>
      <c r="M1156" s="350"/>
      <c r="N1156" s="345"/>
      <c r="O1156" s="296">
        <f>TrialBalanceB!I145</f>
        <v>0</v>
      </c>
      <c r="R1156" s="348" t="str">
        <f t="shared" si="50"/>
        <v>DELETE</v>
      </c>
    </row>
    <row r="1157" spans="2:18" ht="36" customHeight="1" x14ac:dyDescent="0.5">
      <c r="B1157" s="316"/>
      <c r="C1157" s="450">
        <f>TrialBalanceB!C146</f>
        <v>0</v>
      </c>
      <c r="D1157" s="459"/>
      <c r="E1157" s="450"/>
      <c r="F1157" s="450"/>
      <c r="G1157" s="450"/>
      <c r="H1157" s="450"/>
      <c r="I1157" s="450"/>
      <c r="J1157" s="450"/>
      <c r="L1157" s="350"/>
      <c r="M1157" s="350"/>
      <c r="N1157" s="345"/>
      <c r="O1157" s="296">
        <f>TrialBalanceB!I146</f>
        <v>0</v>
      </c>
      <c r="R1157" s="348" t="str">
        <f t="shared" si="50"/>
        <v>DELETE</v>
      </c>
    </row>
    <row r="1158" spans="2:18" ht="36" customHeight="1" x14ac:dyDescent="0.5">
      <c r="B1158" s="316"/>
      <c r="C1158" s="450">
        <f>TrialBalanceB!C147</f>
        <v>0</v>
      </c>
      <c r="D1158" s="459"/>
      <c r="E1158" s="450"/>
      <c r="F1158" s="450"/>
      <c r="G1158" s="450"/>
      <c r="H1158" s="450"/>
      <c r="I1158" s="450"/>
      <c r="J1158" s="450"/>
      <c r="L1158" s="350"/>
      <c r="M1158" s="350"/>
      <c r="N1158" s="345"/>
      <c r="O1158" s="296">
        <f>TrialBalanceB!I147</f>
        <v>0</v>
      </c>
      <c r="R1158" s="348" t="str">
        <f t="shared" si="50"/>
        <v>DELETE</v>
      </c>
    </row>
    <row r="1159" spans="2:18" ht="36" customHeight="1" x14ac:dyDescent="0.5">
      <c r="B1159" s="316"/>
      <c r="C1159" s="450">
        <f>TrialBalanceB!C148</f>
        <v>0</v>
      </c>
      <c r="D1159" s="459"/>
      <c r="E1159" s="450"/>
      <c r="F1159" s="450"/>
      <c r="G1159" s="450"/>
      <c r="H1159" s="450"/>
      <c r="I1159" s="450"/>
      <c r="J1159" s="450"/>
      <c r="L1159" s="350"/>
      <c r="M1159" s="350"/>
      <c r="N1159" s="345"/>
      <c r="O1159" s="296">
        <f>TrialBalanceB!I148</f>
        <v>0</v>
      </c>
      <c r="R1159" s="348" t="str">
        <f t="shared" si="50"/>
        <v>DELETE</v>
      </c>
    </row>
    <row r="1160" spans="2:18" ht="36" customHeight="1" x14ac:dyDescent="0.5">
      <c r="B1160" s="316"/>
      <c r="C1160" s="450">
        <f>TrialBalanceB!C149</f>
        <v>0</v>
      </c>
      <c r="D1160" s="459"/>
      <c r="E1160" s="450"/>
      <c r="F1160" s="450"/>
      <c r="G1160" s="450"/>
      <c r="H1160" s="450"/>
      <c r="I1160" s="450"/>
      <c r="J1160" s="450"/>
      <c r="L1160" s="350"/>
      <c r="M1160" s="350"/>
      <c r="N1160" s="345"/>
      <c r="O1160" s="296">
        <f>TrialBalanceB!I149</f>
        <v>0</v>
      </c>
      <c r="R1160" s="348" t="str">
        <f t="shared" si="50"/>
        <v>DELETE</v>
      </c>
    </row>
    <row r="1161" spans="2:18" ht="36" customHeight="1" x14ac:dyDescent="0.5">
      <c r="B1161" s="316"/>
      <c r="C1161" s="450">
        <f>TrialBalanceB!C150</f>
        <v>0</v>
      </c>
      <c r="D1161" s="459"/>
      <c r="E1161" s="450"/>
      <c r="F1161" s="450"/>
      <c r="G1161" s="450"/>
      <c r="H1161" s="450"/>
      <c r="I1161" s="450"/>
      <c r="J1161" s="450"/>
      <c r="L1161" s="350"/>
      <c r="M1161" s="350"/>
      <c r="N1161" s="345"/>
      <c r="O1161" s="296">
        <f>TrialBalanceB!I150</f>
        <v>0</v>
      </c>
      <c r="R1161" s="348" t="str">
        <f t="shared" si="50"/>
        <v>DELETE</v>
      </c>
    </row>
    <row r="1162" spans="2:18" ht="36" customHeight="1" x14ac:dyDescent="0.5">
      <c r="B1162" s="316"/>
      <c r="C1162" s="450">
        <f>TrialBalanceB!C151</f>
        <v>0</v>
      </c>
      <c r="D1162" s="459"/>
      <c r="E1162" s="450"/>
      <c r="F1162" s="450"/>
      <c r="G1162" s="450"/>
      <c r="H1162" s="450"/>
      <c r="I1162" s="450"/>
      <c r="J1162" s="450"/>
      <c r="L1162" s="350"/>
      <c r="M1162" s="350"/>
      <c r="N1162" s="345"/>
      <c r="O1162" s="296">
        <f>TrialBalanceB!I151</f>
        <v>0</v>
      </c>
      <c r="R1162" s="348" t="str">
        <f t="shared" si="50"/>
        <v>DELETE</v>
      </c>
    </row>
    <row r="1163" spans="2:18" ht="36" customHeight="1" x14ac:dyDescent="0.5">
      <c r="B1163" s="316"/>
      <c r="C1163" s="450">
        <f>TrialBalanceB!C152</f>
        <v>0</v>
      </c>
      <c r="D1163" s="459"/>
      <c r="E1163" s="450"/>
      <c r="F1163" s="450"/>
      <c r="G1163" s="450"/>
      <c r="H1163" s="450"/>
      <c r="I1163" s="450"/>
      <c r="J1163" s="450"/>
      <c r="L1163" s="350"/>
      <c r="M1163" s="350"/>
      <c r="N1163" s="345"/>
      <c r="O1163" s="296">
        <f>TrialBalanceB!I152</f>
        <v>0</v>
      </c>
      <c r="R1163" s="348" t="str">
        <f t="shared" si="50"/>
        <v>DELETE</v>
      </c>
    </row>
    <row r="1164" spans="2:18" ht="36" customHeight="1" x14ac:dyDescent="0.5">
      <c r="B1164" s="316"/>
      <c r="C1164" s="450">
        <f>TrialBalanceB!C153</f>
        <v>0</v>
      </c>
      <c r="D1164" s="459"/>
      <c r="E1164" s="450"/>
      <c r="F1164" s="450"/>
      <c r="G1164" s="450"/>
      <c r="H1164" s="450"/>
      <c r="I1164" s="450"/>
      <c r="J1164" s="450"/>
      <c r="L1164" s="350"/>
      <c r="M1164" s="350"/>
      <c r="N1164" s="345"/>
      <c r="O1164" s="296">
        <f>TrialBalanceB!I153</f>
        <v>0</v>
      </c>
      <c r="R1164" s="348" t="str">
        <f t="shared" si="50"/>
        <v>DELETE</v>
      </c>
    </row>
    <row r="1165" spans="2:18" ht="36" customHeight="1" x14ac:dyDescent="0.5">
      <c r="B1165" s="316"/>
      <c r="C1165" s="450" t="str">
        <f>TrialBalanceB!C154</f>
        <v>Finance leases - Subsidiary Two 15 (Pty) Ltd</v>
      </c>
      <c r="D1165" s="459"/>
      <c r="E1165" s="450"/>
      <c r="F1165" s="450"/>
      <c r="G1165" s="450"/>
      <c r="H1165" s="450"/>
      <c r="I1165" s="450"/>
      <c r="J1165" s="450"/>
      <c r="L1165" s="350"/>
      <c r="M1165" s="350"/>
      <c r="N1165" s="345"/>
      <c r="O1165" s="296">
        <f>TrialBalanceB!I154</f>
        <v>0</v>
      </c>
      <c r="R1165" s="348" t="str">
        <f t="shared" si="50"/>
        <v>DELETE</v>
      </c>
    </row>
    <row r="1166" spans="2:18" ht="36" customHeight="1" x14ac:dyDescent="0.5">
      <c r="B1166" s="316"/>
      <c r="C1166" s="450">
        <f>TrialBalanceC!C144</f>
        <v>0</v>
      </c>
      <c r="D1166" s="459"/>
      <c r="E1166" s="450"/>
      <c r="F1166" s="450"/>
      <c r="G1166" s="450"/>
      <c r="H1166" s="450"/>
      <c r="I1166" s="450"/>
      <c r="J1166" s="450"/>
      <c r="L1166" s="350"/>
      <c r="M1166" s="350"/>
      <c r="N1166" s="345"/>
      <c r="O1166" s="296">
        <f>TrialBalanceC!I144</f>
        <v>0</v>
      </c>
      <c r="R1166" s="348" t="str">
        <f t="shared" si="50"/>
        <v>DELETE</v>
      </c>
    </row>
    <row r="1167" spans="2:18" ht="36" customHeight="1" x14ac:dyDescent="0.5">
      <c r="B1167" s="316"/>
      <c r="C1167" s="450">
        <f>TrialBalanceC!C145</f>
        <v>0</v>
      </c>
      <c r="D1167" s="459"/>
      <c r="E1167" s="450"/>
      <c r="F1167" s="450"/>
      <c r="G1167" s="450"/>
      <c r="H1167" s="450"/>
      <c r="I1167" s="450"/>
      <c r="J1167" s="450"/>
      <c r="L1167" s="350"/>
      <c r="M1167" s="350"/>
      <c r="N1167" s="345"/>
      <c r="O1167" s="296">
        <f>TrialBalanceC!I145</f>
        <v>0</v>
      </c>
      <c r="R1167" s="348" t="str">
        <f t="shared" si="50"/>
        <v>DELETE</v>
      </c>
    </row>
    <row r="1168" spans="2:18" ht="36" customHeight="1" x14ac:dyDescent="0.5">
      <c r="B1168" s="316"/>
      <c r="C1168" s="450">
        <f>TrialBalanceC!C146</f>
        <v>0</v>
      </c>
      <c r="D1168" s="459"/>
      <c r="E1168" s="450"/>
      <c r="F1168" s="450"/>
      <c r="G1168" s="450"/>
      <c r="H1168" s="450"/>
      <c r="I1168" s="450"/>
      <c r="J1168" s="450"/>
      <c r="L1168" s="350"/>
      <c r="M1168" s="350"/>
      <c r="N1168" s="345"/>
      <c r="O1168" s="296">
        <f>TrialBalanceC!I146</f>
        <v>0</v>
      </c>
      <c r="R1168" s="348" t="str">
        <f t="shared" si="50"/>
        <v>DELETE</v>
      </c>
    </row>
    <row r="1169" spans="2:18" ht="36" customHeight="1" x14ac:dyDescent="0.5">
      <c r="B1169" s="316"/>
      <c r="C1169" s="450">
        <f>TrialBalanceC!C147</f>
        <v>0</v>
      </c>
      <c r="D1169" s="459"/>
      <c r="E1169" s="450"/>
      <c r="F1169" s="450"/>
      <c r="G1169" s="450"/>
      <c r="H1169" s="450"/>
      <c r="I1169" s="450"/>
      <c r="J1169" s="450"/>
      <c r="L1169" s="350"/>
      <c r="M1169" s="350"/>
      <c r="N1169" s="345"/>
      <c r="O1169" s="296">
        <f>TrialBalanceC!I147</f>
        <v>0</v>
      </c>
      <c r="R1169" s="348" t="str">
        <f t="shared" si="50"/>
        <v>DELETE</v>
      </c>
    </row>
    <row r="1170" spans="2:18" ht="36" customHeight="1" x14ac:dyDescent="0.5">
      <c r="B1170" s="316"/>
      <c r="C1170" s="450">
        <f>TrialBalanceC!C148</f>
        <v>0</v>
      </c>
      <c r="D1170" s="459"/>
      <c r="E1170" s="450"/>
      <c r="F1170" s="450"/>
      <c r="G1170" s="450"/>
      <c r="H1170" s="450"/>
      <c r="I1170" s="450"/>
      <c r="J1170" s="450"/>
      <c r="L1170" s="350"/>
      <c r="M1170" s="350"/>
      <c r="N1170" s="345"/>
      <c r="O1170" s="296">
        <f>TrialBalanceC!I148</f>
        <v>0</v>
      </c>
      <c r="R1170" s="348" t="str">
        <f t="shared" si="50"/>
        <v>DELETE</v>
      </c>
    </row>
    <row r="1171" spans="2:18" ht="36" customHeight="1" x14ac:dyDescent="0.5">
      <c r="B1171" s="316"/>
      <c r="C1171" s="450">
        <f>TrialBalanceC!C149</f>
        <v>0</v>
      </c>
      <c r="D1171" s="459"/>
      <c r="E1171" s="450"/>
      <c r="F1171" s="450"/>
      <c r="G1171" s="450"/>
      <c r="H1171" s="450"/>
      <c r="I1171" s="450"/>
      <c r="J1171" s="450"/>
      <c r="L1171" s="350"/>
      <c r="M1171" s="350"/>
      <c r="N1171" s="345"/>
      <c r="O1171" s="296">
        <f>TrialBalanceC!I149</f>
        <v>0</v>
      </c>
      <c r="R1171" s="348" t="str">
        <f t="shared" si="50"/>
        <v>DELETE</v>
      </c>
    </row>
    <row r="1172" spans="2:18" ht="36" customHeight="1" x14ac:dyDescent="0.5">
      <c r="B1172" s="316"/>
      <c r="C1172" s="450">
        <f>TrialBalanceC!C150</f>
        <v>0</v>
      </c>
      <c r="D1172" s="459"/>
      <c r="E1172" s="450"/>
      <c r="F1172" s="450"/>
      <c r="G1172" s="450"/>
      <c r="H1172" s="450"/>
      <c r="I1172" s="450"/>
      <c r="J1172" s="450"/>
      <c r="L1172" s="350"/>
      <c r="M1172" s="350"/>
      <c r="N1172" s="345"/>
      <c r="O1172" s="296">
        <f>TrialBalanceC!I150</f>
        <v>0</v>
      </c>
      <c r="R1172" s="348" t="str">
        <f t="shared" si="50"/>
        <v>DELETE</v>
      </c>
    </row>
    <row r="1173" spans="2:18" ht="36" customHeight="1" x14ac:dyDescent="0.5">
      <c r="B1173" s="316"/>
      <c r="C1173" s="450">
        <f>TrialBalanceC!C151</f>
        <v>0</v>
      </c>
      <c r="D1173" s="459"/>
      <c r="E1173" s="450"/>
      <c r="F1173" s="450"/>
      <c r="G1173" s="450"/>
      <c r="H1173" s="450"/>
      <c r="I1173" s="450"/>
      <c r="J1173" s="450"/>
      <c r="L1173" s="350"/>
      <c r="M1173" s="350"/>
      <c r="N1173" s="345"/>
      <c r="O1173" s="296">
        <f>TrialBalanceC!I151</f>
        <v>0</v>
      </c>
      <c r="R1173" s="348" t="str">
        <f t="shared" si="50"/>
        <v>DELETE</v>
      </c>
    </row>
    <row r="1174" spans="2:18" ht="36" customHeight="1" x14ac:dyDescent="0.5">
      <c r="B1174" s="316"/>
      <c r="C1174" s="450">
        <f>TrialBalanceC!C152</f>
        <v>0</v>
      </c>
      <c r="D1174" s="459"/>
      <c r="E1174" s="450"/>
      <c r="F1174" s="450"/>
      <c r="G1174" s="450"/>
      <c r="H1174" s="450"/>
      <c r="I1174" s="450"/>
      <c r="J1174" s="450"/>
      <c r="L1174" s="350"/>
      <c r="M1174" s="350"/>
      <c r="N1174" s="345"/>
      <c r="O1174" s="296">
        <f>TrialBalanceC!I152</f>
        <v>0</v>
      </c>
      <c r="R1174" s="348" t="str">
        <f t="shared" si="50"/>
        <v>DELETE</v>
      </c>
    </row>
    <row r="1175" spans="2:18" ht="36" customHeight="1" x14ac:dyDescent="0.5">
      <c r="B1175" s="316"/>
      <c r="C1175" s="450">
        <f>TrialBalanceC!C153</f>
        <v>0</v>
      </c>
      <c r="D1175" s="459"/>
      <c r="E1175" s="450"/>
      <c r="F1175" s="450"/>
      <c r="G1175" s="450"/>
      <c r="H1175" s="450"/>
      <c r="I1175" s="450"/>
      <c r="J1175" s="450"/>
      <c r="L1175" s="350"/>
      <c r="M1175" s="350"/>
      <c r="N1175" s="345"/>
      <c r="O1175" s="296">
        <f>TrialBalanceC!I153</f>
        <v>0</v>
      </c>
      <c r="R1175" s="348" t="str">
        <f t="shared" si="50"/>
        <v>DELETE</v>
      </c>
    </row>
    <row r="1176" spans="2:18" ht="36" customHeight="1" x14ac:dyDescent="0.5">
      <c r="B1176" s="316"/>
      <c r="C1176" s="450" t="str">
        <f>TrialBalanceC!C154</f>
        <v xml:space="preserve">Finance leases - </v>
      </c>
      <c r="D1176" s="459"/>
      <c r="E1176" s="450"/>
      <c r="F1176" s="450"/>
      <c r="G1176" s="450"/>
      <c r="H1176" s="450"/>
      <c r="I1176" s="450"/>
      <c r="J1176" s="450"/>
      <c r="L1176" s="350"/>
      <c r="M1176" s="350"/>
      <c r="N1176" s="345"/>
      <c r="O1176" s="296">
        <f>TrialBalanceC!I154</f>
        <v>0</v>
      </c>
      <c r="R1176" s="348" t="str">
        <f t="shared" si="50"/>
        <v>DELETE</v>
      </c>
    </row>
    <row r="1177" spans="2:18" ht="9" customHeight="1" x14ac:dyDescent="0.5">
      <c r="B1177" s="316"/>
      <c r="C1177" s="456"/>
      <c r="D1177" s="450"/>
      <c r="E1177" s="450"/>
      <c r="F1177" s="450"/>
      <c r="G1177" s="450"/>
      <c r="H1177" s="450"/>
      <c r="I1177" s="450"/>
      <c r="J1177" s="450"/>
      <c r="L1177" s="350"/>
      <c r="M1177" s="350"/>
      <c r="N1177" s="345"/>
      <c r="O1177" s="298"/>
      <c r="R1177" s="348" t="str">
        <f>R$1179</f>
        <v>DELETE</v>
      </c>
    </row>
    <row r="1178" spans="2:18" ht="9" customHeight="1" x14ac:dyDescent="0.5">
      <c r="B1178" s="316"/>
      <c r="C1178" s="456"/>
      <c r="D1178" s="450"/>
      <c r="E1178" s="450"/>
      <c r="F1178" s="450"/>
      <c r="G1178" s="450"/>
      <c r="H1178" s="450"/>
      <c r="I1178" s="450"/>
      <c r="J1178" s="450"/>
      <c r="L1178" s="350"/>
      <c r="M1178" s="350"/>
      <c r="N1178" s="345"/>
      <c r="O1178" s="296"/>
      <c r="R1178" s="348" t="str">
        <f>R$1179</f>
        <v>DELETE</v>
      </c>
    </row>
    <row r="1179" spans="2:18" ht="36.75" customHeight="1" x14ac:dyDescent="0.5">
      <c r="B1179" s="316"/>
      <c r="C1179" s="456"/>
      <c r="D1179" s="450"/>
      <c r="E1179" s="450"/>
      <c r="F1179" s="450"/>
      <c r="G1179" s="450"/>
      <c r="H1179" s="450"/>
      <c r="I1179" s="450"/>
      <c r="J1179" s="450"/>
      <c r="L1179" s="350"/>
      <c r="M1179" s="350"/>
      <c r="N1179" s="345"/>
      <c r="O1179" s="296">
        <f>SUM(O1133:O1178)</f>
        <v>0</v>
      </c>
      <c r="R1179" s="348" t="str">
        <f t="shared" ref="R1179" si="51">IF(O1179=0,"DELETE"," ")</f>
        <v>DELETE</v>
      </c>
    </row>
    <row r="1180" spans="2:18" ht="9" customHeight="1" thickBot="1" x14ac:dyDescent="0.55000000000000004">
      <c r="B1180" s="316"/>
      <c r="C1180" s="456"/>
      <c r="D1180" s="450"/>
      <c r="E1180" s="450"/>
      <c r="F1180" s="450"/>
      <c r="G1180" s="450"/>
      <c r="H1180" s="450"/>
      <c r="I1180" s="450"/>
      <c r="J1180" s="450"/>
      <c r="L1180" s="350"/>
      <c r="M1180" s="350"/>
      <c r="N1180" s="345"/>
      <c r="O1180" s="299"/>
      <c r="R1180" s="348" t="str">
        <f t="shared" ref="R1180:R1185" si="52">R$1179</f>
        <v>DELETE</v>
      </c>
    </row>
    <row r="1181" spans="2:18" ht="9" customHeight="1" thickTop="1" x14ac:dyDescent="0.5">
      <c r="B1181" s="316"/>
      <c r="C1181" s="456"/>
      <c r="D1181" s="450"/>
      <c r="E1181" s="450"/>
      <c r="F1181" s="450"/>
      <c r="G1181" s="450"/>
      <c r="H1181" s="450"/>
      <c r="I1181" s="450"/>
      <c r="J1181" s="450"/>
      <c r="L1181" s="350"/>
      <c r="M1181" s="350"/>
      <c r="N1181" s="345"/>
      <c r="O1181" s="310"/>
      <c r="R1181" s="348" t="str">
        <f t="shared" si="52"/>
        <v>DELETE</v>
      </c>
    </row>
    <row r="1182" spans="2:18" ht="36" customHeight="1" x14ac:dyDescent="0.5">
      <c r="B1182" s="316"/>
      <c r="C1182" s="456"/>
      <c r="D1182" s="450"/>
      <c r="E1182" s="450"/>
      <c r="F1182" s="450"/>
      <c r="G1182" s="450"/>
      <c r="H1182" s="450"/>
      <c r="I1182" s="450"/>
      <c r="J1182" s="450"/>
      <c r="L1182" s="350"/>
      <c r="M1182" s="350"/>
      <c r="N1182" s="345"/>
      <c r="O1182" s="310"/>
      <c r="R1182" s="348" t="str">
        <f t="shared" si="52"/>
        <v>DELETE</v>
      </c>
    </row>
    <row r="1183" spans="2:18" ht="36" customHeight="1" x14ac:dyDescent="0.5">
      <c r="B1183" s="316"/>
      <c r="C1183" s="456"/>
      <c r="D1183" s="450"/>
      <c r="E1183" s="450"/>
      <c r="F1183" s="450"/>
      <c r="G1183" s="450"/>
      <c r="H1183" s="450"/>
      <c r="I1183" s="450"/>
      <c r="J1183" s="450"/>
      <c r="M1183" s="310"/>
      <c r="N1183" s="310"/>
      <c r="O1183" s="310"/>
      <c r="R1183" s="348" t="str">
        <f t="shared" si="52"/>
        <v>DELETE</v>
      </c>
    </row>
    <row r="1184" spans="2:18" ht="36" customHeight="1" x14ac:dyDescent="0.5">
      <c r="B1184" s="316"/>
      <c r="C1184" s="456"/>
      <c r="D1184" s="450"/>
      <c r="E1184" s="450"/>
      <c r="F1184" s="450"/>
      <c r="G1184" s="450"/>
      <c r="H1184" s="450"/>
      <c r="I1184" s="450"/>
      <c r="J1184" s="450"/>
      <c r="M1184" s="310"/>
      <c r="N1184" s="310"/>
      <c r="O1184" s="310"/>
      <c r="P1184" s="356"/>
      <c r="R1184" s="348" t="str">
        <f t="shared" si="52"/>
        <v>DELETE</v>
      </c>
    </row>
    <row r="1185" spans="2:18" ht="36" customHeight="1" x14ac:dyDescent="0.5">
      <c r="B1185" s="316"/>
      <c r="C1185" s="456"/>
      <c r="D1185" s="450"/>
      <c r="E1185" s="450"/>
      <c r="F1185" s="450"/>
      <c r="G1185" s="450"/>
      <c r="H1185" s="450"/>
      <c r="I1185" s="450"/>
      <c r="J1185" s="450"/>
      <c r="M1185" s="296"/>
      <c r="N1185" s="296"/>
      <c r="O1185" s="296"/>
      <c r="R1185" s="348" t="str">
        <f t="shared" si="52"/>
        <v>DELETE</v>
      </c>
    </row>
    <row r="1186" spans="2:18" ht="36" customHeight="1" x14ac:dyDescent="0.5">
      <c r="B1186" s="354"/>
      <c r="C1186" s="450"/>
      <c r="D1186" s="456"/>
      <c r="E1186" s="450"/>
      <c r="F1186" s="450"/>
      <c r="G1186" s="450"/>
      <c r="H1186" s="450"/>
      <c r="I1186" s="450"/>
      <c r="J1186" s="450"/>
      <c r="M1186" s="347"/>
      <c r="O1186" s="295" t="s">
        <v>89</v>
      </c>
      <c r="Q1186" s="292">
        <f>MAX($Q$105:Q1185)+1</f>
        <v>33</v>
      </c>
      <c r="R1186" s="348" t="str">
        <f t="shared" ref="R1186:R1240" si="53">R$1196</f>
        <v>DELETE</v>
      </c>
    </row>
    <row r="1187" spans="2:18" ht="36" customHeight="1" x14ac:dyDescent="0.5">
      <c r="B1187" s="354"/>
      <c r="C1187" s="450"/>
      <c r="D1187" s="456" t="str">
        <f>Criteria!E9</f>
        <v>HOLDING COMPANY 268 (PROPRIETARY) LIMITED</v>
      </c>
      <c r="E1187" s="450"/>
      <c r="F1187" s="450"/>
      <c r="G1187" s="450"/>
      <c r="H1187" s="450"/>
      <c r="I1187" s="450"/>
      <c r="J1187" s="450"/>
      <c r="M1187" s="347"/>
      <c r="O1187" s="347"/>
      <c r="R1187" s="348" t="str">
        <f t="shared" si="53"/>
        <v>DELETE</v>
      </c>
    </row>
    <row r="1188" spans="2:18" ht="36" customHeight="1" x14ac:dyDescent="0.5">
      <c r="B1188" s="354"/>
      <c r="C1188" s="450"/>
      <c r="D1188" s="456" t="str">
        <f>Criteria!E10</f>
        <v>CONSOLIDATED FINANCIAL STATEMENTS</v>
      </c>
      <c r="E1188" s="450"/>
      <c r="F1188" s="450"/>
      <c r="G1188" s="450"/>
      <c r="H1188" s="450"/>
      <c r="I1188" s="450"/>
      <c r="J1188" s="450"/>
      <c r="M1188" s="347"/>
      <c r="O1188" s="347"/>
      <c r="R1188" s="348" t="str">
        <f>IF(R$1196="DELETE","DELETE",IF(D1188=0,"DELETE"," "))</f>
        <v>DELETE</v>
      </c>
    </row>
    <row r="1189" spans="2:18" ht="36" customHeight="1" x14ac:dyDescent="0.5">
      <c r="B1189" s="354"/>
      <c r="C1189" s="450"/>
      <c r="D1189" s="450"/>
      <c r="E1189" s="450"/>
      <c r="F1189" s="450"/>
      <c r="G1189" s="450"/>
      <c r="H1189" s="450"/>
      <c r="I1189" s="450"/>
      <c r="J1189" s="450"/>
      <c r="M1189" s="347"/>
      <c r="O1189" s="347"/>
      <c r="R1189" s="348" t="str">
        <f t="shared" si="53"/>
        <v>DELETE</v>
      </c>
    </row>
    <row r="1190" spans="2:18" ht="36" customHeight="1" x14ac:dyDescent="0.5">
      <c r="B1190" s="354"/>
      <c r="C1190" s="450"/>
      <c r="D1190" s="456" t="s">
        <v>351</v>
      </c>
      <c r="E1190" s="450"/>
      <c r="F1190" s="450"/>
      <c r="G1190" s="450"/>
      <c r="H1190" s="450"/>
      <c r="I1190" s="450"/>
      <c r="J1190" s="450"/>
      <c r="M1190" s="347"/>
      <c r="O1190" s="347"/>
      <c r="R1190" s="348" t="str">
        <f t="shared" si="53"/>
        <v>DELETE</v>
      </c>
    </row>
    <row r="1191" spans="2:18" ht="36" customHeight="1" x14ac:dyDescent="0.5">
      <c r="B1191" s="354"/>
      <c r="C1191" s="450"/>
      <c r="D1191" s="456" t="str">
        <f>Criteria!E20</f>
        <v>28 FEBRUARY 2025</v>
      </c>
      <c r="E1191" s="450"/>
      <c r="F1191" s="450"/>
      <c r="G1191" s="450"/>
      <c r="H1191" s="450"/>
      <c r="I1191" s="450"/>
      <c r="J1191" s="450" t="s">
        <v>231</v>
      </c>
      <c r="M1191" s="347"/>
      <c r="O1191" s="347"/>
      <c r="R1191" s="348" t="str">
        <f t="shared" si="53"/>
        <v>DELETE</v>
      </c>
    </row>
    <row r="1192" spans="2:18" ht="36" customHeight="1" x14ac:dyDescent="0.5">
      <c r="B1192" s="354"/>
      <c r="C1192" s="450"/>
      <c r="D1192" s="450"/>
      <c r="E1192" s="450"/>
      <c r="F1192" s="450"/>
      <c r="G1192" s="450"/>
      <c r="H1192" s="450"/>
      <c r="I1192" s="450"/>
      <c r="J1192" s="450"/>
      <c r="M1192" s="347"/>
      <c r="O1192" s="347"/>
      <c r="R1192" s="348" t="str">
        <f t="shared" si="53"/>
        <v>DELETE</v>
      </c>
    </row>
    <row r="1193" spans="2:18" ht="36" customHeight="1" x14ac:dyDescent="0.5">
      <c r="B1193" s="368"/>
      <c r="C1193" s="460"/>
      <c r="D1193" s="460"/>
      <c r="E1193" s="460"/>
      <c r="F1193" s="460"/>
      <c r="G1193" s="460"/>
      <c r="H1193" s="460"/>
      <c r="I1193" s="460"/>
      <c r="J1193" s="460"/>
      <c r="K1193" s="364"/>
      <c r="L1193" s="364"/>
      <c r="M1193" s="367"/>
      <c r="N1193" s="367"/>
      <c r="O1193" s="367"/>
      <c r="P1193" s="367"/>
      <c r="Q1193" s="364"/>
      <c r="R1193" s="348" t="str">
        <f t="shared" si="53"/>
        <v>DELETE</v>
      </c>
    </row>
    <row r="1194" spans="2:18" ht="36" customHeight="1" x14ac:dyDescent="0.5">
      <c r="B1194" s="354"/>
      <c r="C1194" s="450"/>
      <c r="D1194" s="450"/>
      <c r="E1194" s="450"/>
      <c r="F1194" s="450"/>
      <c r="G1194" s="450"/>
      <c r="H1194" s="450"/>
      <c r="I1194" s="450"/>
      <c r="J1194" s="450"/>
      <c r="M1194" s="356"/>
      <c r="N1194" s="356"/>
      <c r="O1194" s="294">
        <f>Criteria!E22</f>
        <v>2025</v>
      </c>
      <c r="P1194" s="356"/>
      <c r="R1194" s="348" t="str">
        <f t="shared" si="53"/>
        <v>DELETE</v>
      </c>
    </row>
    <row r="1195" spans="2:18" ht="36" customHeight="1" x14ac:dyDescent="0.5">
      <c r="B1195" s="354"/>
      <c r="C1195" s="450"/>
      <c r="D1195" s="450"/>
      <c r="E1195" s="450"/>
      <c r="F1195" s="450"/>
      <c r="G1195" s="450"/>
      <c r="H1195" s="450"/>
      <c r="I1195" s="450"/>
      <c r="J1195" s="450"/>
      <c r="M1195" s="356"/>
      <c r="N1195" s="356"/>
      <c r="O1195" s="356"/>
      <c r="P1195" s="356"/>
      <c r="R1195" s="348" t="str">
        <f t="shared" si="53"/>
        <v>DELETE</v>
      </c>
    </row>
    <row r="1196" spans="2:18" ht="36" customHeight="1" x14ac:dyDescent="0.5">
      <c r="B1196" s="316">
        <f>MAX(B$602:B1193)+1</f>
        <v>8</v>
      </c>
      <c r="C1196" s="456" t="s">
        <v>857</v>
      </c>
      <c r="D1196" s="450"/>
      <c r="E1196" s="450"/>
      <c r="F1196" s="450"/>
      <c r="G1196" s="450"/>
      <c r="H1196" s="450"/>
      <c r="I1196" s="450"/>
      <c r="J1196" s="450"/>
      <c r="M1196" s="356"/>
      <c r="N1196" s="356"/>
      <c r="O1196" s="356"/>
      <c r="P1196" s="356"/>
      <c r="R1196" s="348" t="str">
        <f>IF(SUM(TrialBalance!L230:L231)+SUM(TrialBalance!N230:N231)+TrialBalance!L234=0,"DELETE"," ")</f>
        <v>DELETE</v>
      </c>
    </row>
    <row r="1197" spans="2:18" ht="36" customHeight="1" x14ac:dyDescent="0.5">
      <c r="B1197" s="316"/>
      <c r="C1197" s="456"/>
      <c r="D1197" s="450"/>
      <c r="E1197" s="450"/>
      <c r="F1197" s="450"/>
      <c r="G1197" s="450"/>
      <c r="H1197" s="450"/>
      <c r="I1197" s="450"/>
      <c r="J1197" s="450"/>
      <c r="M1197" s="356"/>
      <c r="N1197" s="356"/>
      <c r="O1197" s="356"/>
      <c r="P1197" s="356"/>
      <c r="R1197" s="348" t="str">
        <f>R$1196</f>
        <v>DELETE</v>
      </c>
    </row>
    <row r="1198" spans="2:18" ht="36" customHeight="1" x14ac:dyDescent="0.5">
      <c r="B1198" s="316"/>
      <c r="C1198" s="450" t="s">
        <v>917</v>
      </c>
      <c r="D1198" s="450"/>
      <c r="E1198" s="450"/>
      <c r="F1198" s="450"/>
      <c r="G1198" s="459"/>
      <c r="H1198" s="459"/>
      <c r="I1198" s="450"/>
      <c r="J1198" s="459"/>
      <c r="K1198" s="379"/>
      <c r="M1198" s="310"/>
      <c r="N1198" s="310"/>
      <c r="O1198" s="296">
        <f>O1201-O1202</f>
        <v>0</v>
      </c>
      <c r="R1198" s="348" t="str">
        <f t="shared" si="53"/>
        <v>DELETE</v>
      </c>
    </row>
    <row r="1199" spans="2:18" ht="9" customHeight="1" x14ac:dyDescent="0.5">
      <c r="B1199" s="316"/>
      <c r="C1199" s="450"/>
      <c r="D1199" s="450"/>
      <c r="E1199" s="450"/>
      <c r="F1199" s="450"/>
      <c r="G1199" s="459"/>
      <c r="H1199" s="450"/>
      <c r="I1199" s="450"/>
      <c r="J1199" s="450"/>
      <c r="M1199" s="310"/>
      <c r="N1199" s="310"/>
      <c r="O1199" s="296"/>
      <c r="R1199" s="348" t="str">
        <f t="shared" si="53"/>
        <v>DELETE</v>
      </c>
    </row>
    <row r="1200" spans="2:18" ht="9" customHeight="1" x14ac:dyDescent="0.5">
      <c r="B1200" s="316"/>
      <c r="C1200" s="450"/>
      <c r="D1200" s="450"/>
      <c r="E1200" s="450"/>
      <c r="F1200" s="450"/>
      <c r="G1200" s="459"/>
      <c r="H1200" s="450"/>
      <c r="I1200" s="450"/>
      <c r="J1200" s="450"/>
      <c r="M1200" s="310"/>
      <c r="N1200" s="310"/>
      <c r="O1200" s="407"/>
      <c r="R1200" s="348" t="str">
        <f t="shared" si="53"/>
        <v>DELETE</v>
      </c>
    </row>
    <row r="1201" spans="2:19" ht="36" customHeight="1" x14ac:dyDescent="0.5">
      <c r="B1201" s="316"/>
      <c r="C1201" s="450" t="s">
        <v>352</v>
      </c>
      <c r="D1201" s="450"/>
      <c r="E1201" s="450"/>
      <c r="F1201" s="450"/>
      <c r="G1201" s="459"/>
      <c r="H1201" s="450"/>
      <c r="I1201" s="450"/>
      <c r="J1201" s="450"/>
      <c r="M1201" s="310"/>
      <c r="N1201" s="310"/>
      <c r="O1201" s="408">
        <f>TrialBalance!L230</f>
        <v>0</v>
      </c>
      <c r="R1201" s="348" t="str">
        <f t="shared" si="53"/>
        <v>DELETE</v>
      </c>
      <c r="S1201" s="333">
        <f>O1201</f>
        <v>0</v>
      </c>
    </row>
    <row r="1202" spans="2:19" ht="36" customHeight="1" x14ac:dyDescent="0.5">
      <c r="B1202" s="316"/>
      <c r="C1202" s="450" t="s">
        <v>1109</v>
      </c>
      <c r="D1202" s="450"/>
      <c r="E1202" s="450"/>
      <c r="F1202" s="450"/>
      <c r="G1202" s="459"/>
      <c r="H1202" s="450"/>
      <c r="I1202" s="450"/>
      <c r="J1202" s="450"/>
      <c r="M1202" s="310"/>
      <c r="N1202" s="310"/>
      <c r="O1202" s="408">
        <f>-TrialBalance!L236</f>
        <v>0</v>
      </c>
      <c r="R1202" s="348" t="str">
        <f t="shared" si="53"/>
        <v>DELETE</v>
      </c>
      <c r="S1202" s="333">
        <f>-O1202</f>
        <v>0</v>
      </c>
    </row>
    <row r="1203" spans="2:19" ht="9" customHeight="1" x14ac:dyDescent="0.5">
      <c r="B1203" s="316"/>
      <c r="C1203" s="450"/>
      <c r="D1203" s="450"/>
      <c r="E1203" s="450"/>
      <c r="F1203" s="450"/>
      <c r="G1203" s="459"/>
      <c r="H1203" s="450"/>
      <c r="I1203" s="450"/>
      <c r="J1203" s="450"/>
      <c r="M1203" s="310"/>
      <c r="N1203" s="310"/>
      <c r="O1203" s="409"/>
      <c r="R1203" s="348" t="str">
        <f t="shared" si="53"/>
        <v>DELETE</v>
      </c>
    </row>
    <row r="1204" spans="2:19" ht="9" customHeight="1" x14ac:dyDescent="0.5">
      <c r="B1204" s="316"/>
      <c r="C1204" s="450"/>
      <c r="D1204" s="450"/>
      <c r="E1204" s="450"/>
      <c r="F1204" s="450"/>
      <c r="G1204" s="459"/>
      <c r="H1204" s="450"/>
      <c r="I1204" s="450"/>
      <c r="J1204" s="450"/>
      <c r="M1204" s="310"/>
      <c r="N1204" s="310"/>
      <c r="O1204" s="296"/>
      <c r="R1204" s="348" t="str">
        <f t="shared" si="53"/>
        <v>DELETE</v>
      </c>
    </row>
    <row r="1205" spans="2:19" ht="36" customHeight="1" x14ac:dyDescent="0.5">
      <c r="B1205" s="316"/>
      <c r="C1205" s="450" t="s">
        <v>358</v>
      </c>
      <c r="D1205" s="450"/>
      <c r="E1205" s="450"/>
      <c r="F1205" s="450"/>
      <c r="G1205" s="459"/>
      <c r="H1205" s="450"/>
      <c r="I1205" s="450"/>
      <c r="J1205" s="450"/>
      <c r="M1205" s="310"/>
      <c r="N1205" s="310"/>
      <c r="O1205" s="296">
        <f>TrialBalance!L231</f>
        <v>0</v>
      </c>
      <c r="R1205" s="348" t="str">
        <f t="shared" si="53"/>
        <v>DELETE</v>
      </c>
      <c r="S1205" s="333">
        <f>O1205</f>
        <v>0</v>
      </c>
    </row>
    <row r="1206" spans="2:19" ht="36" customHeight="1" x14ac:dyDescent="0.5">
      <c r="B1206" s="316"/>
      <c r="C1206" s="450"/>
      <c r="D1206" s="450" t="s">
        <v>1110</v>
      </c>
      <c r="E1206" s="450"/>
      <c r="F1206" s="450"/>
      <c r="G1206" s="459"/>
      <c r="H1206" s="450"/>
      <c r="I1206" s="450"/>
      <c r="J1206" s="450"/>
      <c r="M1206" s="310"/>
      <c r="N1206" s="310"/>
      <c r="O1206" s="296">
        <f>TrialBalance!L234</f>
        <v>0</v>
      </c>
      <c r="R1206" s="348" t="str">
        <f>IF(O1206=0,"DELETE"," ")</f>
        <v>DELETE</v>
      </c>
      <c r="S1206" s="333">
        <f>O1206</f>
        <v>0</v>
      </c>
    </row>
    <row r="1207" spans="2:19" ht="9" customHeight="1" x14ac:dyDescent="0.5">
      <c r="B1207" s="316"/>
      <c r="C1207" s="450"/>
      <c r="D1207" s="450"/>
      <c r="E1207" s="450"/>
      <c r="F1207" s="450"/>
      <c r="G1207" s="459"/>
      <c r="H1207" s="450"/>
      <c r="I1207" s="450"/>
      <c r="J1207" s="450"/>
      <c r="M1207" s="310"/>
      <c r="N1207" s="310"/>
      <c r="O1207" s="298"/>
      <c r="R1207" s="348" t="str">
        <f t="shared" si="53"/>
        <v>DELETE</v>
      </c>
    </row>
    <row r="1208" spans="2:19" ht="9" customHeight="1" x14ac:dyDescent="0.5">
      <c r="B1208" s="316"/>
      <c r="C1208" s="450"/>
      <c r="D1208" s="450"/>
      <c r="E1208" s="450"/>
      <c r="F1208" s="450"/>
      <c r="G1208" s="459"/>
      <c r="H1208" s="450"/>
      <c r="I1208" s="450"/>
      <c r="J1208" s="450"/>
      <c r="M1208" s="310"/>
      <c r="N1208" s="310"/>
      <c r="O1208" s="296"/>
      <c r="R1208" s="348" t="str">
        <f t="shared" si="53"/>
        <v>DELETE</v>
      </c>
    </row>
    <row r="1209" spans="2:19" ht="36" customHeight="1" x14ac:dyDescent="0.5">
      <c r="B1209" s="316"/>
      <c r="C1209" s="450"/>
      <c r="D1209" s="450"/>
      <c r="E1209" s="450"/>
      <c r="F1209" s="450"/>
      <c r="G1209" s="459"/>
      <c r="H1209" s="450"/>
      <c r="I1209" s="450"/>
      <c r="J1209" s="450"/>
      <c r="M1209" s="310"/>
      <c r="N1209" s="310"/>
      <c r="O1209" s="296">
        <f>O1198+SUM(O1204:O1207)</f>
        <v>0</v>
      </c>
      <c r="R1209" s="348" t="str">
        <f t="shared" si="53"/>
        <v>DELETE</v>
      </c>
    </row>
    <row r="1210" spans="2:19" ht="36" customHeight="1" x14ac:dyDescent="0.5">
      <c r="B1210" s="316"/>
      <c r="C1210" s="450" t="s">
        <v>938</v>
      </c>
      <c r="D1210" s="450"/>
      <c r="E1210" s="450"/>
      <c r="F1210" s="450"/>
      <c r="G1210" s="459"/>
      <c r="H1210" s="450"/>
      <c r="I1210" s="450"/>
      <c r="J1210" s="450"/>
      <c r="M1210" s="310"/>
      <c r="N1210" s="310"/>
      <c r="O1210" s="296">
        <f>-SUM(S1212:S1215)</f>
        <v>0</v>
      </c>
      <c r="R1210" s="348" t="str">
        <f>IF(O1210=0,"DELETE"," ")</f>
        <v>DELETE</v>
      </c>
    </row>
    <row r="1211" spans="2:19" ht="9" customHeight="1" x14ac:dyDescent="0.5">
      <c r="B1211" s="316"/>
      <c r="C1211" s="450"/>
      <c r="D1211" s="450"/>
      <c r="E1211" s="450"/>
      <c r="F1211" s="450"/>
      <c r="G1211" s="459"/>
      <c r="H1211" s="450"/>
      <c r="I1211" s="450"/>
      <c r="J1211" s="450"/>
      <c r="M1211" s="310"/>
      <c r="N1211" s="310"/>
      <c r="O1211" s="296"/>
      <c r="R1211" s="348" t="str">
        <f>R$1210</f>
        <v>DELETE</v>
      </c>
    </row>
    <row r="1212" spans="2:19" ht="9" customHeight="1" x14ac:dyDescent="0.5">
      <c r="B1212" s="316"/>
      <c r="C1212" s="450"/>
      <c r="D1212" s="450"/>
      <c r="E1212" s="450"/>
      <c r="F1212" s="450"/>
      <c r="G1212" s="459"/>
      <c r="H1212" s="450"/>
      <c r="I1212" s="450"/>
      <c r="J1212" s="450"/>
      <c r="M1212" s="310"/>
      <c r="N1212" s="310"/>
      <c r="O1212" s="407"/>
      <c r="R1212" s="348" t="str">
        <f>R$1210</f>
        <v>DELETE</v>
      </c>
    </row>
    <row r="1213" spans="2:19" ht="36" customHeight="1" x14ac:dyDescent="0.5">
      <c r="B1213" s="316"/>
      <c r="C1213" s="450" t="s">
        <v>352</v>
      </c>
      <c r="D1213" s="450"/>
      <c r="E1213" s="450"/>
      <c r="F1213" s="450"/>
      <c r="G1213" s="459"/>
      <c r="H1213" s="450"/>
      <c r="I1213" s="450"/>
      <c r="J1213" s="450"/>
      <c r="M1213" s="310"/>
      <c r="N1213" s="310"/>
      <c r="O1213" s="408">
        <f>-TrialBalance!L233</f>
        <v>0</v>
      </c>
      <c r="R1213" s="348" t="str">
        <f t="shared" ref="R1213:R1214" si="54">IF(O1213=0,"DELETE"," ")</f>
        <v>DELETE</v>
      </c>
      <c r="S1213" s="333">
        <f>-O1213</f>
        <v>0</v>
      </c>
    </row>
    <row r="1214" spans="2:19" ht="36" customHeight="1" x14ac:dyDescent="0.5">
      <c r="B1214" s="316"/>
      <c r="C1214" s="450" t="s">
        <v>1109</v>
      </c>
      <c r="D1214" s="450"/>
      <c r="E1214" s="450"/>
      <c r="F1214" s="450"/>
      <c r="G1214" s="459"/>
      <c r="H1214" s="450"/>
      <c r="I1214" s="450"/>
      <c r="J1214" s="450"/>
      <c r="M1214" s="310"/>
      <c r="N1214" s="310"/>
      <c r="O1214" s="408">
        <f>TrialBalance!L239</f>
        <v>0</v>
      </c>
      <c r="R1214" s="348" t="str">
        <f t="shared" si="54"/>
        <v>DELETE</v>
      </c>
      <c r="S1214" s="333">
        <f>O1214</f>
        <v>0</v>
      </c>
    </row>
    <row r="1215" spans="2:19" ht="9" customHeight="1" x14ac:dyDescent="0.5">
      <c r="B1215" s="316"/>
      <c r="C1215" s="450"/>
      <c r="D1215" s="450"/>
      <c r="E1215" s="450"/>
      <c r="F1215" s="450"/>
      <c r="G1215" s="459"/>
      <c r="H1215" s="450"/>
      <c r="I1215" s="450"/>
      <c r="J1215" s="450"/>
      <c r="M1215" s="310"/>
      <c r="N1215" s="310"/>
      <c r="O1215" s="409"/>
      <c r="R1215" s="348" t="str">
        <f t="shared" ref="R1215:R1216" si="55">R$1210</f>
        <v>DELETE</v>
      </c>
    </row>
    <row r="1216" spans="2:19" ht="9" customHeight="1" x14ac:dyDescent="0.5">
      <c r="B1216" s="316"/>
      <c r="C1216" s="450"/>
      <c r="D1216" s="450"/>
      <c r="E1216" s="450"/>
      <c r="F1216" s="450"/>
      <c r="G1216" s="459"/>
      <c r="H1216" s="450"/>
      <c r="I1216" s="450"/>
      <c r="J1216" s="450"/>
      <c r="M1216" s="310"/>
      <c r="N1216" s="310"/>
      <c r="O1216" s="296"/>
      <c r="R1216" s="348" t="str">
        <f t="shared" si="55"/>
        <v>DELETE</v>
      </c>
    </row>
    <row r="1217" spans="2:21" ht="36.75" customHeight="1" x14ac:dyDescent="0.5">
      <c r="B1217" s="316"/>
      <c r="C1217" s="450" t="s">
        <v>149</v>
      </c>
      <c r="D1217" s="450"/>
      <c r="E1217" s="450"/>
      <c r="F1217" s="450"/>
      <c r="G1217" s="459"/>
      <c r="H1217" s="450"/>
      <c r="I1217" s="450"/>
      <c r="J1217" s="450"/>
      <c r="M1217" s="310"/>
      <c r="N1217" s="310"/>
      <c r="O1217" s="296">
        <f>-SUM(S1219:S1222)</f>
        <v>0</v>
      </c>
      <c r="R1217" s="348" t="str">
        <f t="shared" ref="R1217" si="56">IF(O1217=0,"DELETE"," ")</f>
        <v>DELETE</v>
      </c>
    </row>
    <row r="1218" spans="2:21" ht="9" customHeight="1" x14ac:dyDescent="0.5">
      <c r="B1218" s="316"/>
      <c r="C1218" s="450"/>
      <c r="D1218" s="450"/>
      <c r="E1218" s="450"/>
      <c r="F1218" s="450"/>
      <c r="G1218" s="459"/>
      <c r="H1218" s="450"/>
      <c r="I1218" s="450"/>
      <c r="J1218" s="450"/>
      <c r="M1218" s="310"/>
      <c r="N1218" s="310"/>
      <c r="O1218" s="296"/>
      <c r="R1218" s="348" t="str">
        <f>R$1217</f>
        <v>DELETE</v>
      </c>
    </row>
    <row r="1219" spans="2:21" ht="9" customHeight="1" x14ac:dyDescent="0.5">
      <c r="B1219" s="316"/>
      <c r="C1219" s="450"/>
      <c r="D1219" s="450"/>
      <c r="E1219" s="450"/>
      <c r="F1219" s="450"/>
      <c r="G1219" s="459"/>
      <c r="H1219" s="450"/>
      <c r="I1219" s="450"/>
      <c r="J1219" s="450"/>
      <c r="M1219" s="310"/>
      <c r="N1219" s="310"/>
      <c r="O1219" s="407"/>
      <c r="R1219" s="348" t="str">
        <f>R$1217</f>
        <v>DELETE</v>
      </c>
    </row>
    <row r="1220" spans="2:21" ht="36" customHeight="1" x14ac:dyDescent="0.5">
      <c r="B1220" s="316"/>
      <c r="C1220" s="450" t="s">
        <v>352</v>
      </c>
      <c r="D1220" s="450"/>
      <c r="E1220" s="450"/>
      <c r="F1220" s="450"/>
      <c r="G1220" s="459"/>
      <c r="H1220" s="450"/>
      <c r="I1220" s="450"/>
      <c r="J1220" s="450"/>
      <c r="M1220" s="310"/>
      <c r="N1220" s="310"/>
      <c r="O1220" s="408">
        <f>-TrialBalance!L232</f>
        <v>0</v>
      </c>
      <c r="R1220" s="348" t="str">
        <f t="shared" ref="R1220:R1221" si="57">IF(O1220=0,"DELETE"," ")</f>
        <v>DELETE</v>
      </c>
      <c r="S1220" s="333">
        <f>-O1220</f>
        <v>0</v>
      </c>
    </row>
    <row r="1221" spans="2:21" ht="36" customHeight="1" x14ac:dyDescent="0.5">
      <c r="B1221" s="316"/>
      <c r="C1221" s="450" t="s">
        <v>1109</v>
      </c>
      <c r="D1221" s="450"/>
      <c r="E1221" s="450"/>
      <c r="F1221" s="450"/>
      <c r="G1221" s="459"/>
      <c r="H1221" s="450"/>
      <c r="I1221" s="450"/>
      <c r="J1221" s="450"/>
      <c r="M1221" s="310"/>
      <c r="N1221" s="310"/>
      <c r="O1221" s="408">
        <f>TrialBalance!L238</f>
        <v>0</v>
      </c>
      <c r="R1221" s="348" t="str">
        <f t="shared" si="57"/>
        <v>DELETE</v>
      </c>
      <c r="S1221" s="333">
        <f>O1221</f>
        <v>0</v>
      </c>
    </row>
    <row r="1222" spans="2:21" ht="9" customHeight="1" x14ac:dyDescent="0.5">
      <c r="B1222" s="316"/>
      <c r="C1222" s="450"/>
      <c r="D1222" s="450"/>
      <c r="E1222" s="450"/>
      <c r="F1222" s="450"/>
      <c r="G1222" s="459"/>
      <c r="H1222" s="450"/>
      <c r="I1222" s="450"/>
      <c r="J1222" s="450"/>
      <c r="M1222" s="310"/>
      <c r="N1222" s="310"/>
      <c r="O1222" s="409"/>
      <c r="R1222" s="348" t="str">
        <f t="shared" ref="R1222:R1223" si="58">R$1217</f>
        <v>DELETE</v>
      </c>
    </row>
    <row r="1223" spans="2:21" ht="9" customHeight="1" x14ac:dyDescent="0.5">
      <c r="B1223" s="316"/>
      <c r="C1223" s="450"/>
      <c r="D1223" s="450"/>
      <c r="E1223" s="450"/>
      <c r="F1223" s="450"/>
      <c r="G1223" s="459"/>
      <c r="H1223" s="450"/>
      <c r="I1223" s="450"/>
      <c r="J1223" s="450"/>
      <c r="M1223" s="310"/>
      <c r="N1223" s="310"/>
      <c r="O1223" s="310"/>
      <c r="R1223" s="348" t="str">
        <f t="shared" si="58"/>
        <v>DELETE</v>
      </c>
    </row>
    <row r="1224" spans="2:21" ht="36.75" customHeight="1" x14ac:dyDescent="0.5">
      <c r="B1224" s="316"/>
      <c r="C1224" s="450" t="s">
        <v>252</v>
      </c>
      <c r="D1224" s="450"/>
      <c r="E1224" s="450"/>
      <c r="F1224" s="450"/>
      <c r="G1224" s="459"/>
      <c r="H1224" s="450"/>
      <c r="I1224" s="450"/>
      <c r="J1224" s="450"/>
      <c r="M1224" s="310"/>
      <c r="N1224" s="310"/>
      <c r="O1224" s="310">
        <f>TrialBalance!L237</f>
        <v>0</v>
      </c>
      <c r="P1224" s="356"/>
      <c r="R1224" s="348" t="str">
        <f t="shared" si="53"/>
        <v>DELETE</v>
      </c>
      <c r="S1224" s="333">
        <f>O1224</f>
        <v>0</v>
      </c>
    </row>
    <row r="1225" spans="2:21" ht="9" customHeight="1" x14ac:dyDescent="0.5">
      <c r="B1225" s="316"/>
      <c r="C1225" s="450"/>
      <c r="D1225" s="450"/>
      <c r="E1225" s="450"/>
      <c r="F1225" s="450"/>
      <c r="G1225" s="459"/>
      <c r="H1225" s="450"/>
      <c r="I1225" s="450"/>
      <c r="J1225" s="450"/>
      <c r="M1225" s="310"/>
      <c r="N1225" s="310"/>
      <c r="O1225" s="298"/>
      <c r="P1225" s="356"/>
      <c r="R1225" s="348" t="str">
        <f t="shared" si="53"/>
        <v>DELETE</v>
      </c>
    </row>
    <row r="1226" spans="2:21" ht="9" customHeight="1" x14ac:dyDescent="0.5">
      <c r="B1226" s="316"/>
      <c r="C1226" s="450"/>
      <c r="D1226" s="450"/>
      <c r="E1226" s="450"/>
      <c r="F1226" s="450"/>
      <c r="G1226" s="459"/>
      <c r="H1226" s="450"/>
      <c r="I1226" s="450"/>
      <c r="J1226" s="450"/>
      <c r="M1226" s="310"/>
      <c r="N1226" s="310"/>
      <c r="O1226" s="310"/>
      <c r="P1226" s="356"/>
      <c r="R1226" s="348" t="str">
        <f t="shared" si="53"/>
        <v>DELETE</v>
      </c>
    </row>
    <row r="1227" spans="2:21" ht="36.75" customHeight="1" x14ac:dyDescent="0.5">
      <c r="B1227" s="316"/>
      <c r="C1227" s="450" t="s">
        <v>920</v>
      </c>
      <c r="D1227" s="450"/>
      <c r="E1227" s="450"/>
      <c r="F1227" s="450"/>
      <c r="G1227" s="459"/>
      <c r="H1227" s="450"/>
      <c r="I1227" s="450"/>
      <c r="J1227" s="450"/>
      <c r="K1227" s="380"/>
      <c r="M1227" s="310"/>
      <c r="N1227" s="310"/>
      <c r="O1227" s="296">
        <f>SUM(S1200:S1225)</f>
        <v>0</v>
      </c>
      <c r="R1227" s="348" t="str">
        <f t="shared" si="53"/>
        <v>DELETE</v>
      </c>
      <c r="U1227" s="331" t="b">
        <f>O1227=O1231-O1232</f>
        <v>1</v>
      </c>
    </row>
    <row r="1228" spans="2:21" ht="9" customHeight="1" thickBot="1" x14ac:dyDescent="0.55000000000000004">
      <c r="B1228" s="316"/>
      <c r="C1228" s="450"/>
      <c r="D1228" s="450"/>
      <c r="E1228" s="450"/>
      <c r="F1228" s="450"/>
      <c r="G1228" s="459"/>
      <c r="H1228" s="450"/>
      <c r="I1228" s="450"/>
      <c r="J1228" s="450"/>
      <c r="M1228" s="310"/>
      <c r="N1228" s="310"/>
      <c r="O1228" s="299"/>
      <c r="R1228" s="348" t="str">
        <f t="shared" si="53"/>
        <v>DELETE</v>
      </c>
    </row>
    <row r="1229" spans="2:21" ht="9" customHeight="1" thickTop="1" x14ac:dyDescent="0.5">
      <c r="B1229" s="316"/>
      <c r="C1229" s="450"/>
      <c r="D1229" s="450"/>
      <c r="E1229" s="450"/>
      <c r="F1229" s="450"/>
      <c r="G1229" s="459"/>
      <c r="H1229" s="450"/>
      <c r="I1229" s="450"/>
      <c r="J1229" s="450"/>
      <c r="M1229" s="310"/>
      <c r="N1229" s="310"/>
      <c r="O1229" s="296"/>
      <c r="R1229" s="348" t="str">
        <f t="shared" si="53"/>
        <v>DELETE</v>
      </c>
    </row>
    <row r="1230" spans="2:21" ht="9" customHeight="1" x14ac:dyDescent="0.5">
      <c r="B1230" s="316"/>
      <c r="C1230" s="450"/>
      <c r="D1230" s="450"/>
      <c r="E1230" s="450"/>
      <c r="F1230" s="450"/>
      <c r="G1230" s="459"/>
      <c r="H1230" s="450"/>
      <c r="I1230" s="450"/>
      <c r="J1230" s="450"/>
      <c r="M1230" s="310"/>
      <c r="N1230" s="310"/>
      <c r="O1230" s="407"/>
      <c r="R1230" s="348" t="str">
        <f t="shared" si="53"/>
        <v>DELETE</v>
      </c>
    </row>
    <row r="1231" spans="2:21" ht="36" customHeight="1" x14ac:dyDescent="0.5">
      <c r="B1231" s="316"/>
      <c r="C1231" s="450" t="s">
        <v>352</v>
      </c>
      <c r="D1231" s="450"/>
      <c r="E1231" s="450"/>
      <c r="F1231" s="450"/>
      <c r="G1231" s="459"/>
      <c r="H1231" s="450"/>
      <c r="I1231" s="450"/>
      <c r="J1231" s="450"/>
      <c r="M1231" s="310"/>
      <c r="N1231" s="310"/>
      <c r="O1231" s="408">
        <f>SUM(TrialBalance!L230:L234)</f>
        <v>0</v>
      </c>
      <c r="R1231" s="348" t="str">
        <f t="shared" si="53"/>
        <v>DELETE</v>
      </c>
    </row>
    <row r="1232" spans="2:21" ht="36" customHeight="1" x14ac:dyDescent="0.5">
      <c r="B1232" s="316"/>
      <c r="C1232" s="450" t="s">
        <v>1109</v>
      </c>
      <c r="D1232" s="450"/>
      <c r="E1232" s="450"/>
      <c r="F1232" s="450"/>
      <c r="G1232" s="459"/>
      <c r="H1232" s="450"/>
      <c r="I1232" s="450"/>
      <c r="J1232" s="450"/>
      <c r="M1232" s="310"/>
      <c r="N1232" s="310"/>
      <c r="O1232" s="408">
        <f>-SUM(TrialBalance!L236:L239)</f>
        <v>0</v>
      </c>
      <c r="R1232" s="348" t="str">
        <f t="shared" si="53"/>
        <v>DELETE</v>
      </c>
    </row>
    <row r="1233" spans="2:18" ht="9" customHeight="1" x14ac:dyDescent="0.5">
      <c r="B1233" s="316"/>
      <c r="C1233" s="450"/>
      <c r="D1233" s="450"/>
      <c r="E1233" s="450"/>
      <c r="F1233" s="450"/>
      <c r="G1233" s="450"/>
      <c r="H1233" s="450"/>
      <c r="I1233" s="450"/>
      <c r="J1233" s="450"/>
      <c r="M1233" s="310"/>
      <c r="N1233" s="310"/>
      <c r="O1233" s="409"/>
      <c r="R1233" s="348" t="str">
        <f t="shared" si="53"/>
        <v>DELETE</v>
      </c>
    </row>
    <row r="1234" spans="2:18" ht="9" customHeight="1" x14ac:dyDescent="0.5">
      <c r="B1234" s="316"/>
      <c r="C1234" s="450"/>
      <c r="D1234" s="450"/>
      <c r="E1234" s="450"/>
      <c r="F1234" s="450"/>
      <c r="G1234" s="450"/>
      <c r="H1234" s="450"/>
      <c r="I1234" s="450"/>
      <c r="J1234" s="450"/>
      <c r="M1234" s="310"/>
      <c r="N1234" s="310"/>
      <c r="O1234" s="296"/>
      <c r="R1234" s="348" t="str">
        <f t="shared" si="53"/>
        <v>DELETE</v>
      </c>
    </row>
    <row r="1235" spans="2:18" ht="36" customHeight="1" x14ac:dyDescent="0.5">
      <c r="B1235" s="316"/>
      <c r="C1235" s="450"/>
      <c r="D1235" s="450"/>
      <c r="E1235" s="450"/>
      <c r="F1235" s="450"/>
      <c r="G1235" s="450"/>
      <c r="H1235" s="450"/>
      <c r="I1235" s="450"/>
      <c r="J1235" s="450"/>
      <c r="M1235" s="356"/>
      <c r="N1235" s="356"/>
      <c r="O1235" s="356"/>
      <c r="P1235" s="356"/>
      <c r="R1235" s="348" t="str">
        <f t="shared" si="53"/>
        <v>DELETE</v>
      </c>
    </row>
    <row r="1236" spans="2:18" ht="36" customHeight="1" x14ac:dyDescent="0.5">
      <c r="B1236" s="316"/>
      <c r="C1236" s="450" t="str">
        <f>IF(SUM(TrialBalance!L230:L234)=0," ",IF(Criteria!F121="Yes",CONCATENATE("Fixed property is pledged as security - See Note ",'FS2'!B1893)," "))</f>
        <v xml:space="preserve"> </v>
      </c>
      <c r="D1236" s="459"/>
      <c r="E1236" s="450"/>
      <c r="F1236" s="450"/>
      <c r="G1236" s="450"/>
      <c r="H1236" s="450"/>
      <c r="I1236" s="450"/>
      <c r="J1236" s="450"/>
      <c r="M1236" s="356"/>
      <c r="N1236" s="356"/>
      <c r="O1236" s="356"/>
      <c r="P1236" s="356"/>
      <c r="R1236" s="348" t="str">
        <f>IF(R$1196="DELETE","DELETE",IF(C1236=" ","DELETE"," "))</f>
        <v>DELETE</v>
      </c>
    </row>
    <row r="1237" spans="2:18" ht="36" customHeight="1" x14ac:dyDescent="0.5">
      <c r="B1237" s="316"/>
      <c r="C1237" s="450"/>
      <c r="D1237" s="450"/>
      <c r="E1237" s="450"/>
      <c r="F1237" s="450"/>
      <c r="G1237" s="450"/>
      <c r="H1237" s="450"/>
      <c r="I1237" s="450"/>
      <c r="J1237" s="450"/>
      <c r="M1237" s="356"/>
      <c r="N1237" s="356"/>
      <c r="O1237" s="356"/>
      <c r="P1237" s="356"/>
      <c r="R1237" s="348" t="str">
        <f t="shared" si="53"/>
        <v>DELETE</v>
      </c>
    </row>
    <row r="1238" spans="2:18" ht="36" customHeight="1" x14ac:dyDescent="0.5">
      <c r="B1238" s="316"/>
      <c r="C1238" s="450"/>
      <c r="D1238" s="450"/>
      <c r="E1238" s="450"/>
      <c r="F1238" s="450"/>
      <c r="G1238" s="450"/>
      <c r="H1238" s="450"/>
      <c r="I1238" s="450"/>
      <c r="J1238" s="450"/>
      <c r="M1238" s="356"/>
      <c r="N1238" s="356"/>
      <c r="O1238" s="356"/>
      <c r="P1238" s="356"/>
      <c r="R1238" s="348" t="str">
        <f t="shared" si="53"/>
        <v>DELETE</v>
      </c>
    </row>
    <row r="1239" spans="2:18" ht="36" customHeight="1" x14ac:dyDescent="0.5">
      <c r="B1239" s="316"/>
      <c r="C1239" s="456"/>
      <c r="D1239" s="450"/>
      <c r="E1239" s="450"/>
      <c r="F1239" s="450"/>
      <c r="G1239" s="450"/>
      <c r="H1239" s="450"/>
      <c r="I1239" s="450"/>
      <c r="J1239" s="450"/>
      <c r="M1239" s="310"/>
      <c r="N1239" s="310"/>
      <c r="O1239" s="310"/>
      <c r="P1239" s="356"/>
      <c r="R1239" s="348" t="str">
        <f t="shared" si="53"/>
        <v>DELETE</v>
      </c>
    </row>
    <row r="1240" spans="2:18" ht="36" customHeight="1" x14ac:dyDescent="0.5">
      <c r="B1240" s="316"/>
      <c r="C1240" s="456"/>
      <c r="D1240" s="450"/>
      <c r="E1240" s="450"/>
      <c r="F1240" s="450"/>
      <c r="G1240" s="450"/>
      <c r="H1240" s="450"/>
      <c r="I1240" s="450"/>
      <c r="J1240" s="450"/>
      <c r="M1240" s="296"/>
      <c r="N1240" s="296"/>
      <c r="O1240" s="296"/>
      <c r="R1240" s="348" t="str">
        <f t="shared" si="53"/>
        <v>DELETE</v>
      </c>
    </row>
    <row r="1241" spans="2:18" ht="36" customHeight="1" x14ac:dyDescent="0.5">
      <c r="B1241" s="316"/>
      <c r="C1241" s="456"/>
      <c r="D1241" s="450"/>
      <c r="E1241" s="450"/>
      <c r="F1241" s="450"/>
      <c r="G1241" s="450"/>
      <c r="H1241" s="450"/>
      <c r="I1241" s="450"/>
      <c r="J1241" s="450"/>
      <c r="M1241" s="296"/>
      <c r="N1241" s="296"/>
      <c r="O1241" s="295" t="s">
        <v>89</v>
      </c>
      <c r="Q1241" s="292">
        <f>MAX($Q$105:Q1240)+1</f>
        <v>34</v>
      </c>
      <c r="R1241" s="348" t="str">
        <f t="shared" ref="R1241:R1252" si="59">R$1293</f>
        <v>DELETE</v>
      </c>
    </row>
    <row r="1242" spans="2:18" ht="36" customHeight="1" x14ac:dyDescent="0.5">
      <c r="B1242" s="316"/>
      <c r="C1242" s="456"/>
      <c r="D1242" s="456" t="str">
        <f>Criteria!E9</f>
        <v>HOLDING COMPANY 268 (PROPRIETARY) LIMITED</v>
      </c>
      <c r="E1242" s="450"/>
      <c r="F1242" s="450"/>
      <c r="G1242" s="450"/>
      <c r="H1242" s="450"/>
      <c r="I1242" s="450"/>
      <c r="J1242" s="450"/>
      <c r="M1242" s="347"/>
      <c r="O1242" s="347"/>
      <c r="R1242" s="348" t="str">
        <f t="shared" si="59"/>
        <v>DELETE</v>
      </c>
    </row>
    <row r="1243" spans="2:18" ht="36" customHeight="1" x14ac:dyDescent="0.5">
      <c r="B1243" s="316"/>
      <c r="C1243" s="456"/>
      <c r="D1243" s="456" t="str">
        <f>Criteria!E10</f>
        <v>CONSOLIDATED FINANCIAL STATEMENTS</v>
      </c>
      <c r="E1243" s="450"/>
      <c r="F1243" s="450"/>
      <c r="G1243" s="450"/>
      <c r="H1243" s="450"/>
      <c r="I1243" s="450"/>
      <c r="J1243" s="450"/>
      <c r="M1243" s="347"/>
      <c r="O1243" s="347"/>
      <c r="R1243" s="348" t="str">
        <f>IF(R$1293="DELETE","DELETE",IF(D1243=0,"DELETE"," "))</f>
        <v>DELETE</v>
      </c>
    </row>
    <row r="1244" spans="2:18" ht="36" customHeight="1" x14ac:dyDescent="0.5">
      <c r="B1244" s="316"/>
      <c r="C1244" s="456"/>
      <c r="D1244" s="450"/>
      <c r="E1244" s="450"/>
      <c r="F1244" s="450"/>
      <c r="G1244" s="450"/>
      <c r="H1244" s="450"/>
      <c r="I1244" s="450"/>
      <c r="J1244" s="450"/>
      <c r="M1244" s="347"/>
      <c r="O1244" s="347"/>
      <c r="R1244" s="348" t="str">
        <f t="shared" si="59"/>
        <v>DELETE</v>
      </c>
    </row>
    <row r="1245" spans="2:18" ht="36" customHeight="1" x14ac:dyDescent="0.5">
      <c r="B1245" s="316"/>
      <c r="C1245" s="456"/>
      <c r="D1245" s="456" t="s">
        <v>351</v>
      </c>
      <c r="E1245" s="450"/>
      <c r="F1245" s="450"/>
      <c r="G1245" s="450"/>
      <c r="H1245" s="450"/>
      <c r="I1245" s="450"/>
      <c r="J1245" s="450"/>
      <c r="M1245" s="347"/>
      <c r="O1245" s="347"/>
      <c r="R1245" s="348" t="str">
        <f t="shared" si="59"/>
        <v>DELETE</v>
      </c>
    </row>
    <row r="1246" spans="2:18" ht="36" customHeight="1" x14ac:dyDescent="0.5">
      <c r="B1246" s="316"/>
      <c r="C1246" s="456"/>
      <c r="D1246" s="456" t="str">
        <f>Criteria!E20</f>
        <v>28 FEBRUARY 2025</v>
      </c>
      <c r="E1246" s="450"/>
      <c r="F1246" s="450"/>
      <c r="G1246" s="450"/>
      <c r="H1246" s="450"/>
      <c r="I1246" s="450"/>
      <c r="J1246" s="450" t="s">
        <v>231</v>
      </c>
      <c r="M1246" s="347"/>
      <c r="O1246" s="347"/>
      <c r="R1246" s="348" t="str">
        <f t="shared" si="59"/>
        <v>DELETE</v>
      </c>
    </row>
    <row r="1247" spans="2:18" ht="36" customHeight="1" x14ac:dyDescent="0.5">
      <c r="B1247" s="316"/>
      <c r="C1247" s="456"/>
      <c r="D1247" s="450"/>
      <c r="E1247" s="450"/>
      <c r="F1247" s="450"/>
      <c r="G1247" s="450"/>
      <c r="H1247" s="450"/>
      <c r="I1247" s="450"/>
      <c r="J1247" s="450"/>
      <c r="M1247" s="296"/>
      <c r="N1247" s="296"/>
      <c r="O1247" s="296"/>
      <c r="R1247" s="348" t="str">
        <f t="shared" si="59"/>
        <v>DELETE</v>
      </c>
    </row>
    <row r="1248" spans="2:18" ht="36" customHeight="1" x14ac:dyDescent="0.5">
      <c r="B1248" s="447"/>
      <c r="C1248" s="465"/>
      <c r="D1248" s="460"/>
      <c r="E1248" s="460"/>
      <c r="F1248" s="460"/>
      <c r="G1248" s="460"/>
      <c r="H1248" s="460"/>
      <c r="I1248" s="460"/>
      <c r="J1248" s="460"/>
      <c r="K1248" s="364"/>
      <c r="L1248" s="364"/>
      <c r="M1248" s="297"/>
      <c r="N1248" s="297"/>
      <c r="O1248" s="297"/>
      <c r="P1248" s="367"/>
      <c r="Q1248" s="364"/>
      <c r="R1248" s="348" t="str">
        <f t="shared" si="59"/>
        <v>DELETE</v>
      </c>
    </row>
    <row r="1249" spans="2:18" ht="36" customHeight="1" x14ac:dyDescent="0.5">
      <c r="B1249" s="316"/>
      <c r="C1249" s="456"/>
      <c r="D1249" s="450"/>
      <c r="E1249" s="450"/>
      <c r="F1249" s="450"/>
      <c r="G1249" s="450"/>
      <c r="H1249" s="450"/>
      <c r="I1249" s="450"/>
      <c r="J1249" s="450"/>
      <c r="M1249" s="310"/>
      <c r="N1249" s="310"/>
      <c r="O1249" s="294">
        <f>Criteria!E22</f>
        <v>2025</v>
      </c>
      <c r="P1249" s="356"/>
      <c r="R1249" s="348" t="str">
        <f t="shared" si="59"/>
        <v>DELETE</v>
      </c>
    </row>
    <row r="1250" spans="2:18" ht="36" customHeight="1" x14ac:dyDescent="0.5">
      <c r="B1250" s="316"/>
      <c r="C1250" s="456"/>
      <c r="D1250" s="450"/>
      <c r="E1250" s="450"/>
      <c r="F1250" s="450"/>
      <c r="G1250" s="450"/>
      <c r="H1250" s="450"/>
      <c r="I1250" s="450"/>
      <c r="J1250" s="450"/>
      <c r="M1250" s="310"/>
      <c r="N1250" s="310"/>
      <c r="O1250" s="310"/>
      <c r="P1250" s="356"/>
      <c r="R1250" s="348" t="str">
        <f t="shared" si="59"/>
        <v>DELETE</v>
      </c>
    </row>
    <row r="1251" spans="2:18" ht="36" customHeight="1" x14ac:dyDescent="0.5">
      <c r="B1251" s="316"/>
      <c r="C1251" s="450" t="s">
        <v>1019</v>
      </c>
      <c r="D1251" s="450"/>
      <c r="E1251" s="450"/>
      <c r="F1251" s="450"/>
      <c r="G1251" s="450"/>
      <c r="H1251" s="450"/>
      <c r="I1251" s="450"/>
      <c r="J1251" s="450"/>
      <c r="M1251" s="310"/>
      <c r="N1251" s="310"/>
      <c r="O1251" s="310"/>
      <c r="P1251" s="356"/>
      <c r="R1251" s="348" t="str">
        <f t="shared" si="59"/>
        <v>DELETE</v>
      </c>
    </row>
    <row r="1252" spans="2:18" ht="36" customHeight="1" x14ac:dyDescent="0.5">
      <c r="B1252" s="316"/>
      <c r="C1252" s="456"/>
      <c r="D1252" s="450"/>
      <c r="E1252" s="450"/>
      <c r="F1252" s="450"/>
      <c r="G1252" s="450"/>
      <c r="H1252" s="450"/>
      <c r="I1252" s="450"/>
      <c r="J1252" s="450"/>
      <c r="M1252" s="310"/>
      <c r="N1252" s="310"/>
      <c r="O1252" s="310"/>
      <c r="P1252" s="356"/>
      <c r="R1252" s="348" t="str">
        <f t="shared" si="59"/>
        <v>DELETE</v>
      </c>
    </row>
    <row r="1253" spans="2:18" ht="36" customHeight="1" x14ac:dyDescent="0.5">
      <c r="B1253" s="316"/>
      <c r="C1253" s="450">
        <f>Criteria!C126</f>
        <v>0</v>
      </c>
      <c r="D1253" s="459"/>
      <c r="E1253" s="450"/>
      <c r="F1253" s="450"/>
      <c r="G1253" s="450"/>
      <c r="H1253" s="450"/>
      <c r="I1253" s="450"/>
      <c r="J1253" s="450"/>
      <c r="M1253" s="310"/>
      <c r="N1253" s="310"/>
      <c r="O1253" s="310">
        <f>Criteria!F126</f>
        <v>0</v>
      </c>
      <c r="P1253" s="356"/>
      <c r="R1253" s="348" t="str">
        <f>IF(O1253=0,"DELETE"," ")</f>
        <v>DELETE</v>
      </c>
    </row>
    <row r="1254" spans="2:18" ht="36" customHeight="1" x14ac:dyDescent="0.5">
      <c r="B1254" s="316"/>
      <c r="C1254" s="450">
        <f>Criteria!C127</f>
        <v>0</v>
      </c>
      <c r="D1254" s="459"/>
      <c r="E1254" s="450"/>
      <c r="F1254" s="450"/>
      <c r="G1254" s="450"/>
      <c r="H1254" s="450"/>
      <c r="I1254" s="450"/>
      <c r="J1254" s="450"/>
      <c r="M1254" s="310"/>
      <c r="N1254" s="310"/>
      <c r="O1254" s="310">
        <f>Criteria!F127</f>
        <v>0</v>
      </c>
      <c r="P1254" s="356"/>
      <c r="R1254" s="348" t="str">
        <f t="shared" ref="R1254:R1290" si="60">IF(O1254=0,"DELETE"," ")</f>
        <v>DELETE</v>
      </c>
    </row>
    <row r="1255" spans="2:18" ht="36" customHeight="1" x14ac:dyDescent="0.5">
      <c r="B1255" s="316"/>
      <c r="C1255" s="450">
        <f>Criteria!C128</f>
        <v>0</v>
      </c>
      <c r="D1255" s="459"/>
      <c r="E1255" s="450"/>
      <c r="F1255" s="450"/>
      <c r="G1255" s="450"/>
      <c r="H1255" s="450"/>
      <c r="I1255" s="450"/>
      <c r="J1255" s="450"/>
      <c r="M1255" s="310"/>
      <c r="N1255" s="310"/>
      <c r="O1255" s="310">
        <f>Criteria!F128</f>
        <v>0</v>
      </c>
      <c r="P1255" s="356"/>
      <c r="R1255" s="348" t="str">
        <f t="shared" si="60"/>
        <v>DELETE</v>
      </c>
    </row>
    <row r="1256" spans="2:18" ht="36" customHeight="1" x14ac:dyDescent="0.5">
      <c r="B1256" s="316"/>
      <c r="C1256" s="450">
        <f>Criteria!C129</f>
        <v>0</v>
      </c>
      <c r="D1256" s="459"/>
      <c r="E1256" s="450"/>
      <c r="F1256" s="450"/>
      <c r="G1256" s="450"/>
      <c r="H1256" s="450"/>
      <c r="I1256" s="450"/>
      <c r="J1256" s="450"/>
      <c r="M1256" s="310"/>
      <c r="N1256" s="310"/>
      <c r="O1256" s="310">
        <f>Criteria!F129</f>
        <v>0</v>
      </c>
      <c r="P1256" s="356"/>
      <c r="R1256" s="348" t="str">
        <f t="shared" si="60"/>
        <v>DELETE</v>
      </c>
    </row>
    <row r="1257" spans="2:18" ht="36" customHeight="1" x14ac:dyDescent="0.5">
      <c r="B1257" s="316"/>
      <c r="C1257" s="450">
        <f>Criteria!C130</f>
        <v>0</v>
      </c>
      <c r="D1257" s="459"/>
      <c r="E1257" s="450"/>
      <c r="F1257" s="450"/>
      <c r="G1257" s="450"/>
      <c r="H1257" s="450"/>
      <c r="I1257" s="450"/>
      <c r="J1257" s="450"/>
      <c r="M1257" s="310"/>
      <c r="N1257" s="310"/>
      <c r="O1257" s="310">
        <f>Criteria!F130</f>
        <v>0</v>
      </c>
      <c r="P1257" s="356"/>
      <c r="R1257" s="348" t="str">
        <f t="shared" si="60"/>
        <v>DELETE</v>
      </c>
    </row>
    <row r="1258" spans="2:18" ht="36" customHeight="1" x14ac:dyDescent="0.5">
      <c r="B1258" s="316"/>
      <c r="C1258" s="450">
        <f>Criteria!C131</f>
        <v>0</v>
      </c>
      <c r="D1258" s="459"/>
      <c r="E1258" s="450"/>
      <c r="F1258" s="450"/>
      <c r="G1258" s="450"/>
      <c r="H1258" s="450"/>
      <c r="I1258" s="450"/>
      <c r="J1258" s="450"/>
      <c r="M1258" s="310"/>
      <c r="N1258" s="310"/>
      <c r="O1258" s="310">
        <f>Criteria!F131</f>
        <v>0</v>
      </c>
      <c r="P1258" s="356"/>
      <c r="R1258" s="348" t="str">
        <f t="shared" si="60"/>
        <v>DELETE</v>
      </c>
    </row>
    <row r="1259" spans="2:18" ht="36" customHeight="1" x14ac:dyDescent="0.5">
      <c r="B1259" s="316"/>
      <c r="C1259" s="450">
        <f>Criteria!C132</f>
        <v>0</v>
      </c>
      <c r="D1259" s="459"/>
      <c r="E1259" s="450"/>
      <c r="F1259" s="450"/>
      <c r="G1259" s="450"/>
      <c r="H1259" s="450"/>
      <c r="I1259" s="450"/>
      <c r="J1259" s="450"/>
      <c r="M1259" s="310"/>
      <c r="N1259" s="310"/>
      <c r="O1259" s="310">
        <f>Criteria!F132</f>
        <v>0</v>
      </c>
      <c r="P1259" s="356"/>
      <c r="R1259" s="348" t="str">
        <f t="shared" si="60"/>
        <v>DELETE</v>
      </c>
    </row>
    <row r="1260" spans="2:18" ht="36" customHeight="1" x14ac:dyDescent="0.5">
      <c r="B1260" s="316"/>
      <c r="C1260" s="450">
        <f>Criteria!C133</f>
        <v>0</v>
      </c>
      <c r="D1260" s="459"/>
      <c r="E1260" s="450"/>
      <c r="F1260" s="450"/>
      <c r="G1260" s="450"/>
      <c r="H1260" s="450"/>
      <c r="I1260" s="450"/>
      <c r="J1260" s="450"/>
      <c r="M1260" s="310"/>
      <c r="N1260" s="310"/>
      <c r="O1260" s="310">
        <f>Criteria!F133</f>
        <v>0</v>
      </c>
      <c r="P1260" s="356"/>
      <c r="R1260" s="348" t="str">
        <f t="shared" si="60"/>
        <v>DELETE</v>
      </c>
    </row>
    <row r="1261" spans="2:18" ht="36" customHeight="1" x14ac:dyDescent="0.5">
      <c r="B1261" s="316"/>
      <c r="C1261" s="450">
        <f>Criteria!C134</f>
        <v>0</v>
      </c>
      <c r="D1261" s="459"/>
      <c r="E1261" s="450"/>
      <c r="F1261" s="450"/>
      <c r="G1261" s="450"/>
      <c r="H1261" s="450"/>
      <c r="I1261" s="450"/>
      <c r="J1261" s="450"/>
      <c r="M1261" s="310"/>
      <c r="N1261" s="310"/>
      <c r="O1261" s="310">
        <f>Criteria!F134</f>
        <v>0</v>
      </c>
      <c r="P1261" s="356"/>
      <c r="R1261" s="348" t="str">
        <f t="shared" si="60"/>
        <v>DELETE</v>
      </c>
    </row>
    <row r="1262" spans="2:18" ht="36" customHeight="1" x14ac:dyDescent="0.5">
      <c r="B1262" s="316"/>
      <c r="C1262" s="450">
        <f>Criteria!C135</f>
        <v>0</v>
      </c>
      <c r="D1262" s="459"/>
      <c r="E1262" s="450"/>
      <c r="F1262" s="450"/>
      <c r="G1262" s="450"/>
      <c r="H1262" s="450"/>
      <c r="I1262" s="450"/>
      <c r="J1262" s="450"/>
      <c r="M1262" s="310"/>
      <c r="N1262" s="310"/>
      <c r="O1262" s="310">
        <f>Criteria!F135</f>
        <v>0</v>
      </c>
      <c r="P1262" s="356"/>
      <c r="R1262" s="348" t="str">
        <f t="shared" si="60"/>
        <v>DELETE</v>
      </c>
    </row>
    <row r="1263" spans="2:18" ht="36" customHeight="1" x14ac:dyDescent="0.5">
      <c r="B1263" s="316"/>
      <c r="C1263" s="450">
        <f>Criteria!C136</f>
        <v>0</v>
      </c>
      <c r="D1263" s="459"/>
      <c r="E1263" s="450"/>
      <c r="F1263" s="450"/>
      <c r="G1263" s="450"/>
      <c r="H1263" s="450"/>
      <c r="I1263" s="450"/>
      <c r="J1263" s="450"/>
      <c r="M1263" s="310"/>
      <c r="N1263" s="310"/>
      <c r="O1263" s="310">
        <f>Criteria!F136</f>
        <v>0</v>
      </c>
      <c r="P1263" s="356"/>
      <c r="R1263" s="348" t="str">
        <f t="shared" si="60"/>
        <v>DELETE</v>
      </c>
    </row>
    <row r="1264" spans="2:18" ht="36" customHeight="1" x14ac:dyDescent="0.5">
      <c r="B1264" s="316"/>
      <c r="C1264" s="450">
        <f>Criteria!C137</f>
        <v>0</v>
      </c>
      <c r="D1264" s="459"/>
      <c r="E1264" s="450"/>
      <c r="F1264" s="450"/>
      <c r="G1264" s="450"/>
      <c r="H1264" s="450"/>
      <c r="I1264" s="450"/>
      <c r="J1264" s="450"/>
      <c r="M1264" s="310"/>
      <c r="N1264" s="310"/>
      <c r="O1264" s="310">
        <f>Criteria!F137</f>
        <v>0</v>
      </c>
      <c r="P1264" s="356"/>
      <c r="R1264" s="348" t="str">
        <f t="shared" si="60"/>
        <v>DELETE</v>
      </c>
    </row>
    <row r="1265" spans="2:18" ht="36" customHeight="1" x14ac:dyDescent="0.5">
      <c r="B1265" s="316"/>
      <c r="C1265" s="450">
        <f>Criteria!C138</f>
        <v>0</v>
      </c>
      <c r="D1265" s="459"/>
      <c r="E1265" s="450"/>
      <c r="F1265" s="450"/>
      <c r="G1265" s="450"/>
      <c r="H1265" s="450"/>
      <c r="I1265" s="450"/>
      <c r="J1265" s="450"/>
      <c r="M1265" s="310"/>
      <c r="N1265" s="310"/>
      <c r="O1265" s="310">
        <f>Criteria!F138</f>
        <v>0</v>
      </c>
      <c r="P1265" s="356"/>
      <c r="R1265" s="348" t="str">
        <f t="shared" si="60"/>
        <v>DELETE</v>
      </c>
    </row>
    <row r="1266" spans="2:18" ht="36" customHeight="1" x14ac:dyDescent="0.5">
      <c r="B1266" s="316"/>
      <c r="C1266" s="450">
        <f>Criteria!C139</f>
        <v>0</v>
      </c>
      <c r="D1266" s="459"/>
      <c r="E1266" s="450"/>
      <c r="F1266" s="450"/>
      <c r="G1266" s="450"/>
      <c r="H1266" s="450"/>
      <c r="I1266" s="450"/>
      <c r="J1266" s="450"/>
      <c r="M1266" s="310"/>
      <c r="N1266" s="310"/>
      <c r="O1266" s="310">
        <f>Criteria!F139</f>
        <v>0</v>
      </c>
      <c r="P1266" s="356"/>
      <c r="R1266" s="348" t="str">
        <f t="shared" si="60"/>
        <v>DELETE</v>
      </c>
    </row>
    <row r="1267" spans="2:18" ht="36" customHeight="1" x14ac:dyDescent="0.5">
      <c r="B1267" s="316"/>
      <c r="C1267" s="450">
        <f>Criteria!C140</f>
        <v>0</v>
      </c>
      <c r="D1267" s="459"/>
      <c r="E1267" s="450"/>
      <c r="F1267" s="450"/>
      <c r="G1267" s="450"/>
      <c r="H1267" s="450"/>
      <c r="I1267" s="450"/>
      <c r="J1267" s="450"/>
      <c r="M1267" s="310"/>
      <c r="N1267" s="310"/>
      <c r="O1267" s="310">
        <f>Criteria!F140</f>
        <v>0</v>
      </c>
      <c r="P1267" s="356"/>
      <c r="R1267" s="348" t="str">
        <f t="shared" si="60"/>
        <v>DELETE</v>
      </c>
    </row>
    <row r="1268" spans="2:18" ht="36" customHeight="1" x14ac:dyDescent="0.5">
      <c r="B1268" s="316"/>
      <c r="C1268" s="450">
        <f>Criteria!C141</f>
        <v>0</v>
      </c>
      <c r="D1268" s="459"/>
      <c r="E1268" s="450"/>
      <c r="F1268" s="450"/>
      <c r="G1268" s="450"/>
      <c r="H1268" s="450"/>
      <c r="I1268" s="450"/>
      <c r="J1268" s="450"/>
      <c r="M1268" s="310"/>
      <c r="N1268" s="310"/>
      <c r="O1268" s="310">
        <f>Criteria!F141</f>
        <v>0</v>
      </c>
      <c r="P1268" s="356"/>
      <c r="R1268" s="348" t="str">
        <f t="shared" si="60"/>
        <v>DELETE</v>
      </c>
    </row>
    <row r="1269" spans="2:18" ht="36" customHeight="1" x14ac:dyDescent="0.5">
      <c r="B1269" s="316"/>
      <c r="C1269" s="450">
        <f>Criteria!C142</f>
        <v>0</v>
      </c>
      <c r="D1269" s="459"/>
      <c r="E1269" s="450"/>
      <c r="F1269" s="450"/>
      <c r="G1269" s="450"/>
      <c r="H1269" s="450"/>
      <c r="I1269" s="450"/>
      <c r="J1269" s="450"/>
      <c r="M1269" s="310"/>
      <c r="N1269" s="310"/>
      <c r="O1269" s="310">
        <f>Criteria!F142</f>
        <v>0</v>
      </c>
      <c r="P1269" s="356"/>
      <c r="R1269" s="348" t="str">
        <f t="shared" si="60"/>
        <v>DELETE</v>
      </c>
    </row>
    <row r="1270" spans="2:18" ht="36" customHeight="1" x14ac:dyDescent="0.5">
      <c r="B1270" s="316"/>
      <c r="C1270" s="450">
        <f>Criteria!C143</f>
        <v>0</v>
      </c>
      <c r="D1270" s="459"/>
      <c r="E1270" s="450"/>
      <c r="F1270" s="450"/>
      <c r="G1270" s="450"/>
      <c r="H1270" s="450"/>
      <c r="I1270" s="450"/>
      <c r="J1270" s="450"/>
      <c r="M1270" s="310"/>
      <c r="N1270" s="310"/>
      <c r="O1270" s="310">
        <f>Criteria!F143</f>
        <v>0</v>
      </c>
      <c r="P1270" s="356"/>
      <c r="R1270" s="348" t="str">
        <f t="shared" si="60"/>
        <v>DELETE</v>
      </c>
    </row>
    <row r="1271" spans="2:18" ht="36" customHeight="1" x14ac:dyDescent="0.5">
      <c r="B1271" s="316"/>
      <c r="C1271" s="450">
        <f>Criteria!C144</f>
        <v>0</v>
      </c>
      <c r="D1271" s="459"/>
      <c r="E1271" s="450"/>
      <c r="F1271" s="450"/>
      <c r="G1271" s="450"/>
      <c r="H1271" s="450"/>
      <c r="I1271" s="450"/>
      <c r="J1271" s="450"/>
      <c r="M1271" s="310"/>
      <c r="N1271" s="310"/>
      <c r="O1271" s="310">
        <f>Criteria!F144</f>
        <v>0</v>
      </c>
      <c r="P1271" s="356"/>
      <c r="R1271" s="348" t="str">
        <f t="shared" si="60"/>
        <v>DELETE</v>
      </c>
    </row>
    <row r="1272" spans="2:18" ht="36" customHeight="1" x14ac:dyDescent="0.5">
      <c r="B1272" s="316"/>
      <c r="C1272" s="450">
        <f>Criteria!C145</f>
        <v>0</v>
      </c>
      <c r="D1272" s="459"/>
      <c r="E1272" s="450"/>
      <c r="F1272" s="450"/>
      <c r="G1272" s="450"/>
      <c r="H1272" s="450"/>
      <c r="I1272" s="450"/>
      <c r="J1272" s="450"/>
      <c r="M1272" s="310"/>
      <c r="N1272" s="310"/>
      <c r="O1272" s="310">
        <f>Criteria!F145</f>
        <v>0</v>
      </c>
      <c r="P1272" s="356"/>
      <c r="R1272" s="348" t="str">
        <f t="shared" si="60"/>
        <v>DELETE</v>
      </c>
    </row>
    <row r="1273" spans="2:18" ht="36" customHeight="1" x14ac:dyDescent="0.5">
      <c r="B1273" s="316"/>
      <c r="C1273" s="450">
        <f>Criteria!C146</f>
        <v>0</v>
      </c>
      <c r="D1273" s="459"/>
      <c r="E1273" s="450"/>
      <c r="F1273" s="450"/>
      <c r="G1273" s="450"/>
      <c r="H1273" s="450"/>
      <c r="I1273" s="450"/>
      <c r="J1273" s="450"/>
      <c r="M1273" s="310"/>
      <c r="N1273" s="310"/>
      <c r="O1273" s="310">
        <f>Criteria!F146</f>
        <v>0</v>
      </c>
      <c r="P1273" s="356"/>
      <c r="R1273" s="348" t="str">
        <f t="shared" si="60"/>
        <v>DELETE</v>
      </c>
    </row>
    <row r="1274" spans="2:18" ht="36" customHeight="1" x14ac:dyDescent="0.5">
      <c r="B1274" s="316"/>
      <c r="C1274" s="450">
        <f>Criteria!C147</f>
        <v>0</v>
      </c>
      <c r="D1274" s="459"/>
      <c r="E1274" s="450"/>
      <c r="F1274" s="450"/>
      <c r="G1274" s="450"/>
      <c r="H1274" s="450"/>
      <c r="I1274" s="450"/>
      <c r="J1274" s="450"/>
      <c r="M1274" s="310"/>
      <c r="N1274" s="310"/>
      <c r="O1274" s="310">
        <f>Criteria!F147</f>
        <v>0</v>
      </c>
      <c r="P1274" s="356"/>
      <c r="R1274" s="348" t="str">
        <f t="shared" si="60"/>
        <v>DELETE</v>
      </c>
    </row>
    <row r="1275" spans="2:18" ht="36" customHeight="1" x14ac:dyDescent="0.5">
      <c r="B1275" s="316"/>
      <c r="C1275" s="450">
        <f>Criteria!C148</f>
        <v>0</v>
      </c>
      <c r="D1275" s="459"/>
      <c r="E1275" s="450"/>
      <c r="F1275" s="450"/>
      <c r="G1275" s="450"/>
      <c r="H1275" s="450"/>
      <c r="I1275" s="450"/>
      <c r="J1275" s="450"/>
      <c r="M1275" s="310"/>
      <c r="N1275" s="310"/>
      <c r="O1275" s="310">
        <f>Criteria!F148</f>
        <v>0</v>
      </c>
      <c r="P1275" s="356"/>
      <c r="R1275" s="348" t="str">
        <f t="shared" si="60"/>
        <v>DELETE</v>
      </c>
    </row>
    <row r="1276" spans="2:18" ht="36" customHeight="1" x14ac:dyDescent="0.5">
      <c r="B1276" s="316"/>
      <c r="C1276" s="450">
        <f>Criteria!C149</f>
        <v>0</v>
      </c>
      <c r="D1276" s="459"/>
      <c r="E1276" s="450"/>
      <c r="F1276" s="450"/>
      <c r="G1276" s="450"/>
      <c r="H1276" s="450"/>
      <c r="I1276" s="450"/>
      <c r="J1276" s="450"/>
      <c r="M1276" s="310"/>
      <c r="N1276" s="310"/>
      <c r="O1276" s="310">
        <f>Criteria!F149</f>
        <v>0</v>
      </c>
      <c r="P1276" s="356"/>
      <c r="R1276" s="348" t="str">
        <f t="shared" si="60"/>
        <v>DELETE</v>
      </c>
    </row>
    <row r="1277" spans="2:18" ht="36" customHeight="1" x14ac:dyDescent="0.5">
      <c r="B1277" s="316"/>
      <c r="C1277" s="450">
        <f>Criteria!C150</f>
        <v>0</v>
      </c>
      <c r="D1277" s="459"/>
      <c r="E1277" s="450"/>
      <c r="F1277" s="450"/>
      <c r="G1277" s="450"/>
      <c r="H1277" s="450"/>
      <c r="I1277" s="450"/>
      <c r="J1277" s="450"/>
      <c r="M1277" s="310"/>
      <c r="N1277" s="310"/>
      <c r="O1277" s="310">
        <f>Criteria!F150</f>
        <v>0</v>
      </c>
      <c r="P1277" s="356"/>
      <c r="R1277" s="348" t="str">
        <f t="shared" si="60"/>
        <v>DELETE</v>
      </c>
    </row>
    <row r="1278" spans="2:18" ht="36" customHeight="1" x14ac:dyDescent="0.5">
      <c r="B1278" s="316"/>
      <c r="C1278" s="450">
        <f>Criteria!C151</f>
        <v>0</v>
      </c>
      <c r="D1278" s="459"/>
      <c r="E1278" s="450"/>
      <c r="F1278" s="450"/>
      <c r="G1278" s="450"/>
      <c r="H1278" s="450"/>
      <c r="I1278" s="450"/>
      <c r="J1278" s="450"/>
      <c r="M1278" s="310"/>
      <c r="N1278" s="310"/>
      <c r="O1278" s="310">
        <f>Criteria!F151</f>
        <v>0</v>
      </c>
      <c r="P1278" s="356"/>
      <c r="R1278" s="348" t="str">
        <f t="shared" si="60"/>
        <v>DELETE</v>
      </c>
    </row>
    <row r="1279" spans="2:18" ht="36" customHeight="1" x14ac:dyDescent="0.5">
      <c r="B1279" s="316"/>
      <c r="C1279" s="450">
        <f>Criteria!C152</f>
        <v>0</v>
      </c>
      <c r="D1279" s="459"/>
      <c r="E1279" s="450"/>
      <c r="F1279" s="450"/>
      <c r="G1279" s="450"/>
      <c r="H1279" s="450"/>
      <c r="I1279" s="450"/>
      <c r="J1279" s="450"/>
      <c r="M1279" s="310"/>
      <c r="N1279" s="310"/>
      <c r="O1279" s="310">
        <f>Criteria!F152</f>
        <v>0</v>
      </c>
      <c r="P1279" s="356"/>
      <c r="R1279" s="348" t="str">
        <f t="shared" si="60"/>
        <v>DELETE</v>
      </c>
    </row>
    <row r="1280" spans="2:18" ht="36" customHeight="1" x14ac:dyDescent="0.5">
      <c r="B1280" s="316"/>
      <c r="C1280" s="450">
        <f>Criteria!C153</f>
        <v>0</v>
      </c>
      <c r="D1280" s="459"/>
      <c r="E1280" s="450"/>
      <c r="F1280" s="450"/>
      <c r="G1280" s="450"/>
      <c r="H1280" s="450"/>
      <c r="I1280" s="450"/>
      <c r="J1280" s="450"/>
      <c r="M1280" s="310"/>
      <c r="N1280" s="310"/>
      <c r="O1280" s="310">
        <f>Criteria!F153</f>
        <v>0</v>
      </c>
      <c r="P1280" s="356"/>
      <c r="R1280" s="348" t="str">
        <f t="shared" si="60"/>
        <v>DELETE</v>
      </c>
    </row>
    <row r="1281" spans="2:21" ht="36" customHeight="1" x14ac:dyDescent="0.5">
      <c r="B1281" s="316"/>
      <c r="C1281" s="450">
        <f>Criteria!C154</f>
        <v>0</v>
      </c>
      <c r="D1281" s="459"/>
      <c r="E1281" s="450"/>
      <c r="F1281" s="450"/>
      <c r="G1281" s="450"/>
      <c r="H1281" s="450"/>
      <c r="I1281" s="450"/>
      <c r="J1281" s="450"/>
      <c r="M1281" s="310"/>
      <c r="N1281" s="310"/>
      <c r="O1281" s="310">
        <f>Criteria!F154</f>
        <v>0</v>
      </c>
      <c r="P1281" s="356"/>
      <c r="R1281" s="348" t="str">
        <f t="shared" si="60"/>
        <v>DELETE</v>
      </c>
    </row>
    <row r="1282" spans="2:21" ht="36" customHeight="1" x14ac:dyDescent="0.5">
      <c r="B1282" s="316"/>
      <c r="C1282" s="450">
        <f>Criteria!C155</f>
        <v>0</v>
      </c>
      <c r="D1282" s="459"/>
      <c r="E1282" s="450"/>
      <c r="F1282" s="450"/>
      <c r="G1282" s="450"/>
      <c r="H1282" s="450"/>
      <c r="I1282" s="450"/>
      <c r="J1282" s="450"/>
      <c r="M1282" s="310"/>
      <c r="N1282" s="310"/>
      <c r="O1282" s="310">
        <f>Criteria!F155</f>
        <v>0</v>
      </c>
      <c r="P1282" s="356"/>
      <c r="R1282" s="348" t="str">
        <f t="shared" si="60"/>
        <v>DELETE</v>
      </c>
    </row>
    <row r="1283" spans="2:21" ht="36" customHeight="1" x14ac:dyDescent="0.5">
      <c r="B1283" s="316"/>
      <c r="C1283" s="450">
        <f>Criteria!C156</f>
        <v>0</v>
      </c>
      <c r="D1283" s="459"/>
      <c r="E1283" s="450"/>
      <c r="F1283" s="450"/>
      <c r="G1283" s="450"/>
      <c r="H1283" s="450"/>
      <c r="I1283" s="450"/>
      <c r="J1283" s="450"/>
      <c r="M1283" s="310"/>
      <c r="N1283" s="310"/>
      <c r="O1283" s="310">
        <f>Criteria!F156</f>
        <v>0</v>
      </c>
      <c r="P1283" s="356"/>
      <c r="R1283" s="348" t="str">
        <f t="shared" si="60"/>
        <v>DELETE</v>
      </c>
    </row>
    <row r="1284" spans="2:21" ht="36" customHeight="1" x14ac:dyDescent="0.5">
      <c r="B1284" s="316"/>
      <c r="C1284" s="450">
        <f>Criteria!C157</f>
        <v>0</v>
      </c>
      <c r="D1284" s="459"/>
      <c r="E1284" s="450"/>
      <c r="F1284" s="450"/>
      <c r="G1284" s="450"/>
      <c r="H1284" s="450"/>
      <c r="I1284" s="450"/>
      <c r="J1284" s="450"/>
      <c r="M1284" s="310"/>
      <c r="N1284" s="310"/>
      <c r="O1284" s="310">
        <f>Criteria!F157</f>
        <v>0</v>
      </c>
      <c r="P1284" s="356"/>
      <c r="R1284" s="348" t="str">
        <f t="shared" si="60"/>
        <v>DELETE</v>
      </c>
    </row>
    <row r="1285" spans="2:21" ht="36" customHeight="1" x14ac:dyDescent="0.5">
      <c r="B1285" s="316"/>
      <c r="C1285" s="450">
        <f>Criteria!C158</f>
        <v>0</v>
      </c>
      <c r="D1285" s="459"/>
      <c r="E1285" s="450"/>
      <c r="F1285" s="450"/>
      <c r="G1285" s="450"/>
      <c r="H1285" s="450"/>
      <c r="I1285" s="450"/>
      <c r="J1285" s="450"/>
      <c r="M1285" s="310"/>
      <c r="N1285" s="310"/>
      <c r="O1285" s="310">
        <f>Criteria!F158</f>
        <v>0</v>
      </c>
      <c r="P1285" s="356"/>
      <c r="R1285" s="348" t="str">
        <f t="shared" si="60"/>
        <v>DELETE</v>
      </c>
    </row>
    <row r="1286" spans="2:21" ht="36" customHeight="1" x14ac:dyDescent="0.5">
      <c r="B1286" s="316"/>
      <c r="C1286" s="450">
        <f>Criteria!C159</f>
        <v>0</v>
      </c>
      <c r="D1286" s="459"/>
      <c r="E1286" s="450"/>
      <c r="F1286" s="450"/>
      <c r="G1286" s="450"/>
      <c r="H1286" s="450"/>
      <c r="I1286" s="450"/>
      <c r="J1286" s="450"/>
      <c r="M1286" s="310"/>
      <c r="N1286" s="310"/>
      <c r="O1286" s="310">
        <f>Criteria!F159</f>
        <v>0</v>
      </c>
      <c r="P1286" s="356"/>
      <c r="R1286" s="348" t="str">
        <f t="shared" si="60"/>
        <v>DELETE</v>
      </c>
    </row>
    <row r="1287" spans="2:21" ht="36" customHeight="1" x14ac:dyDescent="0.5">
      <c r="B1287" s="316"/>
      <c r="C1287" s="450">
        <f>Criteria!C160</f>
        <v>0</v>
      </c>
      <c r="D1287" s="459"/>
      <c r="E1287" s="450"/>
      <c r="F1287" s="450"/>
      <c r="G1287" s="450"/>
      <c r="H1287" s="450"/>
      <c r="I1287" s="450"/>
      <c r="J1287" s="450"/>
      <c r="M1287" s="310"/>
      <c r="N1287" s="310"/>
      <c r="O1287" s="310">
        <f>Criteria!F160</f>
        <v>0</v>
      </c>
      <c r="P1287" s="356"/>
      <c r="R1287" s="348" t="str">
        <f t="shared" si="60"/>
        <v>DELETE</v>
      </c>
    </row>
    <row r="1288" spans="2:21" ht="36" customHeight="1" x14ac:dyDescent="0.5">
      <c r="B1288" s="316"/>
      <c r="C1288" s="450">
        <f>Criteria!C161</f>
        <v>0</v>
      </c>
      <c r="D1288" s="459"/>
      <c r="E1288" s="450"/>
      <c r="F1288" s="450"/>
      <c r="G1288" s="450"/>
      <c r="H1288" s="450"/>
      <c r="I1288" s="450"/>
      <c r="J1288" s="450"/>
      <c r="M1288" s="310"/>
      <c r="N1288" s="310"/>
      <c r="O1288" s="310">
        <f>Criteria!F161</f>
        <v>0</v>
      </c>
      <c r="P1288" s="356"/>
      <c r="R1288" s="348" t="str">
        <f t="shared" si="60"/>
        <v>DELETE</v>
      </c>
    </row>
    <row r="1289" spans="2:21" ht="36" customHeight="1" x14ac:dyDescent="0.5">
      <c r="B1289" s="316"/>
      <c r="C1289" s="450">
        <f>Criteria!C162</f>
        <v>0</v>
      </c>
      <c r="D1289" s="459"/>
      <c r="E1289" s="450"/>
      <c r="F1289" s="450"/>
      <c r="G1289" s="450"/>
      <c r="H1289" s="450"/>
      <c r="I1289" s="450"/>
      <c r="J1289" s="450"/>
      <c r="M1289" s="310"/>
      <c r="N1289" s="310"/>
      <c r="O1289" s="310">
        <f>Criteria!F162</f>
        <v>0</v>
      </c>
      <c r="P1289" s="356"/>
      <c r="R1289" s="348" t="str">
        <f t="shared" si="60"/>
        <v>DELETE</v>
      </c>
    </row>
    <row r="1290" spans="2:21" ht="36" customHeight="1" x14ac:dyDescent="0.5">
      <c r="B1290" s="316"/>
      <c r="C1290" s="450">
        <f>Criteria!C163</f>
        <v>0</v>
      </c>
      <c r="D1290" s="459"/>
      <c r="E1290" s="450"/>
      <c r="F1290" s="450"/>
      <c r="G1290" s="450"/>
      <c r="H1290" s="450"/>
      <c r="I1290" s="450"/>
      <c r="J1290" s="450"/>
      <c r="M1290" s="310"/>
      <c r="N1290" s="310"/>
      <c r="O1290" s="310">
        <f>Criteria!F163</f>
        <v>0</v>
      </c>
      <c r="P1290" s="356"/>
      <c r="R1290" s="348" t="str">
        <f t="shared" si="60"/>
        <v>DELETE</v>
      </c>
    </row>
    <row r="1291" spans="2:21" ht="9" customHeight="1" x14ac:dyDescent="0.5">
      <c r="B1291" s="316"/>
      <c r="C1291" s="456"/>
      <c r="D1291" s="450"/>
      <c r="E1291" s="450"/>
      <c r="F1291" s="450"/>
      <c r="G1291" s="450"/>
      <c r="H1291" s="450"/>
      <c r="I1291" s="450"/>
      <c r="J1291" s="450"/>
      <c r="M1291" s="310"/>
      <c r="N1291" s="310"/>
      <c r="O1291" s="298"/>
      <c r="P1291" s="356"/>
      <c r="R1291" s="348" t="str">
        <f>R$1293</f>
        <v>DELETE</v>
      </c>
    </row>
    <row r="1292" spans="2:21" ht="9" customHeight="1" x14ac:dyDescent="0.5">
      <c r="B1292" s="316"/>
      <c r="C1292" s="456"/>
      <c r="D1292" s="450"/>
      <c r="E1292" s="450"/>
      <c r="F1292" s="450"/>
      <c r="G1292" s="450"/>
      <c r="H1292" s="450"/>
      <c r="I1292" s="450"/>
      <c r="J1292" s="450"/>
      <c r="M1292" s="310"/>
      <c r="N1292" s="310"/>
      <c r="O1292" s="310"/>
      <c r="P1292" s="356"/>
      <c r="R1292" s="348" t="str">
        <f>R$1293</f>
        <v>DELETE</v>
      </c>
    </row>
    <row r="1293" spans="2:21" ht="36.75" customHeight="1" x14ac:dyDescent="0.5">
      <c r="B1293" s="316"/>
      <c r="C1293" s="456"/>
      <c r="D1293" s="450"/>
      <c r="E1293" s="450"/>
      <c r="F1293" s="450"/>
      <c r="G1293" s="450"/>
      <c r="H1293" s="450"/>
      <c r="I1293" s="450"/>
      <c r="J1293" s="450"/>
      <c r="M1293" s="310"/>
      <c r="N1293" s="310"/>
      <c r="O1293" s="310">
        <f>SUM(O1253:O1291)</f>
        <v>0</v>
      </c>
      <c r="P1293" s="356"/>
      <c r="R1293" s="348" t="str">
        <f t="shared" ref="R1293" si="61">IF(O1293=0,"DELETE"," ")</f>
        <v>DELETE</v>
      </c>
      <c r="U1293" s="331" t="b">
        <f>O1293=O1231</f>
        <v>1</v>
      </c>
    </row>
    <row r="1294" spans="2:21" ht="9" customHeight="1" thickBot="1" x14ac:dyDescent="0.55000000000000004">
      <c r="B1294" s="316"/>
      <c r="C1294" s="456"/>
      <c r="D1294" s="450"/>
      <c r="E1294" s="450"/>
      <c r="F1294" s="450"/>
      <c r="G1294" s="450"/>
      <c r="H1294" s="450"/>
      <c r="I1294" s="450"/>
      <c r="J1294" s="450"/>
      <c r="M1294" s="310"/>
      <c r="N1294" s="310"/>
      <c r="O1294" s="299"/>
      <c r="P1294" s="356"/>
      <c r="R1294" s="348" t="str">
        <f t="shared" ref="R1294:R1298" si="62">R$1293</f>
        <v>DELETE</v>
      </c>
    </row>
    <row r="1295" spans="2:21" ht="9" customHeight="1" thickTop="1" x14ac:dyDescent="0.5">
      <c r="B1295" s="316"/>
      <c r="C1295" s="456"/>
      <c r="D1295" s="450"/>
      <c r="E1295" s="450"/>
      <c r="F1295" s="450"/>
      <c r="G1295" s="450"/>
      <c r="H1295" s="450"/>
      <c r="I1295" s="450"/>
      <c r="J1295" s="450"/>
      <c r="M1295" s="310"/>
      <c r="N1295" s="310"/>
      <c r="O1295" s="310"/>
      <c r="P1295" s="356"/>
      <c r="R1295" s="348" t="str">
        <f t="shared" si="62"/>
        <v>DELETE</v>
      </c>
    </row>
    <row r="1296" spans="2:21" ht="36" customHeight="1" x14ac:dyDescent="0.5">
      <c r="B1296" s="316"/>
      <c r="C1296" s="456"/>
      <c r="D1296" s="450"/>
      <c r="E1296" s="450"/>
      <c r="F1296" s="450"/>
      <c r="G1296" s="450"/>
      <c r="H1296" s="450"/>
      <c r="I1296" s="450"/>
      <c r="J1296" s="450"/>
      <c r="M1296" s="310"/>
      <c r="N1296" s="310"/>
      <c r="O1296" s="310"/>
      <c r="P1296" s="356"/>
      <c r="R1296" s="348" t="str">
        <f t="shared" si="62"/>
        <v>DELETE</v>
      </c>
    </row>
    <row r="1297" spans="2:21" ht="36" customHeight="1" x14ac:dyDescent="0.5">
      <c r="B1297" s="316"/>
      <c r="C1297" s="456"/>
      <c r="D1297" s="450"/>
      <c r="E1297" s="450"/>
      <c r="F1297" s="450"/>
      <c r="G1297" s="450"/>
      <c r="H1297" s="450"/>
      <c r="I1297" s="450"/>
      <c r="J1297" s="450"/>
      <c r="M1297" s="310"/>
      <c r="N1297" s="310"/>
      <c r="O1297" s="310"/>
      <c r="P1297" s="356"/>
      <c r="R1297" s="348" t="str">
        <f t="shared" si="62"/>
        <v>DELETE</v>
      </c>
    </row>
    <row r="1298" spans="2:21" ht="36" customHeight="1" x14ac:dyDescent="0.5">
      <c r="B1298" s="316"/>
      <c r="C1298" s="456"/>
      <c r="D1298" s="450"/>
      <c r="E1298" s="450"/>
      <c r="F1298" s="450"/>
      <c r="G1298" s="450"/>
      <c r="H1298" s="450"/>
      <c r="I1298" s="450"/>
      <c r="J1298" s="450"/>
      <c r="M1298" s="296"/>
      <c r="N1298" s="296"/>
      <c r="O1298" s="296"/>
      <c r="R1298" s="348" t="str">
        <f t="shared" si="62"/>
        <v>DELETE</v>
      </c>
    </row>
    <row r="1299" spans="2:21" ht="36" customHeight="1" x14ac:dyDescent="0.5">
      <c r="B1299" s="354"/>
      <c r="C1299" s="450"/>
      <c r="D1299" s="456"/>
      <c r="E1299" s="450"/>
      <c r="F1299" s="450"/>
      <c r="G1299" s="450"/>
      <c r="H1299" s="450"/>
      <c r="I1299" s="450"/>
      <c r="J1299" s="450"/>
      <c r="M1299" s="347"/>
      <c r="O1299" s="295" t="s">
        <v>89</v>
      </c>
      <c r="Q1299" s="292">
        <f>MAX($Q$105:Q1298)+1</f>
        <v>35</v>
      </c>
      <c r="R1299" s="348" t="str">
        <f t="shared" ref="R1299:R1306" si="63">R$1307</f>
        <v>DELETE</v>
      </c>
    </row>
    <row r="1300" spans="2:21" ht="36" customHeight="1" x14ac:dyDescent="0.5">
      <c r="B1300" s="354"/>
      <c r="C1300" s="450"/>
      <c r="D1300" s="456" t="str">
        <f>Criteria!E9</f>
        <v>HOLDING COMPANY 268 (PROPRIETARY) LIMITED</v>
      </c>
      <c r="E1300" s="450"/>
      <c r="F1300" s="450"/>
      <c r="G1300" s="450"/>
      <c r="H1300" s="450"/>
      <c r="I1300" s="450"/>
      <c r="J1300" s="450"/>
      <c r="R1300" s="348" t="str">
        <f t="shared" si="63"/>
        <v>DELETE</v>
      </c>
    </row>
    <row r="1301" spans="2:21" ht="36" customHeight="1" x14ac:dyDescent="0.5">
      <c r="B1301" s="354"/>
      <c r="C1301" s="450"/>
      <c r="D1301" s="456" t="str">
        <f>Criteria!E10</f>
        <v>CONSOLIDATED FINANCIAL STATEMENTS</v>
      </c>
      <c r="E1301" s="450"/>
      <c r="F1301" s="450"/>
      <c r="G1301" s="450"/>
      <c r="H1301" s="450"/>
      <c r="I1301" s="450"/>
      <c r="J1301" s="450"/>
      <c r="R1301" s="348" t="str">
        <f>IF(R$1307="DELETE","DELETE",IF(D1301=0,"DELETE"," "))</f>
        <v>DELETE</v>
      </c>
    </row>
    <row r="1302" spans="2:21" ht="36" customHeight="1" x14ac:dyDescent="0.5">
      <c r="B1302" s="354"/>
      <c r="C1302" s="450"/>
      <c r="D1302" s="450"/>
      <c r="E1302" s="450"/>
      <c r="F1302" s="450"/>
      <c r="G1302" s="450"/>
      <c r="H1302" s="450"/>
      <c r="I1302" s="450"/>
      <c r="J1302" s="450"/>
      <c r="R1302" s="348" t="str">
        <f t="shared" si="63"/>
        <v>DELETE</v>
      </c>
    </row>
    <row r="1303" spans="2:21" ht="36" customHeight="1" x14ac:dyDescent="0.5">
      <c r="B1303" s="354"/>
      <c r="C1303" s="450"/>
      <c r="D1303" s="456" t="s">
        <v>351</v>
      </c>
      <c r="E1303" s="450"/>
      <c r="F1303" s="450"/>
      <c r="G1303" s="450"/>
      <c r="H1303" s="450"/>
      <c r="I1303" s="450"/>
      <c r="J1303" s="450"/>
      <c r="R1303" s="348" t="str">
        <f t="shared" si="63"/>
        <v>DELETE</v>
      </c>
    </row>
    <row r="1304" spans="2:21" ht="36" customHeight="1" x14ac:dyDescent="0.5">
      <c r="B1304" s="354"/>
      <c r="C1304" s="450"/>
      <c r="D1304" s="456" t="str">
        <f>Criteria!E20</f>
        <v>28 FEBRUARY 2025</v>
      </c>
      <c r="E1304" s="450"/>
      <c r="F1304" s="450"/>
      <c r="G1304" s="450"/>
      <c r="H1304" s="450"/>
      <c r="I1304" s="450"/>
      <c r="J1304" s="450" t="s">
        <v>231</v>
      </c>
      <c r="R1304" s="348" t="str">
        <f t="shared" si="63"/>
        <v>DELETE</v>
      </c>
    </row>
    <row r="1305" spans="2:21" ht="36" customHeight="1" x14ac:dyDescent="0.5">
      <c r="B1305" s="354"/>
      <c r="C1305" s="450"/>
      <c r="D1305" s="450"/>
      <c r="E1305" s="450"/>
      <c r="F1305" s="450"/>
      <c r="G1305" s="450"/>
      <c r="H1305" s="450"/>
      <c r="I1305" s="450"/>
      <c r="J1305" s="450"/>
      <c r="R1305" s="348" t="str">
        <f t="shared" si="63"/>
        <v>DELETE</v>
      </c>
    </row>
    <row r="1306" spans="2:21" ht="36" customHeight="1" x14ac:dyDescent="0.5">
      <c r="B1306" s="368"/>
      <c r="C1306" s="460"/>
      <c r="D1306" s="460"/>
      <c r="E1306" s="460"/>
      <c r="F1306" s="460"/>
      <c r="G1306" s="460"/>
      <c r="H1306" s="460"/>
      <c r="I1306" s="460"/>
      <c r="J1306" s="460"/>
      <c r="K1306" s="364"/>
      <c r="L1306" s="364"/>
      <c r="M1306" s="366"/>
      <c r="N1306" s="367"/>
      <c r="O1306" s="366"/>
      <c r="P1306" s="367"/>
      <c r="Q1306" s="364"/>
      <c r="R1306" s="348" t="str">
        <f t="shared" si="63"/>
        <v>DELETE</v>
      </c>
    </row>
    <row r="1307" spans="2:21" ht="31.5" customHeight="1" x14ac:dyDescent="0.5">
      <c r="B1307" s="316">
        <f>MAX(B$602:B1306)+1</f>
        <v>9</v>
      </c>
      <c r="C1307" s="397" t="s">
        <v>683</v>
      </c>
      <c r="D1307" s="353"/>
      <c r="E1307" s="353"/>
      <c r="F1307" s="353"/>
      <c r="G1307" s="353"/>
      <c r="H1307" s="353"/>
      <c r="I1307" s="353"/>
      <c r="J1307" s="353"/>
      <c r="M1307" s="355"/>
      <c r="N1307" s="356"/>
      <c r="O1307" s="355"/>
      <c r="P1307" s="356"/>
      <c r="R1307" s="348" t="str">
        <f>IF(O1316+O1320+O1338=0,"DELETE"," ")</f>
        <v>DELETE</v>
      </c>
    </row>
    <row r="1308" spans="2:21" ht="31.5" customHeight="1" x14ac:dyDescent="0.5">
      <c r="B1308" s="316"/>
      <c r="C1308" s="397"/>
      <c r="D1308" s="353"/>
      <c r="E1308" s="353"/>
      <c r="F1308" s="353"/>
      <c r="G1308" s="353"/>
      <c r="H1308" s="353"/>
      <c r="I1308" s="353"/>
      <c r="J1308" s="353"/>
      <c r="M1308" s="355"/>
      <c r="N1308" s="356"/>
      <c r="O1308" s="355"/>
      <c r="P1308" s="356"/>
      <c r="R1308" s="348" t="str">
        <f>R$1307</f>
        <v>DELETE</v>
      </c>
    </row>
    <row r="1309" spans="2:21" ht="33.75" customHeight="1" x14ac:dyDescent="0.45">
      <c r="B1309" s="316"/>
      <c r="C1309" s="354">
        <f>B1307+0.1</f>
        <v>9.1</v>
      </c>
      <c r="D1309" s="397" t="s">
        <v>185</v>
      </c>
      <c r="M1309" s="355"/>
      <c r="N1309" s="356"/>
      <c r="O1309" s="355"/>
      <c r="P1309" s="356"/>
      <c r="R1309" s="348" t="str">
        <f t="shared" ref="R1309:R1342" si="64">R$1307</f>
        <v>DELETE</v>
      </c>
    </row>
    <row r="1310" spans="2:21" ht="31.5" customHeight="1" x14ac:dyDescent="0.5">
      <c r="B1310" s="316"/>
      <c r="C1310" s="350"/>
      <c r="D1310" s="350"/>
      <c r="G1310" s="356"/>
      <c r="H1310" s="430" t="str">
        <f>Criteria!G208</f>
        <v>Plant and</v>
      </c>
      <c r="I1310" s="430"/>
      <c r="J1310" s="430" t="str">
        <f>Criteria!H208</f>
        <v>Motor</v>
      </c>
      <c r="K1310" s="430" t="str">
        <f>Criteria!I208</f>
        <v>Electronic</v>
      </c>
      <c r="L1310" s="430"/>
      <c r="M1310" s="430" t="str">
        <f>Criteria!J208</f>
        <v>Furniture and</v>
      </c>
      <c r="N1310" s="430"/>
      <c r="O1310" s="430" t="s">
        <v>356</v>
      </c>
      <c r="P1310" s="330"/>
      <c r="R1310" s="348" t="str">
        <f t="shared" si="64"/>
        <v>DELETE</v>
      </c>
    </row>
    <row r="1311" spans="2:21" ht="31.5" customHeight="1" x14ac:dyDescent="0.5">
      <c r="B1311" s="316"/>
      <c r="G1311" s="356"/>
      <c r="H1311" s="430" t="str">
        <f>Criteria!G209</f>
        <v>equipment</v>
      </c>
      <c r="I1311" s="430"/>
      <c r="J1311" s="430" t="str">
        <f>Criteria!H209</f>
        <v>vehicles</v>
      </c>
      <c r="K1311" s="430" t="str">
        <f>Criteria!I209</f>
        <v>equipment</v>
      </c>
      <c r="L1311" s="430"/>
      <c r="M1311" s="430" t="str">
        <f>Criteria!J209</f>
        <v>fittings</v>
      </c>
      <c r="N1311" s="430"/>
      <c r="O1311" s="430"/>
      <c r="P1311" s="330"/>
      <c r="R1311" s="348" t="str">
        <f t="shared" si="64"/>
        <v>DELETE</v>
      </c>
    </row>
    <row r="1312" spans="2:21" ht="31.5" customHeight="1" x14ac:dyDescent="0.5">
      <c r="B1312" s="316"/>
      <c r="D1312" s="353" t="s">
        <v>1108</v>
      </c>
      <c r="E1312" s="353"/>
      <c r="F1312" s="484">
        <f>Criteria!G21</f>
        <v>45351</v>
      </c>
      <c r="G1312" s="484"/>
      <c r="H1312" s="326">
        <f>H1316-H1317</f>
        <v>0</v>
      </c>
      <c r="I1312" s="326"/>
      <c r="J1312" s="326">
        <f>J1316-J1317</f>
        <v>0</v>
      </c>
      <c r="K1312" s="326">
        <f>K1316-K1317</f>
        <v>0</v>
      </c>
      <c r="L1312" s="326"/>
      <c r="M1312" s="326">
        <f>M1316-M1317</f>
        <v>0</v>
      </c>
      <c r="N1312" s="326"/>
      <c r="O1312" s="326">
        <f>O1316-O1317</f>
        <v>0</v>
      </c>
      <c r="P1312" s="330"/>
      <c r="R1312" s="348" t="str">
        <f t="shared" si="64"/>
        <v>DELETE</v>
      </c>
      <c r="U1312" s="331" t="b">
        <f>O1312=SUM(H1312:N1312)</f>
        <v>1</v>
      </c>
    </row>
    <row r="1313" spans="2:18" ht="9" customHeight="1" thickBot="1" x14ac:dyDescent="0.55000000000000004">
      <c r="B1313" s="316"/>
      <c r="D1313" s="353"/>
      <c r="E1313" s="353"/>
      <c r="F1313" s="353"/>
      <c r="G1313" s="387"/>
      <c r="H1313" s="321"/>
      <c r="I1313" s="321"/>
      <c r="J1313" s="321"/>
      <c r="K1313" s="321"/>
      <c r="L1313" s="321"/>
      <c r="M1313" s="321"/>
      <c r="N1313" s="321"/>
      <c r="O1313" s="321"/>
      <c r="P1313" s="330"/>
      <c r="R1313" s="348" t="str">
        <f t="shared" si="64"/>
        <v>DELETE</v>
      </c>
    </row>
    <row r="1314" spans="2:18" ht="9" customHeight="1" thickTop="1" x14ac:dyDescent="0.5">
      <c r="B1314" s="316"/>
      <c r="D1314" s="353"/>
      <c r="E1314" s="353"/>
      <c r="F1314" s="353"/>
      <c r="G1314" s="387"/>
      <c r="H1314" s="326"/>
      <c r="I1314" s="326"/>
      <c r="J1314" s="326"/>
      <c r="K1314" s="326"/>
      <c r="L1314" s="326"/>
      <c r="M1314" s="326"/>
      <c r="N1314" s="326"/>
      <c r="O1314" s="326"/>
      <c r="P1314" s="330"/>
      <c r="R1314" s="348" t="str">
        <f t="shared" si="64"/>
        <v>DELETE</v>
      </c>
    </row>
    <row r="1315" spans="2:18" ht="9" customHeight="1" x14ac:dyDescent="0.5">
      <c r="B1315" s="316"/>
      <c r="D1315" s="353"/>
      <c r="E1315" s="353"/>
      <c r="F1315" s="353"/>
      <c r="G1315" s="387"/>
      <c r="H1315" s="322"/>
      <c r="I1315" s="325"/>
      <c r="J1315" s="325"/>
      <c r="K1315" s="325"/>
      <c r="L1315" s="325"/>
      <c r="M1315" s="325"/>
      <c r="N1315" s="325"/>
      <c r="O1315" s="327"/>
      <c r="P1315" s="330"/>
      <c r="R1315" s="348" t="str">
        <f t="shared" si="64"/>
        <v>DELETE</v>
      </c>
    </row>
    <row r="1316" spans="2:18" ht="31.5" customHeight="1" x14ac:dyDescent="0.5">
      <c r="B1316" s="316"/>
      <c r="D1316" s="353" t="s">
        <v>352</v>
      </c>
      <c r="E1316" s="353"/>
      <c r="F1316" s="353"/>
      <c r="G1316" s="356"/>
      <c r="H1316" s="323">
        <f>TrialBalance!L252</f>
        <v>0</v>
      </c>
      <c r="I1316" s="326"/>
      <c r="J1316" s="326">
        <f>TrialBalance!L260</f>
        <v>0</v>
      </c>
      <c r="K1316" s="326">
        <f>TrialBalance!L268</f>
        <v>0</v>
      </c>
      <c r="L1316" s="326"/>
      <c r="M1316" s="326">
        <f>TrialBalance!L276</f>
        <v>0</v>
      </c>
      <c r="N1316" s="326"/>
      <c r="O1316" s="328">
        <f>SUM(H1316:M1316)</f>
        <v>0</v>
      </c>
      <c r="P1316" s="330"/>
      <c r="R1316" s="348" t="str">
        <f t="shared" si="64"/>
        <v>DELETE</v>
      </c>
    </row>
    <row r="1317" spans="2:18" ht="31.5" customHeight="1" x14ac:dyDescent="0.5">
      <c r="B1317" s="316"/>
      <c r="D1317" s="353" t="s">
        <v>1111</v>
      </c>
      <c r="E1317" s="353"/>
      <c r="F1317" s="353"/>
      <c r="G1317" s="356"/>
      <c r="H1317" s="323">
        <f>-TrialBalance!L256</f>
        <v>0</v>
      </c>
      <c r="I1317" s="326"/>
      <c r="J1317" s="326">
        <f>-TrialBalance!L264</f>
        <v>0</v>
      </c>
      <c r="K1317" s="326">
        <f>-TrialBalance!L272</f>
        <v>0</v>
      </c>
      <c r="L1317" s="326"/>
      <c r="M1317" s="326">
        <f>-TrialBalance!L280</f>
        <v>0</v>
      </c>
      <c r="N1317" s="326"/>
      <c r="O1317" s="328">
        <f>SUM(H1317:M1317)</f>
        <v>0</v>
      </c>
      <c r="P1317" s="330"/>
      <c r="R1317" s="348" t="str">
        <f t="shared" si="64"/>
        <v>DELETE</v>
      </c>
    </row>
    <row r="1318" spans="2:18" ht="9" customHeight="1" x14ac:dyDescent="0.5">
      <c r="B1318" s="316"/>
      <c r="D1318" s="353"/>
      <c r="E1318" s="353"/>
      <c r="F1318" s="353"/>
      <c r="G1318" s="356"/>
      <c r="H1318" s="324"/>
      <c r="I1318" s="320"/>
      <c r="J1318" s="320"/>
      <c r="K1318" s="320"/>
      <c r="L1318" s="320"/>
      <c r="M1318" s="320"/>
      <c r="N1318" s="320"/>
      <c r="O1318" s="329"/>
      <c r="P1318" s="330"/>
      <c r="R1318" s="348" t="str">
        <f t="shared" si="64"/>
        <v>DELETE</v>
      </c>
    </row>
    <row r="1319" spans="2:18" ht="9" customHeight="1" x14ac:dyDescent="0.5">
      <c r="B1319" s="316"/>
      <c r="D1319" s="353"/>
      <c r="E1319" s="353"/>
      <c r="F1319" s="353"/>
      <c r="G1319" s="356"/>
      <c r="H1319" s="326"/>
      <c r="I1319" s="326"/>
      <c r="J1319" s="326"/>
      <c r="K1319" s="326"/>
      <c r="L1319" s="326"/>
      <c r="M1319" s="326"/>
      <c r="N1319" s="326"/>
      <c r="O1319" s="326"/>
      <c r="P1319" s="330"/>
      <c r="R1319" s="348" t="str">
        <f t="shared" si="64"/>
        <v>DELETE</v>
      </c>
    </row>
    <row r="1320" spans="2:18" ht="31.5" customHeight="1" x14ac:dyDescent="0.5">
      <c r="B1320" s="316"/>
      <c r="D1320" s="353" t="s">
        <v>358</v>
      </c>
      <c r="E1320" s="353"/>
      <c r="F1320" s="353"/>
      <c r="G1320" s="356"/>
      <c r="H1320" s="326">
        <f>TrialBalance!L253</f>
        <v>0</v>
      </c>
      <c r="I1320" s="326"/>
      <c r="J1320" s="326">
        <f>TrialBalance!L261</f>
        <v>0</v>
      </c>
      <c r="K1320" s="326">
        <f>TrialBalance!L269</f>
        <v>0</v>
      </c>
      <c r="L1320" s="326"/>
      <c r="M1320" s="326">
        <f>+TrialBalance!L277</f>
        <v>0</v>
      </c>
      <c r="N1320" s="326"/>
      <c r="O1320" s="326">
        <f>SUM(H1320:M1320)</f>
        <v>0</v>
      </c>
      <c r="P1320" s="330"/>
      <c r="R1320" s="348" t="str">
        <f t="shared" si="64"/>
        <v>DELETE</v>
      </c>
    </row>
    <row r="1321" spans="2:18" ht="9" customHeight="1" x14ac:dyDescent="0.5">
      <c r="B1321" s="316"/>
      <c r="D1321" s="353"/>
      <c r="E1321" s="353"/>
      <c r="F1321" s="353"/>
      <c r="G1321" s="356"/>
      <c r="H1321" s="320"/>
      <c r="I1321" s="320"/>
      <c r="J1321" s="320"/>
      <c r="K1321" s="320"/>
      <c r="L1321" s="320"/>
      <c r="M1321" s="320"/>
      <c r="N1321" s="320"/>
      <c r="O1321" s="320"/>
      <c r="P1321" s="330"/>
      <c r="R1321" s="348" t="str">
        <f t="shared" si="64"/>
        <v>DELETE</v>
      </c>
    </row>
    <row r="1322" spans="2:18" ht="9" customHeight="1" x14ac:dyDescent="0.5">
      <c r="B1322" s="316"/>
      <c r="D1322" s="353"/>
      <c r="E1322" s="353"/>
      <c r="F1322" s="353"/>
      <c r="G1322" s="356"/>
      <c r="H1322" s="326"/>
      <c r="I1322" s="326"/>
      <c r="J1322" s="326"/>
      <c r="K1322" s="326"/>
      <c r="L1322" s="326"/>
      <c r="M1322" s="326"/>
      <c r="N1322" s="326"/>
      <c r="O1322" s="326"/>
      <c r="P1322" s="330"/>
      <c r="R1322" s="348" t="str">
        <f t="shared" si="64"/>
        <v>DELETE</v>
      </c>
    </row>
    <row r="1323" spans="2:18" ht="31.5" customHeight="1" x14ac:dyDescent="0.5">
      <c r="B1323" s="316"/>
      <c r="D1323" s="353"/>
      <c r="E1323" s="353"/>
      <c r="F1323" s="353"/>
      <c r="G1323" s="356"/>
      <c r="H1323" s="326">
        <f>+H1312+H1320</f>
        <v>0</v>
      </c>
      <c r="I1323" s="326"/>
      <c r="J1323" s="326">
        <f>+J1312+J1320</f>
        <v>0</v>
      </c>
      <c r="K1323" s="326">
        <f>+K1312+K1320</f>
        <v>0</v>
      </c>
      <c r="L1323" s="326"/>
      <c r="M1323" s="326">
        <f>+M1312+M1320</f>
        <v>0</v>
      </c>
      <c r="N1323" s="326"/>
      <c r="O1323" s="326">
        <f>+O1312+O1320</f>
        <v>0</v>
      </c>
      <c r="P1323" s="330"/>
      <c r="R1323" s="348" t="str">
        <f t="shared" si="64"/>
        <v>DELETE</v>
      </c>
    </row>
    <row r="1324" spans="2:18" ht="31.5" customHeight="1" x14ac:dyDescent="0.5">
      <c r="B1324" s="316"/>
      <c r="D1324" s="353" t="s">
        <v>149</v>
      </c>
      <c r="E1324" s="353"/>
      <c r="F1324" s="353"/>
      <c r="G1324" s="356"/>
      <c r="H1324" s="326">
        <f>H1327-H1328</f>
        <v>0</v>
      </c>
      <c r="I1324" s="326"/>
      <c r="J1324" s="326">
        <f>J1327-J1328</f>
        <v>0</v>
      </c>
      <c r="K1324" s="326">
        <f>K1327-K1328</f>
        <v>0</v>
      </c>
      <c r="L1324" s="326"/>
      <c r="M1324" s="326">
        <f>M1327-M1328</f>
        <v>0</v>
      </c>
      <c r="N1324" s="326"/>
      <c r="O1324" s="326">
        <f>O1327-O1328</f>
        <v>0</v>
      </c>
      <c r="P1324" s="330"/>
      <c r="R1324" s="348" t="str">
        <f t="shared" si="64"/>
        <v>DELETE</v>
      </c>
    </row>
    <row r="1325" spans="2:18" ht="9" customHeight="1" x14ac:dyDescent="0.5">
      <c r="B1325" s="316"/>
      <c r="D1325" s="353"/>
      <c r="E1325" s="353"/>
      <c r="F1325" s="353"/>
      <c r="G1325" s="356"/>
      <c r="H1325" s="326"/>
      <c r="I1325" s="326"/>
      <c r="J1325" s="326"/>
      <c r="K1325" s="326"/>
      <c r="L1325" s="326"/>
      <c r="M1325" s="326"/>
      <c r="N1325" s="326"/>
      <c r="O1325" s="326"/>
      <c r="P1325" s="330"/>
      <c r="R1325" s="348" t="str">
        <f t="shared" si="64"/>
        <v>DELETE</v>
      </c>
    </row>
    <row r="1326" spans="2:18" ht="9" customHeight="1" x14ac:dyDescent="0.5">
      <c r="B1326" s="316"/>
      <c r="D1326" s="353"/>
      <c r="E1326" s="353"/>
      <c r="F1326" s="353"/>
      <c r="G1326" s="356"/>
      <c r="H1326" s="322"/>
      <c r="I1326" s="325"/>
      <c r="J1326" s="325"/>
      <c r="K1326" s="325"/>
      <c r="L1326" s="325"/>
      <c r="M1326" s="325"/>
      <c r="N1326" s="325"/>
      <c r="O1326" s="327"/>
      <c r="P1326" s="330"/>
      <c r="R1326" s="348" t="str">
        <f t="shared" si="64"/>
        <v>DELETE</v>
      </c>
    </row>
    <row r="1327" spans="2:18" ht="31.5" customHeight="1" x14ac:dyDescent="0.5">
      <c r="B1327" s="316"/>
      <c r="D1327" s="353" t="s">
        <v>352</v>
      </c>
      <c r="E1327" s="353"/>
      <c r="F1327" s="353"/>
      <c r="G1327" s="356"/>
      <c r="H1327" s="323">
        <f>-TrialBalance!L254</f>
        <v>0</v>
      </c>
      <c r="I1327" s="326"/>
      <c r="J1327" s="326">
        <f>-TrialBalance!L262</f>
        <v>0</v>
      </c>
      <c r="K1327" s="326">
        <f>-TrialBalance!L270</f>
        <v>0</v>
      </c>
      <c r="L1327" s="326"/>
      <c r="M1327" s="326">
        <f>-TrialBalance!L278</f>
        <v>0</v>
      </c>
      <c r="N1327" s="326"/>
      <c r="O1327" s="328">
        <f>SUM(H1327:M1327)</f>
        <v>0</v>
      </c>
      <c r="P1327" s="330"/>
      <c r="R1327" s="348" t="str">
        <f t="shared" si="64"/>
        <v>DELETE</v>
      </c>
    </row>
    <row r="1328" spans="2:18" ht="31.5" customHeight="1" x14ac:dyDescent="0.5">
      <c r="B1328" s="316"/>
      <c r="D1328" s="353" t="s">
        <v>1111</v>
      </c>
      <c r="E1328" s="353"/>
      <c r="F1328" s="353"/>
      <c r="G1328" s="356"/>
      <c r="H1328" s="323">
        <f>TrialBalance!L258</f>
        <v>0</v>
      </c>
      <c r="I1328" s="326"/>
      <c r="J1328" s="326">
        <f>TrialBalance!L266</f>
        <v>0</v>
      </c>
      <c r="K1328" s="326">
        <f>TrialBalance!L274</f>
        <v>0</v>
      </c>
      <c r="L1328" s="326"/>
      <c r="M1328" s="326">
        <f>+TrialBalance!L282</f>
        <v>0</v>
      </c>
      <c r="N1328" s="326"/>
      <c r="O1328" s="328">
        <f>SUM(H1328:M1328)</f>
        <v>0</v>
      </c>
      <c r="P1328" s="330"/>
      <c r="R1328" s="348" t="str">
        <f t="shared" si="64"/>
        <v>DELETE</v>
      </c>
    </row>
    <row r="1329" spans="2:21" ht="9" customHeight="1" x14ac:dyDescent="0.5">
      <c r="B1329" s="316"/>
      <c r="D1329" s="353"/>
      <c r="E1329" s="353"/>
      <c r="F1329" s="353"/>
      <c r="G1329" s="356"/>
      <c r="H1329" s="324"/>
      <c r="I1329" s="320"/>
      <c r="J1329" s="320"/>
      <c r="K1329" s="320"/>
      <c r="L1329" s="320"/>
      <c r="M1329" s="320"/>
      <c r="N1329" s="320"/>
      <c r="O1329" s="329"/>
      <c r="P1329" s="330"/>
      <c r="R1329" s="348" t="str">
        <f t="shared" si="64"/>
        <v>DELETE</v>
      </c>
    </row>
    <row r="1330" spans="2:21" ht="9" customHeight="1" x14ac:dyDescent="0.5">
      <c r="B1330" s="316"/>
      <c r="D1330" s="353"/>
      <c r="E1330" s="353"/>
      <c r="F1330" s="353"/>
      <c r="G1330" s="356"/>
      <c r="H1330" s="326"/>
      <c r="I1330" s="326"/>
      <c r="J1330" s="326"/>
      <c r="K1330" s="326"/>
      <c r="L1330" s="326"/>
      <c r="M1330" s="326"/>
      <c r="N1330" s="326"/>
      <c r="O1330" s="326"/>
      <c r="P1330" s="330"/>
      <c r="R1330" s="348" t="str">
        <f t="shared" si="64"/>
        <v>DELETE</v>
      </c>
    </row>
    <row r="1331" spans="2:21" ht="31.5" customHeight="1" x14ac:dyDescent="0.5">
      <c r="B1331" s="316"/>
      <c r="D1331" s="353" t="s">
        <v>252</v>
      </c>
      <c r="E1331" s="353"/>
      <c r="F1331" s="353"/>
      <c r="G1331" s="356"/>
      <c r="H1331" s="326">
        <f>TrialBalance!L257</f>
        <v>0</v>
      </c>
      <c r="I1331" s="326"/>
      <c r="J1331" s="326">
        <f>TrialBalance!L265</f>
        <v>0</v>
      </c>
      <c r="K1331" s="326">
        <f>TrialBalance!L273</f>
        <v>0</v>
      </c>
      <c r="L1331" s="326"/>
      <c r="M1331" s="326">
        <f>+TrialBalance!L281</f>
        <v>0</v>
      </c>
      <c r="N1331" s="326"/>
      <c r="O1331" s="326">
        <f>SUM(H1331:M1331)</f>
        <v>0</v>
      </c>
      <c r="P1331" s="330"/>
      <c r="R1331" s="348" t="str">
        <f t="shared" si="64"/>
        <v>DELETE</v>
      </c>
    </row>
    <row r="1332" spans="2:21" ht="9" customHeight="1" x14ac:dyDescent="0.5">
      <c r="B1332" s="316"/>
      <c r="D1332" s="353"/>
      <c r="E1332" s="353"/>
      <c r="F1332" s="353"/>
      <c r="G1332" s="356"/>
      <c r="H1332" s="320"/>
      <c r="I1332" s="320"/>
      <c r="J1332" s="320"/>
      <c r="K1332" s="320"/>
      <c r="L1332" s="320"/>
      <c r="M1332" s="320"/>
      <c r="N1332" s="320"/>
      <c r="O1332" s="320"/>
      <c r="P1332" s="330"/>
      <c r="R1332" s="348" t="str">
        <f t="shared" si="64"/>
        <v>DELETE</v>
      </c>
    </row>
    <row r="1333" spans="2:21" ht="9" customHeight="1" x14ac:dyDescent="0.5">
      <c r="B1333" s="316"/>
      <c r="D1333" s="353"/>
      <c r="E1333" s="353"/>
      <c r="F1333" s="353"/>
      <c r="G1333" s="356"/>
      <c r="H1333" s="326"/>
      <c r="I1333" s="326"/>
      <c r="J1333" s="326"/>
      <c r="K1333" s="326"/>
      <c r="L1333" s="326"/>
      <c r="M1333" s="326"/>
      <c r="N1333" s="326"/>
      <c r="O1333" s="326"/>
      <c r="P1333" s="330"/>
      <c r="R1333" s="348" t="str">
        <f t="shared" si="64"/>
        <v>DELETE</v>
      </c>
    </row>
    <row r="1334" spans="2:21" ht="31.5" customHeight="1" x14ac:dyDescent="0.5">
      <c r="B1334" s="316"/>
      <c r="D1334" s="353" t="s">
        <v>1108</v>
      </c>
      <c r="E1334" s="353"/>
      <c r="F1334" s="484">
        <f>Criteria!G20</f>
        <v>45716</v>
      </c>
      <c r="G1334" s="484"/>
      <c r="H1334" s="326">
        <f>+H1312+H1320-H1324+H1331</f>
        <v>0</v>
      </c>
      <c r="I1334" s="326"/>
      <c r="J1334" s="326">
        <f>+J1312+J1320-J1324+J1331</f>
        <v>0</v>
      </c>
      <c r="K1334" s="326">
        <f>+K1312+K1320-K1324+K1331</f>
        <v>0</v>
      </c>
      <c r="L1334" s="326"/>
      <c r="M1334" s="326">
        <f>+M1312+M1320-M1324+M1331</f>
        <v>0</v>
      </c>
      <c r="N1334" s="326"/>
      <c r="O1334" s="326">
        <f>+O1312+O1320-O1324+O1331</f>
        <v>0</v>
      </c>
      <c r="P1334" s="339"/>
      <c r="R1334" s="348" t="str">
        <f t="shared" si="64"/>
        <v>DELETE</v>
      </c>
      <c r="U1334" s="331" t="b">
        <f>O1334=SUM(H1334:N1334)</f>
        <v>1</v>
      </c>
    </row>
    <row r="1335" spans="2:21" ht="9" customHeight="1" thickBot="1" x14ac:dyDescent="0.55000000000000004">
      <c r="B1335" s="316"/>
      <c r="D1335" s="353"/>
      <c r="E1335" s="353"/>
      <c r="F1335" s="353"/>
      <c r="G1335" s="387"/>
      <c r="H1335" s="321"/>
      <c r="I1335" s="321"/>
      <c r="J1335" s="321"/>
      <c r="K1335" s="321"/>
      <c r="L1335" s="321"/>
      <c r="M1335" s="321"/>
      <c r="N1335" s="321"/>
      <c r="O1335" s="321"/>
      <c r="P1335" s="330"/>
      <c r="R1335" s="348" t="str">
        <f t="shared" si="64"/>
        <v>DELETE</v>
      </c>
    </row>
    <row r="1336" spans="2:21" ht="9" customHeight="1" thickTop="1" x14ac:dyDescent="0.5">
      <c r="B1336" s="316"/>
      <c r="D1336" s="353"/>
      <c r="E1336" s="353"/>
      <c r="F1336" s="353"/>
      <c r="G1336" s="387"/>
      <c r="H1336" s="326"/>
      <c r="I1336" s="326"/>
      <c r="J1336" s="326"/>
      <c r="K1336" s="326"/>
      <c r="L1336" s="326"/>
      <c r="M1336" s="326"/>
      <c r="N1336" s="326"/>
      <c r="O1336" s="326"/>
      <c r="P1336" s="330"/>
      <c r="R1336" s="348" t="str">
        <f t="shared" si="64"/>
        <v>DELETE</v>
      </c>
    </row>
    <row r="1337" spans="2:21" ht="9" customHeight="1" x14ac:dyDescent="0.5">
      <c r="B1337" s="316"/>
      <c r="D1337" s="353"/>
      <c r="E1337" s="353"/>
      <c r="F1337" s="353"/>
      <c r="G1337" s="387"/>
      <c r="H1337" s="322"/>
      <c r="I1337" s="325"/>
      <c r="J1337" s="325"/>
      <c r="K1337" s="325"/>
      <c r="L1337" s="325"/>
      <c r="M1337" s="325"/>
      <c r="N1337" s="325"/>
      <c r="O1337" s="327"/>
      <c r="P1337" s="330"/>
      <c r="R1337" s="348" t="str">
        <f t="shared" si="64"/>
        <v>DELETE</v>
      </c>
    </row>
    <row r="1338" spans="2:21" ht="31.5" customHeight="1" x14ac:dyDescent="0.5">
      <c r="B1338" s="316"/>
      <c r="D1338" s="353" t="s">
        <v>352</v>
      </c>
      <c r="E1338" s="353"/>
      <c r="F1338" s="353"/>
      <c r="G1338" s="356"/>
      <c r="H1338" s="323">
        <f>H1316+H1320-H1327</f>
        <v>0</v>
      </c>
      <c r="I1338" s="326"/>
      <c r="J1338" s="326">
        <f>J1316+J1320-J1327</f>
        <v>0</v>
      </c>
      <c r="K1338" s="326">
        <f>K1316+K1320-K1327</f>
        <v>0</v>
      </c>
      <c r="L1338" s="326"/>
      <c r="M1338" s="326">
        <f>M1316+M1320-M1327</f>
        <v>0</v>
      </c>
      <c r="N1338" s="326"/>
      <c r="O1338" s="328">
        <f>O1316+O1320-O1327</f>
        <v>0</v>
      </c>
      <c r="P1338" s="330"/>
      <c r="R1338" s="348" t="str">
        <f t="shared" si="64"/>
        <v>DELETE</v>
      </c>
      <c r="U1338" s="331" t="b">
        <f>O1338=SUM(H1338:N1338)</f>
        <v>1</v>
      </c>
    </row>
    <row r="1339" spans="2:21" ht="31.5" customHeight="1" x14ac:dyDescent="0.5">
      <c r="B1339" s="316"/>
      <c r="D1339" s="353" t="s">
        <v>1111</v>
      </c>
      <c r="E1339" s="353"/>
      <c r="F1339" s="353"/>
      <c r="G1339" s="356"/>
      <c r="H1339" s="323">
        <f>H1317-H1328-H1331</f>
        <v>0</v>
      </c>
      <c r="I1339" s="326"/>
      <c r="J1339" s="326">
        <f>J1317-J1328-J1331</f>
        <v>0</v>
      </c>
      <c r="K1339" s="326">
        <f>K1317-K1328-K1331</f>
        <v>0</v>
      </c>
      <c r="L1339" s="326"/>
      <c r="M1339" s="326">
        <f>M1317-M1328-M1331</f>
        <v>0</v>
      </c>
      <c r="N1339" s="326"/>
      <c r="O1339" s="328">
        <f>O1317-O1328-O1331</f>
        <v>0</v>
      </c>
      <c r="P1339" s="330"/>
      <c r="R1339" s="348" t="str">
        <f t="shared" si="64"/>
        <v>DELETE</v>
      </c>
      <c r="U1339" s="331" t="b">
        <f>O1339=SUM(H1339:N1339)</f>
        <v>1</v>
      </c>
    </row>
    <row r="1340" spans="2:21" ht="9" customHeight="1" x14ac:dyDescent="0.5">
      <c r="B1340" s="316"/>
      <c r="D1340" s="353"/>
      <c r="E1340" s="353"/>
      <c r="F1340" s="353"/>
      <c r="G1340" s="356"/>
      <c r="H1340" s="324"/>
      <c r="I1340" s="320"/>
      <c r="J1340" s="320"/>
      <c r="K1340" s="320"/>
      <c r="L1340" s="320"/>
      <c r="M1340" s="320"/>
      <c r="N1340" s="320"/>
      <c r="O1340" s="329"/>
      <c r="P1340" s="330"/>
      <c r="R1340" s="348" t="str">
        <f t="shared" si="64"/>
        <v>DELETE</v>
      </c>
    </row>
    <row r="1341" spans="2:21" ht="9" customHeight="1" x14ac:dyDescent="0.5">
      <c r="B1341" s="316"/>
      <c r="D1341" s="353"/>
      <c r="E1341" s="353"/>
      <c r="F1341" s="353"/>
      <c r="G1341" s="356"/>
      <c r="H1341" s="326"/>
      <c r="I1341" s="326"/>
      <c r="J1341" s="326"/>
      <c r="K1341" s="326"/>
      <c r="L1341" s="326"/>
      <c r="M1341" s="326"/>
      <c r="N1341" s="326"/>
      <c r="O1341" s="326"/>
      <c r="P1341" s="330"/>
      <c r="R1341" s="348" t="str">
        <f t="shared" si="64"/>
        <v>DELETE</v>
      </c>
    </row>
    <row r="1342" spans="2:21" ht="31.5" customHeight="1" x14ac:dyDescent="0.45">
      <c r="B1342" s="316"/>
      <c r="H1342" s="362"/>
      <c r="I1342" s="362"/>
      <c r="J1342" s="362"/>
      <c r="K1342" s="362"/>
      <c r="L1342" s="362"/>
      <c r="M1342" s="363"/>
      <c r="N1342" s="363"/>
      <c r="O1342" s="363"/>
      <c r="P1342" s="356"/>
      <c r="R1342" s="348" t="str">
        <f t="shared" si="64"/>
        <v>DELETE</v>
      </c>
      <c r="U1342" s="331" t="b">
        <f>O1334=O1338-O1339</f>
        <v>1</v>
      </c>
    </row>
    <row r="1343" spans="2:21" ht="31.5" customHeight="1" x14ac:dyDescent="0.45">
      <c r="B1343" s="316"/>
      <c r="H1343" s="380"/>
      <c r="I1343" s="380"/>
      <c r="J1343" s="380"/>
      <c r="K1343" s="380"/>
      <c r="L1343" s="380"/>
      <c r="M1343" s="363"/>
      <c r="N1343" s="371"/>
      <c r="O1343" s="363"/>
      <c r="P1343" s="356"/>
      <c r="R1343" s="348" t="str">
        <f t="shared" ref="R1343:R1345" si="65">R$1307</f>
        <v>DELETE</v>
      </c>
    </row>
    <row r="1344" spans="2:21" ht="31.5" customHeight="1" x14ac:dyDescent="0.45">
      <c r="B1344" s="316"/>
      <c r="H1344" s="380"/>
      <c r="I1344" s="380"/>
      <c r="J1344" s="380"/>
      <c r="K1344" s="380"/>
      <c r="L1344" s="380"/>
      <c r="M1344" s="363"/>
      <c r="N1344" s="371"/>
      <c r="O1344" s="363"/>
      <c r="P1344" s="356"/>
      <c r="R1344" s="348" t="str">
        <f t="shared" si="65"/>
        <v>DELETE</v>
      </c>
    </row>
    <row r="1345" spans="2:18" ht="31.5" customHeight="1" x14ac:dyDescent="0.45">
      <c r="B1345" s="316"/>
      <c r="H1345" s="380"/>
      <c r="I1345" s="380"/>
      <c r="J1345" s="380"/>
      <c r="K1345" s="380"/>
      <c r="L1345" s="380"/>
      <c r="M1345" s="357"/>
      <c r="N1345" s="351"/>
      <c r="O1345" s="357"/>
      <c r="R1345" s="348" t="str">
        <f t="shared" si="65"/>
        <v>DELETE</v>
      </c>
    </row>
    <row r="1346" spans="2:18" ht="36" customHeight="1" x14ac:dyDescent="0.5">
      <c r="B1346" s="354"/>
      <c r="C1346" s="434"/>
      <c r="D1346" s="456"/>
      <c r="E1346" s="450"/>
      <c r="F1346" s="450"/>
      <c r="G1346" s="450"/>
      <c r="H1346" s="450"/>
      <c r="I1346" s="450"/>
      <c r="J1346" s="450"/>
      <c r="O1346" s="295" t="s">
        <v>89</v>
      </c>
      <c r="Q1346" s="292">
        <f>MAX($Q$105:Q1345)+1</f>
        <v>36</v>
      </c>
      <c r="R1346" s="348" t="str">
        <f>R$1354</f>
        <v>DELETE</v>
      </c>
    </row>
    <row r="1347" spans="2:18" ht="36" customHeight="1" x14ac:dyDescent="0.5">
      <c r="B1347" s="354"/>
      <c r="C1347" s="434"/>
      <c r="D1347" s="456" t="str">
        <f>Criteria!E9</f>
        <v>HOLDING COMPANY 268 (PROPRIETARY) LIMITED</v>
      </c>
      <c r="E1347" s="450"/>
      <c r="F1347" s="450"/>
      <c r="G1347" s="450"/>
      <c r="H1347" s="450"/>
      <c r="I1347" s="450"/>
      <c r="J1347" s="450"/>
      <c r="R1347" s="348" t="str">
        <f>R$1354</f>
        <v>DELETE</v>
      </c>
    </row>
    <row r="1348" spans="2:18" ht="36" customHeight="1" x14ac:dyDescent="0.5">
      <c r="B1348" s="354"/>
      <c r="C1348" s="434"/>
      <c r="D1348" s="456" t="str">
        <f>Criteria!E10</f>
        <v>CONSOLIDATED FINANCIAL STATEMENTS</v>
      </c>
      <c r="E1348" s="450"/>
      <c r="F1348" s="450"/>
      <c r="G1348" s="450"/>
      <c r="H1348" s="450"/>
      <c r="I1348" s="450"/>
      <c r="J1348" s="450"/>
      <c r="R1348" s="348" t="str">
        <f>IF(R$1354="DELETE","DELETE",IF(D1348=0,"DELETE"," "))</f>
        <v>DELETE</v>
      </c>
    </row>
    <row r="1349" spans="2:18" ht="36" customHeight="1" x14ac:dyDescent="0.5">
      <c r="B1349" s="354"/>
      <c r="C1349" s="434"/>
      <c r="D1349" s="450"/>
      <c r="E1349" s="450"/>
      <c r="F1349" s="450"/>
      <c r="G1349" s="450"/>
      <c r="H1349" s="450"/>
      <c r="I1349" s="450"/>
      <c r="J1349" s="450"/>
      <c r="R1349" s="348" t="str">
        <f>R$1354</f>
        <v>DELETE</v>
      </c>
    </row>
    <row r="1350" spans="2:18" ht="36" customHeight="1" x14ac:dyDescent="0.5">
      <c r="B1350" s="354"/>
      <c r="C1350" s="434"/>
      <c r="D1350" s="456" t="s">
        <v>351</v>
      </c>
      <c r="E1350" s="450"/>
      <c r="F1350" s="450"/>
      <c r="G1350" s="450"/>
      <c r="H1350" s="450"/>
      <c r="I1350" s="450"/>
      <c r="J1350" s="450"/>
      <c r="R1350" s="348" t="str">
        <f>R$1354</f>
        <v>DELETE</v>
      </c>
    </row>
    <row r="1351" spans="2:18" ht="36" customHeight="1" x14ac:dyDescent="0.5">
      <c r="B1351" s="354"/>
      <c r="C1351" s="434"/>
      <c r="D1351" s="456" t="str">
        <f>Criteria!E20</f>
        <v>28 FEBRUARY 2025</v>
      </c>
      <c r="E1351" s="450"/>
      <c r="F1351" s="450"/>
      <c r="G1351" s="450"/>
      <c r="H1351" s="450"/>
      <c r="I1351" s="450"/>
      <c r="J1351" s="450" t="s">
        <v>231</v>
      </c>
      <c r="R1351" s="348" t="str">
        <f>R$1354</f>
        <v>DELETE</v>
      </c>
    </row>
    <row r="1352" spans="2:18" ht="36" customHeight="1" x14ac:dyDescent="0.5">
      <c r="B1352" s="354"/>
      <c r="C1352" s="434"/>
      <c r="D1352" s="456"/>
      <c r="E1352" s="450"/>
      <c r="F1352" s="450"/>
      <c r="G1352" s="450"/>
      <c r="H1352" s="450"/>
      <c r="I1352" s="450"/>
      <c r="J1352" s="450"/>
      <c r="R1352" s="348" t="str">
        <f>R$1354</f>
        <v>DELETE</v>
      </c>
    </row>
    <row r="1353" spans="2:18" ht="36" customHeight="1" x14ac:dyDescent="0.5">
      <c r="B1353" s="447"/>
      <c r="C1353" s="444"/>
      <c r="D1353" s="460"/>
      <c r="E1353" s="460"/>
      <c r="F1353" s="460"/>
      <c r="G1353" s="460"/>
      <c r="H1353" s="471"/>
      <c r="I1353" s="471"/>
      <c r="J1353" s="471"/>
      <c r="K1353" s="384"/>
      <c r="L1353" s="384"/>
      <c r="M1353" s="377"/>
      <c r="N1353" s="378"/>
      <c r="O1353" s="377"/>
      <c r="P1353" s="367"/>
      <c r="Q1353" s="364"/>
      <c r="R1353" s="348" t="str">
        <f>R$1354</f>
        <v>DELETE</v>
      </c>
    </row>
    <row r="1354" spans="2:18" ht="31.5" customHeight="1" x14ac:dyDescent="0.5">
      <c r="B1354" s="316"/>
      <c r="C1354" s="354">
        <f>MAX(C1309:C1353)+0.1</f>
        <v>9.1999999999999993</v>
      </c>
      <c r="D1354" s="397" t="s">
        <v>1073</v>
      </c>
      <c r="E1354" s="353"/>
      <c r="F1354" s="353"/>
      <c r="G1354" s="353"/>
      <c r="H1354" s="353"/>
      <c r="I1354" s="353"/>
      <c r="J1354" s="353"/>
      <c r="M1354" s="355"/>
      <c r="N1354" s="356"/>
      <c r="O1354" s="355"/>
      <c r="P1354" s="356"/>
      <c r="R1354" s="348" t="str">
        <f>IF(Criteria!J216+Criteria!J223=0,"DELETE"," ")</f>
        <v>DELETE</v>
      </c>
    </row>
    <row r="1355" spans="2:18" ht="31.5" customHeight="1" x14ac:dyDescent="0.5">
      <c r="B1355" s="316"/>
      <c r="C1355" s="354"/>
      <c r="D1355" s="397"/>
      <c r="E1355" s="353"/>
      <c r="F1355" s="353"/>
      <c r="G1355" s="353"/>
      <c r="H1355" s="353"/>
      <c r="I1355" s="353"/>
      <c r="J1355" s="353"/>
      <c r="M1355" s="355"/>
      <c r="N1355" s="356"/>
      <c r="O1355" s="355"/>
      <c r="P1355" s="356"/>
      <c r="R1355" s="348" t="str">
        <f>R$1354</f>
        <v>DELETE</v>
      </c>
    </row>
    <row r="1356" spans="2:18" ht="31.5" customHeight="1" x14ac:dyDescent="0.5">
      <c r="B1356" s="316"/>
      <c r="H1356" s="431" t="str">
        <f>Criteria!G208</f>
        <v>Plant and</v>
      </c>
      <c r="I1356" s="353"/>
      <c r="J1356" s="431" t="str">
        <f>Criteria!H208</f>
        <v>Motor</v>
      </c>
      <c r="K1356" s="431" t="str">
        <f>Criteria!I208</f>
        <v>Electronic</v>
      </c>
      <c r="L1356" s="353"/>
      <c r="M1356" s="430" t="str">
        <f>Criteria!J208</f>
        <v>Furniture and</v>
      </c>
      <c r="N1356" s="425"/>
      <c r="O1356" s="430" t="s">
        <v>356</v>
      </c>
      <c r="P1356" s="356"/>
      <c r="R1356" s="348" t="str">
        <f t="shared" ref="R1356:R1368" si="66">R$1354</f>
        <v>DELETE</v>
      </c>
    </row>
    <row r="1357" spans="2:18" ht="31.5" customHeight="1" x14ac:dyDescent="0.5">
      <c r="B1357" s="316"/>
      <c r="H1357" s="431" t="str">
        <f>Criteria!G209</f>
        <v>equipment</v>
      </c>
      <c r="I1357" s="353"/>
      <c r="J1357" s="431" t="str">
        <f>Criteria!H209</f>
        <v>vehicles</v>
      </c>
      <c r="K1357" s="431" t="str">
        <f>Criteria!I209</f>
        <v>equipment</v>
      </c>
      <c r="L1357" s="353"/>
      <c r="M1357" s="430" t="str">
        <f>Criteria!J209</f>
        <v>fittings</v>
      </c>
      <c r="N1357" s="425"/>
      <c r="O1357" s="425"/>
      <c r="P1357" s="356"/>
      <c r="R1357" s="348" t="str">
        <f t="shared" si="66"/>
        <v>DELETE</v>
      </c>
    </row>
    <row r="1358" spans="2:18" ht="31.5" customHeight="1" x14ac:dyDescent="0.5">
      <c r="B1358" s="316"/>
      <c r="D1358" s="353" t="s">
        <v>1108</v>
      </c>
      <c r="E1358" s="353"/>
      <c r="F1358" s="484">
        <f>Criteria!G20</f>
        <v>45716</v>
      </c>
      <c r="G1358" s="484"/>
      <c r="H1358" s="326">
        <f>H1361-H1362</f>
        <v>0</v>
      </c>
      <c r="I1358" s="326"/>
      <c r="J1358" s="326">
        <f>J1361-J1362</f>
        <v>0</v>
      </c>
      <c r="K1358" s="326">
        <f>K1361-K1362</f>
        <v>0</v>
      </c>
      <c r="L1358" s="326"/>
      <c r="M1358" s="326">
        <f>M1361-M1362</f>
        <v>0</v>
      </c>
      <c r="N1358" s="326"/>
      <c r="O1358" s="326">
        <f>O1361-O1362</f>
        <v>0</v>
      </c>
      <c r="P1358" s="388"/>
      <c r="R1358" s="348" t="str">
        <f t="shared" si="66"/>
        <v>DELETE</v>
      </c>
    </row>
    <row r="1359" spans="2:18" ht="9" customHeight="1" x14ac:dyDescent="0.5">
      <c r="B1359" s="316"/>
      <c r="D1359" s="353"/>
      <c r="E1359" s="353"/>
      <c r="F1359" s="353"/>
      <c r="G1359" s="340"/>
      <c r="H1359" s="326"/>
      <c r="I1359" s="326"/>
      <c r="J1359" s="326"/>
      <c r="K1359" s="326"/>
      <c r="L1359" s="326"/>
      <c r="M1359" s="326"/>
      <c r="N1359" s="326"/>
      <c r="O1359" s="326"/>
      <c r="P1359" s="388"/>
      <c r="R1359" s="348" t="str">
        <f t="shared" si="66"/>
        <v>DELETE</v>
      </c>
    </row>
    <row r="1360" spans="2:18" ht="9" customHeight="1" x14ac:dyDescent="0.5">
      <c r="B1360" s="316"/>
      <c r="D1360" s="353"/>
      <c r="E1360" s="353"/>
      <c r="F1360" s="353"/>
      <c r="G1360" s="340"/>
      <c r="H1360" s="322"/>
      <c r="I1360" s="325"/>
      <c r="J1360" s="325"/>
      <c r="K1360" s="325"/>
      <c r="L1360" s="325"/>
      <c r="M1360" s="325"/>
      <c r="N1360" s="325"/>
      <c r="O1360" s="327"/>
      <c r="P1360" s="388"/>
      <c r="R1360" s="348" t="str">
        <f t="shared" si="66"/>
        <v>DELETE</v>
      </c>
    </row>
    <row r="1361" spans="2:18" ht="31.5" customHeight="1" x14ac:dyDescent="0.5">
      <c r="B1361" s="316"/>
      <c r="D1361" s="353" t="s">
        <v>352</v>
      </c>
      <c r="E1361" s="353"/>
      <c r="F1361" s="353"/>
      <c r="G1361" s="330"/>
      <c r="H1361" s="323">
        <f>Criteria!F226</f>
        <v>0</v>
      </c>
      <c r="I1361" s="326"/>
      <c r="J1361" s="326">
        <f>Criteria!G226</f>
        <v>0</v>
      </c>
      <c r="K1361" s="326">
        <f>Criteria!H226</f>
        <v>0</v>
      </c>
      <c r="L1361" s="326"/>
      <c r="M1361" s="326">
        <f>Criteria!I226</f>
        <v>0</v>
      </c>
      <c r="N1361" s="326"/>
      <c r="O1361" s="328">
        <f>SUM(H1361:M1361)</f>
        <v>0</v>
      </c>
      <c r="P1361" s="388"/>
      <c r="R1361" s="348" t="str">
        <f t="shared" si="66"/>
        <v>DELETE</v>
      </c>
    </row>
    <row r="1362" spans="2:18" ht="31.5" customHeight="1" x14ac:dyDescent="0.5">
      <c r="B1362" s="316"/>
      <c r="D1362" s="353" t="s">
        <v>1111</v>
      </c>
      <c r="E1362" s="353"/>
      <c r="F1362" s="353"/>
      <c r="G1362" s="330"/>
      <c r="H1362" s="323">
        <f>Criteria!F227</f>
        <v>0</v>
      </c>
      <c r="I1362" s="326"/>
      <c r="J1362" s="326">
        <f>Criteria!G227</f>
        <v>0</v>
      </c>
      <c r="K1362" s="326">
        <f>Criteria!H227</f>
        <v>0</v>
      </c>
      <c r="L1362" s="326"/>
      <c r="M1362" s="326">
        <f>Criteria!I227</f>
        <v>0</v>
      </c>
      <c r="N1362" s="326"/>
      <c r="O1362" s="328">
        <f>SUM(H1362:M1362)</f>
        <v>0</v>
      </c>
      <c r="P1362" s="388"/>
      <c r="R1362" s="348" t="str">
        <f t="shared" si="66"/>
        <v>DELETE</v>
      </c>
    </row>
    <row r="1363" spans="2:18" ht="9" customHeight="1" x14ac:dyDescent="0.5">
      <c r="B1363" s="316"/>
      <c r="D1363" s="353"/>
      <c r="E1363" s="353"/>
      <c r="F1363" s="353"/>
      <c r="G1363" s="330"/>
      <c r="H1363" s="324"/>
      <c r="I1363" s="320"/>
      <c r="J1363" s="320"/>
      <c r="K1363" s="320"/>
      <c r="L1363" s="320"/>
      <c r="M1363" s="320"/>
      <c r="N1363" s="320"/>
      <c r="O1363" s="329"/>
      <c r="P1363" s="388"/>
      <c r="R1363" s="348" t="str">
        <f t="shared" si="66"/>
        <v>DELETE</v>
      </c>
    </row>
    <row r="1364" spans="2:18" ht="9" customHeight="1" x14ac:dyDescent="0.5">
      <c r="B1364" s="316"/>
      <c r="D1364" s="353"/>
      <c r="E1364" s="353"/>
      <c r="F1364" s="353"/>
      <c r="H1364" s="354"/>
      <c r="I1364" s="354"/>
      <c r="J1364" s="354"/>
      <c r="K1364" s="354"/>
      <c r="L1364" s="354"/>
      <c r="M1364" s="355"/>
      <c r="N1364" s="355"/>
      <c r="O1364" s="355"/>
      <c r="P1364" s="389"/>
      <c r="R1364" s="348" t="str">
        <f t="shared" si="66"/>
        <v>DELETE</v>
      </c>
    </row>
    <row r="1365" spans="2:18" ht="31.5" customHeight="1" x14ac:dyDescent="0.45">
      <c r="B1365" s="316"/>
      <c r="M1365" s="355"/>
      <c r="N1365" s="356"/>
      <c r="O1365" s="355"/>
      <c r="P1365" s="356"/>
      <c r="R1365" s="348" t="str">
        <f t="shared" si="66"/>
        <v>DELETE</v>
      </c>
    </row>
    <row r="1366" spans="2:18" ht="31.5" customHeight="1" x14ac:dyDescent="0.45">
      <c r="B1366" s="316"/>
      <c r="M1366" s="355"/>
      <c r="N1366" s="356"/>
      <c r="O1366" s="355"/>
      <c r="P1366" s="356"/>
      <c r="R1366" s="348" t="str">
        <f t="shared" si="66"/>
        <v>DELETE</v>
      </c>
    </row>
    <row r="1367" spans="2:18" ht="31.5" customHeight="1" x14ac:dyDescent="0.45">
      <c r="B1367" s="316"/>
      <c r="M1367" s="355"/>
      <c r="N1367" s="356"/>
      <c r="O1367" s="355"/>
      <c r="P1367" s="356"/>
      <c r="R1367" s="348" t="str">
        <f t="shared" si="66"/>
        <v>DELETE</v>
      </c>
    </row>
    <row r="1368" spans="2:18" ht="31.5" customHeight="1" x14ac:dyDescent="0.45">
      <c r="B1368" s="354"/>
      <c r="R1368" s="348" t="str">
        <f t="shared" si="66"/>
        <v>DELETE</v>
      </c>
    </row>
    <row r="1369" spans="2:18" ht="36" customHeight="1" x14ac:dyDescent="0.5">
      <c r="B1369" s="354"/>
      <c r="C1369" s="353"/>
      <c r="D1369" s="353"/>
      <c r="E1369" s="353"/>
      <c r="F1369" s="353"/>
      <c r="G1369" s="353"/>
      <c r="H1369" s="353"/>
      <c r="I1369" s="353"/>
      <c r="J1369" s="353"/>
      <c r="M1369" s="347"/>
      <c r="O1369" s="295" t="s">
        <v>89</v>
      </c>
      <c r="Q1369" s="292">
        <f>MAX($Q$105:Q1368)+1</f>
        <v>37</v>
      </c>
      <c r="R1369" s="348" t="str">
        <f>R$1379</f>
        <v>DELETE</v>
      </c>
    </row>
    <row r="1370" spans="2:18" ht="36" customHeight="1" x14ac:dyDescent="0.5">
      <c r="B1370" s="354"/>
      <c r="C1370" s="450"/>
      <c r="D1370" s="456" t="str">
        <f>Criteria!E9</f>
        <v>HOLDING COMPANY 268 (PROPRIETARY) LIMITED</v>
      </c>
      <c r="E1370" s="450"/>
      <c r="F1370" s="450"/>
      <c r="G1370" s="450"/>
      <c r="H1370" s="450"/>
      <c r="I1370" s="450"/>
      <c r="J1370" s="450"/>
      <c r="M1370" s="347"/>
      <c r="O1370" s="347"/>
      <c r="R1370" s="348" t="str">
        <f t="shared" ref="R1370:R1423" si="67">R$1379</f>
        <v>DELETE</v>
      </c>
    </row>
    <row r="1371" spans="2:18" ht="36" customHeight="1" x14ac:dyDescent="0.5">
      <c r="B1371" s="354"/>
      <c r="C1371" s="450"/>
      <c r="D1371" s="456" t="str">
        <f>Criteria!E10</f>
        <v>CONSOLIDATED FINANCIAL STATEMENTS</v>
      </c>
      <c r="E1371" s="450"/>
      <c r="F1371" s="450"/>
      <c r="G1371" s="450"/>
      <c r="H1371" s="450"/>
      <c r="I1371" s="450"/>
      <c r="J1371" s="450"/>
      <c r="M1371" s="347"/>
      <c r="O1371" s="347"/>
      <c r="R1371" s="348" t="str">
        <f>IF(R$1379="DELETE","DELETE",IF(D1371=0,"DELETE"," "))</f>
        <v>DELETE</v>
      </c>
    </row>
    <row r="1372" spans="2:18" ht="36" customHeight="1" x14ac:dyDescent="0.5">
      <c r="B1372" s="354"/>
      <c r="C1372" s="450"/>
      <c r="D1372" s="450"/>
      <c r="E1372" s="450"/>
      <c r="F1372" s="450"/>
      <c r="G1372" s="450"/>
      <c r="H1372" s="450"/>
      <c r="I1372" s="450"/>
      <c r="J1372" s="450"/>
      <c r="M1372" s="347"/>
      <c r="O1372" s="347"/>
      <c r="R1372" s="348" t="str">
        <f t="shared" si="67"/>
        <v>DELETE</v>
      </c>
    </row>
    <row r="1373" spans="2:18" ht="36" customHeight="1" x14ac:dyDescent="0.5">
      <c r="B1373" s="354"/>
      <c r="C1373" s="450"/>
      <c r="D1373" s="456" t="s">
        <v>351</v>
      </c>
      <c r="E1373" s="450"/>
      <c r="F1373" s="450"/>
      <c r="G1373" s="450"/>
      <c r="H1373" s="450"/>
      <c r="I1373" s="450"/>
      <c r="J1373" s="450"/>
      <c r="M1373" s="347"/>
      <c r="O1373" s="347"/>
      <c r="R1373" s="348" t="str">
        <f t="shared" si="67"/>
        <v>DELETE</v>
      </c>
    </row>
    <row r="1374" spans="2:18" ht="36" customHeight="1" x14ac:dyDescent="0.5">
      <c r="B1374" s="354"/>
      <c r="C1374" s="450"/>
      <c r="D1374" s="456" t="str">
        <f>Criteria!E20</f>
        <v>28 FEBRUARY 2025</v>
      </c>
      <c r="E1374" s="450"/>
      <c r="F1374" s="450"/>
      <c r="G1374" s="450"/>
      <c r="H1374" s="450"/>
      <c r="I1374" s="450"/>
      <c r="J1374" s="450" t="s">
        <v>231</v>
      </c>
      <c r="M1374" s="347"/>
      <c r="O1374" s="347"/>
      <c r="R1374" s="348" t="str">
        <f t="shared" si="67"/>
        <v>DELETE</v>
      </c>
    </row>
    <row r="1375" spans="2:18" ht="36" customHeight="1" x14ac:dyDescent="0.5">
      <c r="B1375" s="354"/>
      <c r="C1375" s="450"/>
      <c r="D1375" s="450"/>
      <c r="E1375" s="450"/>
      <c r="F1375" s="450"/>
      <c r="G1375" s="450"/>
      <c r="H1375" s="450"/>
      <c r="I1375" s="450"/>
      <c r="J1375" s="450"/>
      <c r="M1375" s="347"/>
      <c r="O1375" s="347"/>
      <c r="R1375" s="348" t="str">
        <f t="shared" si="67"/>
        <v>DELETE</v>
      </c>
    </row>
    <row r="1376" spans="2:18" ht="36" customHeight="1" x14ac:dyDescent="0.5">
      <c r="B1376" s="368"/>
      <c r="C1376" s="460"/>
      <c r="D1376" s="460"/>
      <c r="E1376" s="460"/>
      <c r="F1376" s="460"/>
      <c r="G1376" s="460"/>
      <c r="H1376" s="460"/>
      <c r="I1376" s="460"/>
      <c r="J1376" s="460"/>
      <c r="K1376" s="364"/>
      <c r="L1376" s="364"/>
      <c r="M1376" s="367"/>
      <c r="N1376" s="367"/>
      <c r="O1376" s="367"/>
      <c r="P1376" s="367"/>
      <c r="Q1376" s="364"/>
      <c r="R1376" s="348" t="str">
        <f t="shared" si="67"/>
        <v>DELETE</v>
      </c>
    </row>
    <row r="1377" spans="2:19" ht="36" customHeight="1" x14ac:dyDescent="0.5">
      <c r="B1377" s="354"/>
      <c r="C1377" s="450"/>
      <c r="D1377" s="450"/>
      <c r="E1377" s="450"/>
      <c r="F1377" s="450"/>
      <c r="G1377" s="450"/>
      <c r="H1377" s="450"/>
      <c r="I1377" s="450"/>
      <c r="J1377" s="450"/>
      <c r="M1377" s="356"/>
      <c r="N1377" s="356"/>
      <c r="O1377" s="294">
        <f>Criteria!E22</f>
        <v>2025</v>
      </c>
      <c r="P1377" s="356"/>
      <c r="R1377" s="348" t="str">
        <f t="shared" si="67"/>
        <v>DELETE</v>
      </c>
    </row>
    <row r="1378" spans="2:19" ht="36" customHeight="1" x14ac:dyDescent="0.5">
      <c r="B1378" s="354"/>
      <c r="C1378" s="450"/>
      <c r="D1378" s="450"/>
      <c r="E1378" s="450"/>
      <c r="F1378" s="450"/>
      <c r="G1378" s="450"/>
      <c r="H1378" s="450"/>
      <c r="I1378" s="450"/>
      <c r="J1378" s="450"/>
      <c r="M1378" s="356"/>
      <c r="N1378" s="356"/>
      <c r="O1378" s="356"/>
      <c r="P1378" s="356"/>
      <c r="R1378" s="348" t="str">
        <f t="shared" si="67"/>
        <v>DELETE</v>
      </c>
    </row>
    <row r="1379" spans="2:19" ht="36" customHeight="1" x14ac:dyDescent="0.5">
      <c r="B1379" s="316">
        <f>MAX(B$602:B1378)+1</f>
        <v>10</v>
      </c>
      <c r="C1379" s="456" t="s">
        <v>937</v>
      </c>
      <c r="D1379" s="450"/>
      <c r="E1379" s="450"/>
      <c r="F1379" s="450"/>
      <c r="G1379" s="450"/>
      <c r="H1379" s="450"/>
      <c r="I1379" s="450"/>
      <c r="J1379" s="450"/>
      <c r="M1379" s="356"/>
      <c r="N1379" s="356"/>
      <c r="O1379" s="356"/>
      <c r="P1379" s="356"/>
      <c r="R1379" s="348" t="str">
        <f>IF(TrialBalance!L241+TrialBalance!L242+TrialBalance!L244=0,"DELETE"," ")</f>
        <v>DELETE</v>
      </c>
    </row>
    <row r="1380" spans="2:19" ht="36" customHeight="1" x14ac:dyDescent="0.5">
      <c r="B1380" s="316"/>
      <c r="C1380" s="456"/>
      <c r="D1380" s="450"/>
      <c r="E1380" s="450"/>
      <c r="F1380" s="450"/>
      <c r="G1380" s="450"/>
      <c r="H1380" s="450"/>
      <c r="I1380" s="450"/>
      <c r="J1380" s="450"/>
      <c r="M1380" s="356"/>
      <c r="N1380" s="356"/>
      <c r="O1380" s="356"/>
      <c r="P1380" s="356"/>
      <c r="R1380" s="348" t="str">
        <f>R$1379</f>
        <v>DELETE</v>
      </c>
    </row>
    <row r="1381" spans="2:19" ht="36" customHeight="1" x14ac:dyDescent="0.5">
      <c r="B1381" s="354"/>
      <c r="C1381" s="450" t="s">
        <v>917</v>
      </c>
      <c r="D1381" s="450"/>
      <c r="E1381" s="450"/>
      <c r="F1381" s="450"/>
      <c r="G1381" s="459"/>
      <c r="H1381" s="459"/>
      <c r="I1381" s="450"/>
      <c r="J1381" s="459"/>
      <c r="K1381" s="379"/>
      <c r="M1381" s="310"/>
      <c r="N1381" s="310"/>
      <c r="O1381" s="296">
        <f>O1384+O1385</f>
        <v>0</v>
      </c>
      <c r="P1381" s="356"/>
      <c r="R1381" s="348" t="str">
        <f t="shared" si="67"/>
        <v>DELETE</v>
      </c>
    </row>
    <row r="1382" spans="2:19" ht="9" customHeight="1" x14ac:dyDescent="0.5">
      <c r="B1382" s="354"/>
      <c r="C1382" s="450"/>
      <c r="D1382" s="450"/>
      <c r="E1382" s="450"/>
      <c r="F1382" s="450"/>
      <c r="G1382" s="450"/>
      <c r="H1382" s="459"/>
      <c r="I1382" s="450"/>
      <c r="J1382" s="450"/>
      <c r="M1382" s="310"/>
      <c r="N1382" s="310"/>
      <c r="O1382" s="296"/>
      <c r="P1382" s="356"/>
      <c r="R1382" s="348" t="str">
        <f t="shared" si="67"/>
        <v>DELETE</v>
      </c>
    </row>
    <row r="1383" spans="2:19" ht="9" customHeight="1" x14ac:dyDescent="0.5">
      <c r="B1383" s="354"/>
      <c r="C1383" s="450"/>
      <c r="D1383" s="450"/>
      <c r="E1383" s="450"/>
      <c r="F1383" s="450"/>
      <c r="G1383" s="450"/>
      <c r="H1383" s="459"/>
      <c r="I1383" s="450"/>
      <c r="J1383" s="450"/>
      <c r="M1383" s="310"/>
      <c r="N1383" s="310"/>
      <c r="O1383" s="407"/>
      <c r="P1383" s="356"/>
      <c r="R1383" s="348" t="str">
        <f t="shared" si="67"/>
        <v>DELETE</v>
      </c>
    </row>
    <row r="1384" spans="2:19" ht="36" customHeight="1" x14ac:dyDescent="0.5">
      <c r="B1384" s="354"/>
      <c r="C1384" s="450" t="s">
        <v>352</v>
      </c>
      <c r="D1384" s="450"/>
      <c r="E1384" s="450"/>
      <c r="F1384" s="450"/>
      <c r="G1384" s="450"/>
      <c r="H1384" s="459"/>
      <c r="I1384" s="450"/>
      <c r="J1384" s="450"/>
      <c r="M1384" s="310"/>
      <c r="N1384" s="310"/>
      <c r="O1384" s="408">
        <f>TrialBalance!L241</f>
        <v>0</v>
      </c>
      <c r="P1384" s="356"/>
      <c r="R1384" s="348" t="str">
        <f t="shared" si="67"/>
        <v>DELETE</v>
      </c>
      <c r="S1384" s="333">
        <f>O1384</f>
        <v>0</v>
      </c>
    </row>
    <row r="1385" spans="2:19" ht="36" customHeight="1" x14ac:dyDescent="0.5">
      <c r="B1385" s="354"/>
      <c r="C1385" s="450" t="s">
        <v>1112</v>
      </c>
      <c r="D1385" s="450"/>
      <c r="E1385" s="450"/>
      <c r="F1385" s="450"/>
      <c r="G1385" s="450"/>
      <c r="H1385" s="459"/>
      <c r="I1385" s="450"/>
      <c r="J1385" s="450"/>
      <c r="M1385" s="310"/>
      <c r="N1385" s="310"/>
      <c r="O1385" s="408">
        <f>TrialBalance!L247</f>
        <v>0</v>
      </c>
      <c r="P1385" s="356"/>
      <c r="R1385" s="348" t="str">
        <f t="shared" si="67"/>
        <v>DELETE</v>
      </c>
      <c r="S1385" s="333">
        <f>O1385</f>
        <v>0</v>
      </c>
    </row>
    <row r="1386" spans="2:19" ht="9" customHeight="1" x14ac:dyDescent="0.5">
      <c r="B1386" s="354"/>
      <c r="C1386" s="450"/>
      <c r="D1386" s="450"/>
      <c r="E1386" s="450"/>
      <c r="F1386" s="450"/>
      <c r="G1386" s="450"/>
      <c r="H1386" s="459"/>
      <c r="I1386" s="450"/>
      <c r="J1386" s="450"/>
      <c r="M1386" s="310"/>
      <c r="N1386" s="310"/>
      <c r="O1386" s="409"/>
      <c r="P1386" s="356"/>
      <c r="R1386" s="348" t="str">
        <f t="shared" si="67"/>
        <v>DELETE</v>
      </c>
    </row>
    <row r="1387" spans="2:19" ht="9" customHeight="1" x14ac:dyDescent="0.5">
      <c r="B1387" s="354"/>
      <c r="C1387" s="450"/>
      <c r="D1387" s="450"/>
      <c r="E1387" s="450"/>
      <c r="F1387" s="450"/>
      <c r="G1387" s="450"/>
      <c r="H1387" s="459"/>
      <c r="I1387" s="450"/>
      <c r="J1387" s="450"/>
      <c r="M1387" s="310"/>
      <c r="N1387" s="310"/>
      <c r="O1387" s="296"/>
      <c r="P1387" s="356"/>
      <c r="R1387" s="348" t="str">
        <f t="shared" si="67"/>
        <v>DELETE</v>
      </c>
    </row>
    <row r="1388" spans="2:19" ht="36.75" customHeight="1" x14ac:dyDescent="0.5">
      <c r="B1388" s="354"/>
      <c r="C1388" s="450" t="s">
        <v>358</v>
      </c>
      <c r="D1388" s="450"/>
      <c r="E1388" s="450"/>
      <c r="F1388" s="450"/>
      <c r="G1388" s="450"/>
      <c r="H1388" s="459"/>
      <c r="I1388" s="450"/>
      <c r="J1388" s="450"/>
      <c r="M1388" s="310"/>
      <c r="N1388" s="310"/>
      <c r="O1388" s="296">
        <f>TrialBalance!L242</f>
        <v>0</v>
      </c>
      <c r="P1388" s="356"/>
      <c r="R1388" s="348" t="str">
        <f t="shared" si="67"/>
        <v>DELETE</v>
      </c>
      <c r="S1388" s="333">
        <f>O1388</f>
        <v>0</v>
      </c>
    </row>
    <row r="1389" spans="2:19" ht="9" customHeight="1" x14ac:dyDescent="0.5">
      <c r="B1389" s="354"/>
      <c r="C1389" s="450"/>
      <c r="D1389" s="450"/>
      <c r="E1389" s="450"/>
      <c r="F1389" s="450"/>
      <c r="G1389" s="450"/>
      <c r="H1389" s="459"/>
      <c r="I1389" s="450"/>
      <c r="J1389" s="450"/>
      <c r="M1389" s="310"/>
      <c r="N1389" s="310"/>
      <c r="O1389" s="298"/>
      <c r="P1389" s="356"/>
      <c r="R1389" s="348" t="str">
        <f t="shared" si="67"/>
        <v>DELETE</v>
      </c>
    </row>
    <row r="1390" spans="2:19" ht="9" customHeight="1" x14ac:dyDescent="0.5">
      <c r="B1390" s="354"/>
      <c r="C1390" s="450"/>
      <c r="D1390" s="450"/>
      <c r="E1390" s="450"/>
      <c r="F1390" s="450"/>
      <c r="G1390" s="450"/>
      <c r="H1390" s="459"/>
      <c r="I1390" s="450"/>
      <c r="J1390" s="450"/>
      <c r="M1390" s="310"/>
      <c r="N1390" s="310"/>
      <c r="O1390" s="296"/>
      <c r="P1390" s="356"/>
      <c r="R1390" s="348" t="str">
        <f t="shared" si="67"/>
        <v>DELETE</v>
      </c>
    </row>
    <row r="1391" spans="2:19" ht="36" customHeight="1" x14ac:dyDescent="0.5">
      <c r="B1391" s="354"/>
      <c r="C1391" s="450"/>
      <c r="D1391" s="450"/>
      <c r="E1391" s="450"/>
      <c r="F1391" s="450"/>
      <c r="G1391" s="450"/>
      <c r="H1391" s="459"/>
      <c r="I1391" s="450"/>
      <c r="J1391" s="450"/>
      <c r="M1391" s="310"/>
      <c r="N1391" s="310"/>
      <c r="O1391" s="296">
        <f>O1381+O1388</f>
        <v>0</v>
      </c>
      <c r="P1391" s="356"/>
      <c r="R1391" s="348" t="str">
        <f t="shared" si="67"/>
        <v>DELETE</v>
      </c>
    </row>
    <row r="1392" spans="2:19" ht="36" customHeight="1" x14ac:dyDescent="0.5">
      <c r="B1392" s="354"/>
      <c r="C1392" s="450" t="s">
        <v>945</v>
      </c>
      <c r="D1392" s="450"/>
      <c r="E1392" s="450"/>
      <c r="F1392" s="450"/>
      <c r="G1392" s="450"/>
      <c r="H1392" s="459"/>
      <c r="I1392" s="450"/>
      <c r="J1392" s="450"/>
      <c r="M1392" s="310"/>
      <c r="N1392" s="310"/>
      <c r="O1392" s="296">
        <f>TrialBalance!L244</f>
        <v>0</v>
      </c>
      <c r="P1392" s="356"/>
      <c r="R1392" s="348" t="str">
        <f>IF(O1392=0,"DELETE"," ")</f>
        <v>DELETE</v>
      </c>
      <c r="S1392" s="333">
        <f>O1392</f>
        <v>0</v>
      </c>
    </row>
    <row r="1393" spans="2:19" ht="36" customHeight="1" x14ac:dyDescent="0.5">
      <c r="B1393" s="354"/>
      <c r="C1393" s="450" t="s">
        <v>946</v>
      </c>
      <c r="D1393" s="450"/>
      <c r="E1393" s="450"/>
      <c r="F1393" s="450"/>
      <c r="G1393" s="450"/>
      <c r="H1393" s="459"/>
      <c r="I1393" s="450"/>
      <c r="J1393" s="450"/>
      <c r="M1393" s="310"/>
      <c r="N1393" s="310"/>
      <c r="O1393" s="296">
        <f>TrialBalance!L248</f>
        <v>0</v>
      </c>
      <c r="P1393" s="356"/>
      <c r="R1393" s="348" t="str">
        <f>IF(O1393=0,"DELETE"," ")</f>
        <v>DELETE</v>
      </c>
      <c r="S1393" s="333">
        <f>O1393</f>
        <v>0</v>
      </c>
    </row>
    <row r="1394" spans="2:19" ht="36" customHeight="1" x14ac:dyDescent="0.5">
      <c r="B1394" s="354"/>
      <c r="C1394" s="450" t="s">
        <v>149</v>
      </c>
      <c r="D1394" s="450"/>
      <c r="E1394" s="450"/>
      <c r="F1394" s="450"/>
      <c r="G1394" s="450"/>
      <c r="H1394" s="459"/>
      <c r="I1394" s="450"/>
      <c r="J1394" s="450"/>
      <c r="M1394" s="310"/>
      <c r="N1394" s="310"/>
      <c r="O1394" s="296">
        <f>-SUM(S1396:S1399)</f>
        <v>0</v>
      </c>
      <c r="P1394" s="356"/>
      <c r="R1394" s="348" t="str">
        <f>IF(O1394=0,"DELETE"," ")</f>
        <v>DELETE</v>
      </c>
    </row>
    <row r="1395" spans="2:19" ht="9" customHeight="1" x14ac:dyDescent="0.5">
      <c r="B1395" s="354"/>
      <c r="C1395" s="450"/>
      <c r="D1395" s="450"/>
      <c r="E1395" s="450"/>
      <c r="F1395" s="450"/>
      <c r="G1395" s="450"/>
      <c r="H1395" s="459"/>
      <c r="I1395" s="450"/>
      <c r="J1395" s="450"/>
      <c r="M1395" s="310"/>
      <c r="N1395" s="310"/>
      <c r="O1395" s="296"/>
      <c r="P1395" s="356"/>
      <c r="R1395" s="348" t="str">
        <f>R$1394</f>
        <v>DELETE</v>
      </c>
    </row>
    <row r="1396" spans="2:19" ht="9" customHeight="1" x14ac:dyDescent="0.5">
      <c r="B1396" s="354"/>
      <c r="C1396" s="450"/>
      <c r="D1396" s="450"/>
      <c r="E1396" s="450"/>
      <c r="F1396" s="450"/>
      <c r="G1396" s="450"/>
      <c r="H1396" s="459"/>
      <c r="I1396" s="450"/>
      <c r="J1396" s="450"/>
      <c r="M1396" s="310"/>
      <c r="N1396" s="310"/>
      <c r="O1396" s="407"/>
      <c r="P1396" s="356"/>
      <c r="R1396" s="348" t="str">
        <f>R$1394</f>
        <v>DELETE</v>
      </c>
    </row>
    <row r="1397" spans="2:19" ht="36" customHeight="1" x14ac:dyDescent="0.5">
      <c r="B1397" s="354"/>
      <c r="C1397" s="450" t="s">
        <v>352</v>
      </c>
      <c r="D1397" s="450"/>
      <c r="E1397" s="450"/>
      <c r="F1397" s="450"/>
      <c r="G1397" s="450"/>
      <c r="H1397" s="459"/>
      <c r="I1397" s="450"/>
      <c r="J1397" s="450"/>
      <c r="M1397" s="310"/>
      <c r="N1397" s="310"/>
      <c r="O1397" s="408">
        <f>-TrialBalance!L243</f>
        <v>0</v>
      </c>
      <c r="P1397" s="356"/>
      <c r="R1397" s="348" t="str">
        <f t="shared" ref="R1397:R1398" si="68">IF(O1397=0,"DELETE"," ")</f>
        <v>DELETE</v>
      </c>
      <c r="S1397" s="333">
        <f>-O1397</f>
        <v>0</v>
      </c>
    </row>
    <row r="1398" spans="2:19" ht="36" customHeight="1" x14ac:dyDescent="0.5">
      <c r="B1398" s="354"/>
      <c r="C1398" s="450" t="s">
        <v>1112</v>
      </c>
      <c r="D1398" s="450"/>
      <c r="E1398" s="450"/>
      <c r="F1398" s="450"/>
      <c r="G1398" s="450"/>
      <c r="H1398" s="459"/>
      <c r="I1398" s="450"/>
      <c r="J1398" s="450"/>
      <c r="M1398" s="310"/>
      <c r="N1398" s="310"/>
      <c r="O1398" s="408">
        <f>-TrialBalance!L249</f>
        <v>0</v>
      </c>
      <c r="P1398" s="356"/>
      <c r="R1398" s="348" t="str">
        <f t="shared" si="68"/>
        <v>DELETE</v>
      </c>
      <c r="S1398" s="333">
        <f>-O1398</f>
        <v>0</v>
      </c>
    </row>
    <row r="1399" spans="2:19" ht="9" customHeight="1" x14ac:dyDescent="0.5">
      <c r="B1399" s="354"/>
      <c r="C1399" s="450"/>
      <c r="D1399" s="450"/>
      <c r="E1399" s="450"/>
      <c r="F1399" s="450"/>
      <c r="G1399" s="450"/>
      <c r="H1399" s="459"/>
      <c r="I1399" s="450"/>
      <c r="J1399" s="450"/>
      <c r="M1399" s="310"/>
      <c r="N1399" s="310"/>
      <c r="O1399" s="409"/>
      <c r="P1399" s="356"/>
      <c r="R1399" s="348" t="str">
        <f t="shared" ref="R1399:R1400" si="69">R$1394</f>
        <v>DELETE</v>
      </c>
    </row>
    <row r="1400" spans="2:19" ht="9" customHeight="1" x14ac:dyDescent="0.5">
      <c r="B1400" s="354"/>
      <c r="C1400" s="450"/>
      <c r="D1400" s="450"/>
      <c r="E1400" s="450"/>
      <c r="F1400" s="450"/>
      <c r="G1400" s="450"/>
      <c r="H1400" s="459"/>
      <c r="I1400" s="450"/>
      <c r="J1400" s="450"/>
      <c r="M1400" s="310"/>
      <c r="N1400" s="310"/>
      <c r="O1400" s="310"/>
      <c r="P1400" s="356"/>
      <c r="R1400" s="348" t="str">
        <f t="shared" si="69"/>
        <v>DELETE</v>
      </c>
    </row>
    <row r="1401" spans="2:19" ht="36.75" customHeight="1" x14ac:dyDescent="0.5">
      <c r="B1401" s="354"/>
      <c r="C1401" s="450" t="s">
        <v>947</v>
      </c>
      <c r="D1401" s="450"/>
      <c r="E1401" s="450"/>
      <c r="F1401" s="450"/>
      <c r="G1401" s="450"/>
      <c r="H1401" s="459"/>
      <c r="I1401" s="450"/>
      <c r="J1401" s="450"/>
      <c r="M1401" s="310"/>
      <c r="N1401" s="310"/>
      <c r="O1401" s="296">
        <f>-SUM(S1403:S1406)</f>
        <v>0</v>
      </c>
      <c r="P1401" s="356"/>
      <c r="R1401" s="348" t="str">
        <f>IF(O1401=0,"DELETE"," ")</f>
        <v>DELETE</v>
      </c>
    </row>
    <row r="1402" spans="2:19" ht="9" customHeight="1" x14ac:dyDescent="0.5">
      <c r="B1402" s="354"/>
      <c r="C1402" s="450"/>
      <c r="D1402" s="450"/>
      <c r="E1402" s="450"/>
      <c r="F1402" s="450"/>
      <c r="G1402" s="450"/>
      <c r="H1402" s="459"/>
      <c r="I1402" s="450"/>
      <c r="J1402" s="450"/>
      <c r="M1402" s="310"/>
      <c r="N1402" s="310"/>
      <c r="O1402" s="296"/>
      <c r="P1402" s="356"/>
      <c r="R1402" s="348" t="str">
        <f>R$1401</f>
        <v>DELETE</v>
      </c>
    </row>
    <row r="1403" spans="2:19" ht="9" customHeight="1" x14ac:dyDescent="0.5">
      <c r="B1403" s="354"/>
      <c r="C1403" s="450"/>
      <c r="D1403" s="450"/>
      <c r="E1403" s="450"/>
      <c r="F1403" s="450"/>
      <c r="G1403" s="450"/>
      <c r="H1403" s="459"/>
      <c r="I1403" s="450"/>
      <c r="J1403" s="450"/>
      <c r="M1403" s="310"/>
      <c r="N1403" s="310"/>
      <c r="O1403" s="407"/>
      <c r="P1403" s="356"/>
      <c r="R1403" s="348" t="str">
        <f>R$1401</f>
        <v>DELETE</v>
      </c>
    </row>
    <row r="1404" spans="2:19" ht="36" customHeight="1" x14ac:dyDescent="0.5">
      <c r="B1404" s="354"/>
      <c r="C1404" s="450" t="s">
        <v>352</v>
      </c>
      <c r="D1404" s="450"/>
      <c r="E1404" s="450"/>
      <c r="F1404" s="450"/>
      <c r="G1404" s="450"/>
      <c r="H1404" s="459"/>
      <c r="I1404" s="450"/>
      <c r="J1404" s="450"/>
      <c r="M1404" s="310"/>
      <c r="N1404" s="310"/>
      <c r="O1404" s="408">
        <f>-TrialBalance!L245</f>
        <v>0</v>
      </c>
      <c r="P1404" s="356"/>
      <c r="R1404" s="348" t="str">
        <f t="shared" ref="R1404:R1405" si="70">IF(O1404=0,"DELETE"," ")</f>
        <v>DELETE</v>
      </c>
      <c r="S1404" s="333">
        <f>-O1404</f>
        <v>0</v>
      </c>
    </row>
    <row r="1405" spans="2:19" ht="36" customHeight="1" x14ac:dyDescent="0.5">
      <c r="B1405" s="354"/>
      <c r="C1405" s="450" t="s">
        <v>1112</v>
      </c>
      <c r="D1405" s="450"/>
      <c r="E1405" s="450"/>
      <c r="F1405" s="450"/>
      <c r="G1405" s="450"/>
      <c r="H1405" s="459"/>
      <c r="I1405" s="450"/>
      <c r="J1405" s="450"/>
      <c r="M1405" s="310"/>
      <c r="N1405" s="310"/>
      <c r="O1405" s="408">
        <f>-TrialBalance!L250</f>
        <v>0</v>
      </c>
      <c r="P1405" s="356"/>
      <c r="R1405" s="348" t="str">
        <f t="shared" si="70"/>
        <v>DELETE</v>
      </c>
      <c r="S1405" s="333">
        <f>-O1405</f>
        <v>0</v>
      </c>
    </row>
    <row r="1406" spans="2:19" ht="9" customHeight="1" x14ac:dyDescent="0.5">
      <c r="B1406" s="354"/>
      <c r="C1406" s="450"/>
      <c r="D1406" s="450"/>
      <c r="E1406" s="450"/>
      <c r="F1406" s="450"/>
      <c r="G1406" s="450"/>
      <c r="H1406" s="459"/>
      <c r="I1406" s="450"/>
      <c r="J1406" s="450"/>
      <c r="M1406" s="310"/>
      <c r="N1406" s="310"/>
      <c r="O1406" s="409"/>
      <c r="P1406" s="356"/>
      <c r="R1406" s="348" t="str">
        <f t="shared" ref="R1406:R1407" si="71">R$1401</f>
        <v>DELETE</v>
      </c>
    </row>
    <row r="1407" spans="2:19" ht="9" customHeight="1" x14ac:dyDescent="0.5">
      <c r="B1407" s="354"/>
      <c r="C1407" s="450"/>
      <c r="D1407" s="450"/>
      <c r="E1407" s="450"/>
      <c r="F1407" s="450"/>
      <c r="G1407" s="450"/>
      <c r="H1407" s="459"/>
      <c r="I1407" s="450"/>
      <c r="J1407" s="450"/>
      <c r="M1407" s="310"/>
      <c r="N1407" s="310"/>
      <c r="O1407" s="310"/>
      <c r="P1407" s="356"/>
      <c r="R1407" s="348" t="str">
        <f t="shared" si="71"/>
        <v>DELETE</v>
      </c>
    </row>
    <row r="1408" spans="2:19" ht="9" customHeight="1" x14ac:dyDescent="0.5">
      <c r="B1408" s="354"/>
      <c r="C1408" s="450"/>
      <c r="D1408" s="450"/>
      <c r="E1408" s="450"/>
      <c r="F1408" s="450"/>
      <c r="G1408" s="450"/>
      <c r="H1408" s="459"/>
      <c r="I1408" s="450"/>
      <c r="J1408" s="450"/>
      <c r="M1408" s="310"/>
      <c r="N1408" s="310"/>
      <c r="O1408" s="298"/>
      <c r="P1408" s="356"/>
      <c r="R1408" s="348" t="str">
        <f t="shared" si="67"/>
        <v>DELETE</v>
      </c>
    </row>
    <row r="1409" spans="2:21" ht="9" customHeight="1" x14ac:dyDescent="0.5">
      <c r="B1409" s="354"/>
      <c r="C1409" s="450"/>
      <c r="D1409" s="450"/>
      <c r="E1409" s="450"/>
      <c r="F1409" s="450"/>
      <c r="G1409" s="450"/>
      <c r="H1409" s="459"/>
      <c r="I1409" s="450"/>
      <c r="J1409" s="450"/>
      <c r="M1409" s="310"/>
      <c r="N1409" s="310"/>
      <c r="O1409" s="310"/>
      <c r="P1409" s="356"/>
      <c r="R1409" s="348" t="str">
        <f t="shared" si="67"/>
        <v>DELETE</v>
      </c>
    </row>
    <row r="1410" spans="2:21" ht="36.75" customHeight="1" x14ac:dyDescent="0.5">
      <c r="B1410" s="354"/>
      <c r="C1410" s="450" t="s">
        <v>920</v>
      </c>
      <c r="D1410" s="450"/>
      <c r="E1410" s="450"/>
      <c r="F1410" s="450"/>
      <c r="G1410" s="450"/>
      <c r="H1410" s="459"/>
      <c r="I1410" s="450"/>
      <c r="J1410" s="450"/>
      <c r="K1410" s="380"/>
      <c r="M1410" s="310"/>
      <c r="N1410" s="310"/>
      <c r="O1410" s="296">
        <f>SUM(S1383:S1406)</f>
        <v>0</v>
      </c>
      <c r="P1410" s="356"/>
      <c r="R1410" s="348" t="str">
        <f t="shared" si="67"/>
        <v>DELETE</v>
      </c>
      <c r="U1410" s="331" t="b">
        <f>O1410=O1414+O1415</f>
        <v>1</v>
      </c>
    </row>
    <row r="1411" spans="2:21" ht="9" customHeight="1" thickBot="1" x14ac:dyDescent="0.55000000000000004">
      <c r="B1411" s="354"/>
      <c r="C1411" s="450"/>
      <c r="D1411" s="450"/>
      <c r="E1411" s="450"/>
      <c r="F1411" s="450"/>
      <c r="G1411" s="450"/>
      <c r="H1411" s="459"/>
      <c r="I1411" s="450"/>
      <c r="J1411" s="450"/>
      <c r="M1411" s="310"/>
      <c r="N1411" s="310"/>
      <c r="O1411" s="299"/>
      <c r="P1411" s="356"/>
      <c r="R1411" s="348" t="str">
        <f t="shared" si="67"/>
        <v>DELETE</v>
      </c>
    </row>
    <row r="1412" spans="2:21" ht="9" customHeight="1" thickTop="1" x14ac:dyDescent="0.5">
      <c r="B1412" s="354"/>
      <c r="C1412" s="450"/>
      <c r="D1412" s="450"/>
      <c r="E1412" s="450"/>
      <c r="F1412" s="450"/>
      <c r="G1412" s="450"/>
      <c r="H1412" s="459"/>
      <c r="I1412" s="450"/>
      <c r="J1412" s="450"/>
      <c r="M1412" s="310"/>
      <c r="N1412" s="310"/>
      <c r="O1412" s="296"/>
      <c r="P1412" s="356"/>
      <c r="R1412" s="348" t="str">
        <f t="shared" si="67"/>
        <v>DELETE</v>
      </c>
    </row>
    <row r="1413" spans="2:21" ht="9" customHeight="1" x14ac:dyDescent="0.5">
      <c r="B1413" s="354"/>
      <c r="C1413" s="450"/>
      <c r="D1413" s="450"/>
      <c r="E1413" s="450"/>
      <c r="F1413" s="450"/>
      <c r="G1413" s="450"/>
      <c r="H1413" s="459"/>
      <c r="I1413" s="450"/>
      <c r="J1413" s="450"/>
      <c r="M1413" s="310"/>
      <c r="N1413" s="310"/>
      <c r="O1413" s="407"/>
      <c r="P1413" s="356"/>
      <c r="R1413" s="348" t="str">
        <f t="shared" si="67"/>
        <v>DELETE</v>
      </c>
    </row>
    <row r="1414" spans="2:21" ht="36" customHeight="1" x14ac:dyDescent="0.5">
      <c r="B1414" s="354"/>
      <c r="C1414" s="450" t="s">
        <v>352</v>
      </c>
      <c r="D1414" s="450"/>
      <c r="E1414" s="450"/>
      <c r="F1414" s="450"/>
      <c r="G1414" s="450"/>
      <c r="H1414" s="459"/>
      <c r="I1414" s="450"/>
      <c r="J1414" s="450"/>
      <c r="M1414" s="310"/>
      <c r="N1414" s="310"/>
      <c r="O1414" s="408">
        <f>SUM(TrialBalance!L241:L245)</f>
        <v>0</v>
      </c>
      <c r="P1414" s="356"/>
      <c r="R1414" s="348" t="str">
        <f t="shared" si="67"/>
        <v>DELETE</v>
      </c>
    </row>
    <row r="1415" spans="2:21" ht="36" customHeight="1" x14ac:dyDescent="0.5">
      <c r="B1415" s="354"/>
      <c r="C1415" s="450" t="s">
        <v>1112</v>
      </c>
      <c r="D1415" s="450"/>
      <c r="E1415" s="450"/>
      <c r="F1415" s="450"/>
      <c r="G1415" s="450"/>
      <c r="H1415" s="459"/>
      <c r="I1415" s="450"/>
      <c r="J1415" s="450"/>
      <c r="M1415" s="310"/>
      <c r="N1415" s="310"/>
      <c r="O1415" s="408">
        <f>SUM(TrialBalance!L247:L250)</f>
        <v>0</v>
      </c>
      <c r="P1415" s="356"/>
      <c r="R1415" s="348" t="str">
        <f t="shared" si="67"/>
        <v>DELETE</v>
      </c>
    </row>
    <row r="1416" spans="2:21" ht="9" customHeight="1" x14ac:dyDescent="0.5">
      <c r="B1416" s="354"/>
      <c r="C1416" s="450"/>
      <c r="D1416" s="450"/>
      <c r="E1416" s="450"/>
      <c r="F1416" s="450"/>
      <c r="G1416" s="450"/>
      <c r="H1416" s="450"/>
      <c r="I1416" s="450"/>
      <c r="J1416" s="450"/>
      <c r="M1416" s="310"/>
      <c r="N1416" s="310"/>
      <c r="O1416" s="409"/>
      <c r="P1416" s="356"/>
      <c r="R1416" s="348" t="str">
        <f t="shared" si="67"/>
        <v>DELETE</v>
      </c>
    </row>
    <row r="1417" spans="2:21" ht="9" customHeight="1" x14ac:dyDescent="0.5">
      <c r="B1417" s="354"/>
      <c r="C1417" s="450"/>
      <c r="D1417" s="450"/>
      <c r="E1417" s="450"/>
      <c r="F1417" s="450"/>
      <c r="G1417" s="450"/>
      <c r="H1417" s="450"/>
      <c r="I1417" s="450"/>
      <c r="J1417" s="450"/>
      <c r="M1417" s="310"/>
      <c r="N1417" s="310"/>
      <c r="O1417" s="296"/>
      <c r="P1417" s="356"/>
      <c r="R1417" s="348" t="str">
        <f t="shared" si="67"/>
        <v>DELETE</v>
      </c>
    </row>
    <row r="1418" spans="2:21" ht="36" customHeight="1" x14ac:dyDescent="0.5">
      <c r="B1418" s="354"/>
      <c r="C1418" s="450"/>
      <c r="D1418" s="450"/>
      <c r="E1418" s="450"/>
      <c r="F1418" s="450"/>
      <c r="G1418" s="450"/>
      <c r="H1418" s="450"/>
      <c r="I1418" s="450"/>
      <c r="J1418" s="450"/>
      <c r="M1418" s="356"/>
      <c r="N1418" s="356"/>
      <c r="O1418" s="356"/>
      <c r="P1418" s="356"/>
      <c r="R1418" s="348" t="str">
        <f t="shared" si="67"/>
        <v>DELETE</v>
      </c>
    </row>
    <row r="1419" spans="2:21" ht="36" customHeight="1" x14ac:dyDescent="0.5">
      <c r="B1419" s="354"/>
      <c r="C1419" s="450" t="str">
        <f>IF(SUM(TrialBalance!L241:L245)=0," ",IF(Criteria!F121="Yes",CONCATENATE("Investment property is pledged as security - See Note ",'FS2'!B1893)," "))</f>
        <v xml:space="preserve"> </v>
      </c>
      <c r="D1419" s="459"/>
      <c r="E1419" s="450"/>
      <c r="F1419" s="450"/>
      <c r="G1419" s="450"/>
      <c r="H1419" s="450"/>
      <c r="I1419" s="450"/>
      <c r="J1419" s="450"/>
      <c r="M1419" s="356"/>
      <c r="N1419" s="356"/>
      <c r="O1419" s="356"/>
      <c r="P1419" s="356"/>
      <c r="R1419" s="348" t="str">
        <f>IF(R$1379="DELETE","DELETE",IF(C1419=" ","DELETE"," "))</f>
        <v>DELETE</v>
      </c>
    </row>
    <row r="1420" spans="2:21" ht="36" customHeight="1" x14ac:dyDescent="0.5">
      <c r="B1420" s="354"/>
      <c r="C1420" s="450"/>
      <c r="D1420" s="450"/>
      <c r="E1420" s="450"/>
      <c r="F1420" s="450"/>
      <c r="G1420" s="450"/>
      <c r="H1420" s="450"/>
      <c r="I1420" s="450"/>
      <c r="J1420" s="450"/>
      <c r="M1420" s="356"/>
      <c r="N1420" s="356"/>
      <c r="O1420" s="356"/>
      <c r="P1420" s="356"/>
      <c r="R1420" s="348" t="str">
        <f t="shared" si="67"/>
        <v>DELETE</v>
      </c>
    </row>
    <row r="1421" spans="2:21" ht="36" customHeight="1" x14ac:dyDescent="0.5">
      <c r="B1421" s="354"/>
      <c r="C1421" s="450"/>
      <c r="D1421" s="450"/>
      <c r="E1421" s="450"/>
      <c r="F1421" s="450"/>
      <c r="G1421" s="450"/>
      <c r="H1421" s="450"/>
      <c r="I1421" s="450"/>
      <c r="J1421" s="450"/>
      <c r="M1421" s="356"/>
      <c r="N1421" s="356"/>
      <c r="O1421" s="356"/>
      <c r="P1421" s="356"/>
      <c r="R1421" s="348" t="str">
        <f t="shared" si="67"/>
        <v>DELETE</v>
      </c>
    </row>
    <row r="1422" spans="2:21" ht="36" customHeight="1" x14ac:dyDescent="0.5">
      <c r="B1422" s="354"/>
      <c r="C1422" s="450"/>
      <c r="D1422" s="450"/>
      <c r="E1422" s="450"/>
      <c r="F1422" s="450"/>
      <c r="G1422" s="450"/>
      <c r="H1422" s="450"/>
      <c r="I1422" s="450"/>
      <c r="J1422" s="450"/>
      <c r="M1422" s="356"/>
      <c r="N1422" s="356"/>
      <c r="O1422" s="356"/>
      <c r="P1422" s="356"/>
      <c r="R1422" s="348" t="str">
        <f t="shared" si="67"/>
        <v>DELETE</v>
      </c>
    </row>
    <row r="1423" spans="2:21" ht="36" customHeight="1" x14ac:dyDescent="0.5">
      <c r="B1423" s="354"/>
      <c r="C1423" s="450"/>
      <c r="D1423" s="450"/>
      <c r="E1423" s="450"/>
      <c r="F1423" s="450"/>
      <c r="G1423" s="450"/>
      <c r="H1423" s="450"/>
      <c r="I1423" s="450"/>
      <c r="J1423" s="450"/>
      <c r="M1423" s="347"/>
      <c r="O1423" s="347"/>
      <c r="R1423" s="348" t="str">
        <f t="shared" si="67"/>
        <v>DELETE</v>
      </c>
    </row>
    <row r="1424" spans="2:21" ht="36" customHeight="1" x14ac:dyDescent="0.5">
      <c r="B1424" s="354"/>
      <c r="C1424" s="450"/>
      <c r="D1424" s="450"/>
      <c r="E1424" s="450"/>
      <c r="F1424" s="450"/>
      <c r="G1424" s="450"/>
      <c r="H1424" s="450"/>
      <c r="I1424" s="450"/>
      <c r="J1424" s="450"/>
      <c r="M1424" s="347"/>
      <c r="O1424" s="295" t="s">
        <v>89</v>
      </c>
      <c r="Q1424" s="292">
        <f>MAX($Q$105:Q1423)+1</f>
        <v>38</v>
      </c>
      <c r="R1424" s="348" t="str">
        <f t="shared" ref="R1424:R1435" si="72">R$1476</f>
        <v>DELETE</v>
      </c>
    </row>
    <row r="1425" spans="2:18" ht="36" customHeight="1" x14ac:dyDescent="0.5">
      <c r="B1425" s="354"/>
      <c r="C1425" s="450"/>
      <c r="D1425" s="456" t="str">
        <f>Criteria!E9</f>
        <v>HOLDING COMPANY 268 (PROPRIETARY) LIMITED</v>
      </c>
      <c r="E1425" s="450"/>
      <c r="F1425" s="450"/>
      <c r="G1425" s="450"/>
      <c r="H1425" s="450"/>
      <c r="I1425" s="450"/>
      <c r="J1425" s="450"/>
      <c r="M1425" s="347"/>
      <c r="O1425" s="347"/>
      <c r="R1425" s="348" t="str">
        <f t="shared" si="72"/>
        <v>DELETE</v>
      </c>
    </row>
    <row r="1426" spans="2:18" ht="36" customHeight="1" x14ac:dyDescent="0.5">
      <c r="B1426" s="354"/>
      <c r="C1426" s="450"/>
      <c r="D1426" s="456" t="str">
        <f>Criteria!E10</f>
        <v>CONSOLIDATED FINANCIAL STATEMENTS</v>
      </c>
      <c r="E1426" s="450"/>
      <c r="F1426" s="450"/>
      <c r="G1426" s="450"/>
      <c r="H1426" s="450"/>
      <c r="I1426" s="450"/>
      <c r="J1426" s="450"/>
      <c r="M1426" s="347"/>
      <c r="O1426" s="347"/>
      <c r="R1426" s="348" t="str">
        <f>IF(R$1476="DELETE","DELETE",IF(D1426=0,"DELETE"," "))</f>
        <v>DELETE</v>
      </c>
    </row>
    <row r="1427" spans="2:18" ht="36" customHeight="1" x14ac:dyDescent="0.5">
      <c r="B1427" s="354"/>
      <c r="C1427" s="450"/>
      <c r="D1427" s="450"/>
      <c r="E1427" s="450"/>
      <c r="F1427" s="450"/>
      <c r="G1427" s="450"/>
      <c r="H1427" s="450"/>
      <c r="I1427" s="450"/>
      <c r="J1427" s="450"/>
      <c r="M1427" s="347"/>
      <c r="O1427" s="347"/>
      <c r="R1427" s="348" t="str">
        <f t="shared" si="72"/>
        <v>DELETE</v>
      </c>
    </row>
    <row r="1428" spans="2:18" ht="36" customHeight="1" x14ac:dyDescent="0.5">
      <c r="B1428" s="354"/>
      <c r="C1428" s="450"/>
      <c r="D1428" s="456" t="s">
        <v>351</v>
      </c>
      <c r="E1428" s="450"/>
      <c r="F1428" s="450"/>
      <c r="G1428" s="450"/>
      <c r="H1428" s="450"/>
      <c r="I1428" s="450"/>
      <c r="J1428" s="450"/>
      <c r="M1428" s="347"/>
      <c r="O1428" s="347"/>
      <c r="R1428" s="348" t="str">
        <f t="shared" si="72"/>
        <v>DELETE</v>
      </c>
    </row>
    <row r="1429" spans="2:18" ht="36" customHeight="1" x14ac:dyDescent="0.5">
      <c r="B1429" s="354"/>
      <c r="C1429" s="450"/>
      <c r="D1429" s="456" t="str">
        <f>Criteria!E20</f>
        <v>28 FEBRUARY 2025</v>
      </c>
      <c r="E1429" s="450"/>
      <c r="F1429" s="450"/>
      <c r="G1429" s="450"/>
      <c r="H1429" s="450"/>
      <c r="I1429" s="450"/>
      <c r="J1429" s="450" t="s">
        <v>231</v>
      </c>
      <c r="M1429" s="347"/>
      <c r="O1429" s="347"/>
      <c r="R1429" s="348" t="str">
        <f t="shared" si="72"/>
        <v>DELETE</v>
      </c>
    </row>
    <row r="1430" spans="2:18" ht="36" customHeight="1" x14ac:dyDescent="0.5">
      <c r="B1430" s="354"/>
      <c r="C1430" s="450"/>
      <c r="D1430" s="450"/>
      <c r="E1430" s="450"/>
      <c r="F1430" s="450"/>
      <c r="G1430" s="450"/>
      <c r="H1430" s="450"/>
      <c r="I1430" s="450"/>
      <c r="J1430" s="450"/>
      <c r="M1430" s="347"/>
      <c r="O1430" s="347"/>
      <c r="R1430" s="348" t="str">
        <f t="shared" si="72"/>
        <v>DELETE</v>
      </c>
    </row>
    <row r="1431" spans="2:18" ht="36" customHeight="1" x14ac:dyDescent="0.5">
      <c r="B1431" s="368"/>
      <c r="C1431" s="460"/>
      <c r="D1431" s="460"/>
      <c r="E1431" s="460"/>
      <c r="F1431" s="460"/>
      <c r="G1431" s="460"/>
      <c r="H1431" s="460"/>
      <c r="I1431" s="460"/>
      <c r="J1431" s="460"/>
      <c r="K1431" s="364"/>
      <c r="L1431" s="364"/>
      <c r="M1431" s="367"/>
      <c r="N1431" s="367"/>
      <c r="O1431" s="367"/>
      <c r="P1431" s="367"/>
      <c r="Q1431" s="364"/>
      <c r="R1431" s="348" t="str">
        <f t="shared" si="72"/>
        <v>DELETE</v>
      </c>
    </row>
    <row r="1432" spans="2:18" ht="36" customHeight="1" x14ac:dyDescent="0.5">
      <c r="B1432" s="354"/>
      <c r="C1432" s="450"/>
      <c r="D1432" s="450"/>
      <c r="E1432" s="450"/>
      <c r="F1432" s="450"/>
      <c r="G1432" s="450"/>
      <c r="H1432" s="450"/>
      <c r="I1432" s="450"/>
      <c r="J1432" s="450"/>
      <c r="M1432" s="356"/>
      <c r="N1432" s="356"/>
      <c r="O1432" s="294">
        <f>Criteria!E22</f>
        <v>2025</v>
      </c>
      <c r="P1432" s="356"/>
      <c r="R1432" s="348" t="str">
        <f t="shared" si="72"/>
        <v>DELETE</v>
      </c>
    </row>
    <row r="1433" spans="2:18" ht="36" customHeight="1" x14ac:dyDescent="0.5">
      <c r="B1433" s="354"/>
      <c r="C1433" s="450"/>
      <c r="D1433" s="450"/>
      <c r="E1433" s="450"/>
      <c r="F1433" s="450"/>
      <c r="G1433" s="450"/>
      <c r="H1433" s="450"/>
      <c r="I1433" s="450"/>
      <c r="J1433" s="450"/>
      <c r="M1433" s="356"/>
      <c r="N1433" s="356"/>
      <c r="O1433" s="356"/>
      <c r="P1433" s="356"/>
      <c r="R1433" s="348" t="str">
        <f t="shared" si="72"/>
        <v>DELETE</v>
      </c>
    </row>
    <row r="1434" spans="2:18" ht="36" customHeight="1" x14ac:dyDescent="0.5">
      <c r="B1434" s="354"/>
      <c r="C1434" s="450" t="s">
        <v>1020</v>
      </c>
      <c r="D1434" s="450"/>
      <c r="E1434" s="450"/>
      <c r="F1434" s="450"/>
      <c r="G1434" s="450"/>
      <c r="H1434" s="450"/>
      <c r="I1434" s="450"/>
      <c r="J1434" s="450"/>
      <c r="M1434" s="356"/>
      <c r="N1434" s="356"/>
      <c r="O1434" s="356"/>
      <c r="P1434" s="356"/>
      <c r="R1434" s="348" t="str">
        <f t="shared" si="72"/>
        <v>DELETE</v>
      </c>
    </row>
    <row r="1435" spans="2:18" ht="36" customHeight="1" x14ac:dyDescent="0.5">
      <c r="B1435" s="354"/>
      <c r="C1435" s="450"/>
      <c r="D1435" s="450"/>
      <c r="E1435" s="450"/>
      <c r="F1435" s="450"/>
      <c r="G1435" s="450"/>
      <c r="H1435" s="450"/>
      <c r="I1435" s="450"/>
      <c r="J1435" s="450"/>
      <c r="M1435" s="356"/>
      <c r="N1435" s="356"/>
      <c r="O1435" s="356"/>
      <c r="P1435" s="356"/>
      <c r="R1435" s="348" t="str">
        <f t="shared" si="72"/>
        <v>DELETE</v>
      </c>
    </row>
    <row r="1436" spans="2:18" ht="36" customHeight="1" x14ac:dyDescent="0.5">
      <c r="B1436" s="354"/>
      <c r="C1436" s="450">
        <f>Criteria!C168</f>
        <v>0</v>
      </c>
      <c r="D1436" s="459"/>
      <c r="E1436" s="450"/>
      <c r="F1436" s="450"/>
      <c r="G1436" s="450"/>
      <c r="H1436" s="450"/>
      <c r="I1436" s="450"/>
      <c r="J1436" s="450"/>
      <c r="M1436" s="356"/>
      <c r="N1436" s="356"/>
      <c r="O1436" s="371">
        <f>Criteria!F168</f>
        <v>0</v>
      </c>
      <c r="P1436" s="356"/>
      <c r="R1436" s="348" t="str">
        <f>IF(O1436=0,"DELETE"," ")</f>
        <v>DELETE</v>
      </c>
    </row>
    <row r="1437" spans="2:18" ht="36" customHeight="1" x14ac:dyDescent="0.5">
      <c r="B1437" s="354"/>
      <c r="C1437" s="450">
        <f>Criteria!C169</f>
        <v>0</v>
      </c>
      <c r="D1437" s="459"/>
      <c r="E1437" s="450"/>
      <c r="F1437" s="450"/>
      <c r="G1437" s="450"/>
      <c r="H1437" s="450"/>
      <c r="I1437" s="450"/>
      <c r="J1437" s="450"/>
      <c r="M1437" s="356"/>
      <c r="N1437" s="356"/>
      <c r="O1437" s="371">
        <f>Criteria!F169</f>
        <v>0</v>
      </c>
      <c r="P1437" s="356"/>
      <c r="R1437" s="348" t="str">
        <f t="shared" ref="R1437:R1473" si="73">IF(O1437=0,"DELETE"," ")</f>
        <v>DELETE</v>
      </c>
    </row>
    <row r="1438" spans="2:18" ht="36" customHeight="1" x14ac:dyDescent="0.5">
      <c r="B1438" s="354"/>
      <c r="C1438" s="450">
        <f>Criteria!C170</f>
        <v>0</v>
      </c>
      <c r="D1438" s="459"/>
      <c r="E1438" s="450"/>
      <c r="F1438" s="450"/>
      <c r="G1438" s="450"/>
      <c r="H1438" s="450"/>
      <c r="I1438" s="450"/>
      <c r="J1438" s="450"/>
      <c r="M1438" s="356"/>
      <c r="N1438" s="356"/>
      <c r="O1438" s="371">
        <f>Criteria!F170</f>
        <v>0</v>
      </c>
      <c r="P1438" s="356"/>
      <c r="R1438" s="348" t="str">
        <f t="shared" si="73"/>
        <v>DELETE</v>
      </c>
    </row>
    <row r="1439" spans="2:18" ht="36" customHeight="1" x14ac:dyDescent="0.5">
      <c r="B1439" s="354"/>
      <c r="C1439" s="450">
        <f>Criteria!C171</f>
        <v>0</v>
      </c>
      <c r="D1439" s="459"/>
      <c r="E1439" s="450"/>
      <c r="F1439" s="450"/>
      <c r="G1439" s="450"/>
      <c r="H1439" s="450"/>
      <c r="I1439" s="450"/>
      <c r="J1439" s="450"/>
      <c r="M1439" s="356"/>
      <c r="N1439" s="356"/>
      <c r="O1439" s="371">
        <f>Criteria!F171</f>
        <v>0</v>
      </c>
      <c r="P1439" s="356"/>
      <c r="R1439" s="348" t="str">
        <f t="shared" si="73"/>
        <v>DELETE</v>
      </c>
    </row>
    <row r="1440" spans="2:18" ht="36" customHeight="1" x14ac:dyDescent="0.5">
      <c r="B1440" s="354"/>
      <c r="C1440" s="450">
        <f>Criteria!C172</f>
        <v>0</v>
      </c>
      <c r="D1440" s="459"/>
      <c r="E1440" s="450"/>
      <c r="F1440" s="450"/>
      <c r="G1440" s="450"/>
      <c r="H1440" s="450"/>
      <c r="I1440" s="450"/>
      <c r="J1440" s="450"/>
      <c r="M1440" s="356"/>
      <c r="N1440" s="356"/>
      <c r="O1440" s="371">
        <f>Criteria!F172</f>
        <v>0</v>
      </c>
      <c r="P1440" s="356"/>
      <c r="R1440" s="348" t="str">
        <f t="shared" si="73"/>
        <v>DELETE</v>
      </c>
    </row>
    <row r="1441" spans="2:18" ht="36" customHeight="1" x14ac:dyDescent="0.5">
      <c r="B1441" s="354"/>
      <c r="C1441" s="450">
        <f>Criteria!C173</f>
        <v>0</v>
      </c>
      <c r="D1441" s="459"/>
      <c r="E1441" s="450"/>
      <c r="F1441" s="450"/>
      <c r="G1441" s="450"/>
      <c r="H1441" s="450"/>
      <c r="I1441" s="450"/>
      <c r="J1441" s="450"/>
      <c r="M1441" s="356"/>
      <c r="N1441" s="356"/>
      <c r="O1441" s="371">
        <f>Criteria!F173</f>
        <v>0</v>
      </c>
      <c r="P1441" s="356"/>
      <c r="R1441" s="348" t="str">
        <f t="shared" si="73"/>
        <v>DELETE</v>
      </c>
    </row>
    <row r="1442" spans="2:18" ht="36" customHeight="1" x14ac:dyDescent="0.5">
      <c r="B1442" s="354"/>
      <c r="C1442" s="450">
        <f>Criteria!C174</f>
        <v>0</v>
      </c>
      <c r="D1442" s="459"/>
      <c r="E1442" s="450"/>
      <c r="F1442" s="450"/>
      <c r="G1442" s="450"/>
      <c r="H1442" s="450"/>
      <c r="I1442" s="450"/>
      <c r="J1442" s="450"/>
      <c r="M1442" s="356"/>
      <c r="N1442" s="356"/>
      <c r="O1442" s="371">
        <f>Criteria!F174</f>
        <v>0</v>
      </c>
      <c r="P1442" s="356"/>
      <c r="R1442" s="348" t="str">
        <f t="shared" si="73"/>
        <v>DELETE</v>
      </c>
    </row>
    <row r="1443" spans="2:18" ht="36" customHeight="1" x14ac:dyDescent="0.5">
      <c r="B1443" s="354"/>
      <c r="C1443" s="450">
        <f>Criteria!C175</f>
        <v>0</v>
      </c>
      <c r="D1443" s="459"/>
      <c r="E1443" s="450"/>
      <c r="F1443" s="450"/>
      <c r="G1443" s="450"/>
      <c r="H1443" s="450"/>
      <c r="I1443" s="450"/>
      <c r="J1443" s="450"/>
      <c r="M1443" s="356"/>
      <c r="N1443" s="356"/>
      <c r="O1443" s="371">
        <f>Criteria!F175</f>
        <v>0</v>
      </c>
      <c r="P1443" s="356"/>
      <c r="R1443" s="348" t="str">
        <f t="shared" si="73"/>
        <v>DELETE</v>
      </c>
    </row>
    <row r="1444" spans="2:18" ht="36" customHeight="1" x14ac:dyDescent="0.5">
      <c r="B1444" s="354"/>
      <c r="C1444" s="450">
        <f>Criteria!C176</f>
        <v>0</v>
      </c>
      <c r="D1444" s="459"/>
      <c r="E1444" s="450"/>
      <c r="F1444" s="450"/>
      <c r="G1444" s="450"/>
      <c r="H1444" s="450"/>
      <c r="I1444" s="450"/>
      <c r="J1444" s="450"/>
      <c r="M1444" s="356"/>
      <c r="N1444" s="356"/>
      <c r="O1444" s="371">
        <f>Criteria!F176</f>
        <v>0</v>
      </c>
      <c r="P1444" s="356"/>
      <c r="R1444" s="348" t="str">
        <f t="shared" si="73"/>
        <v>DELETE</v>
      </c>
    </row>
    <row r="1445" spans="2:18" ht="36" customHeight="1" x14ac:dyDescent="0.5">
      <c r="B1445" s="354"/>
      <c r="C1445" s="450">
        <f>Criteria!C177</f>
        <v>0</v>
      </c>
      <c r="D1445" s="459"/>
      <c r="E1445" s="450"/>
      <c r="F1445" s="450"/>
      <c r="G1445" s="450"/>
      <c r="H1445" s="450"/>
      <c r="I1445" s="450"/>
      <c r="J1445" s="450"/>
      <c r="M1445" s="356"/>
      <c r="N1445" s="356"/>
      <c r="O1445" s="371">
        <f>Criteria!F177</f>
        <v>0</v>
      </c>
      <c r="P1445" s="356"/>
      <c r="R1445" s="348" t="str">
        <f t="shared" si="73"/>
        <v>DELETE</v>
      </c>
    </row>
    <row r="1446" spans="2:18" ht="36" customHeight="1" x14ac:dyDescent="0.5">
      <c r="B1446" s="354"/>
      <c r="C1446" s="450">
        <f>Criteria!C178</f>
        <v>0</v>
      </c>
      <c r="D1446" s="459"/>
      <c r="E1446" s="450"/>
      <c r="F1446" s="450"/>
      <c r="G1446" s="450"/>
      <c r="H1446" s="450"/>
      <c r="I1446" s="450"/>
      <c r="J1446" s="450"/>
      <c r="M1446" s="356"/>
      <c r="N1446" s="356"/>
      <c r="O1446" s="371">
        <f>Criteria!F178</f>
        <v>0</v>
      </c>
      <c r="P1446" s="356"/>
      <c r="R1446" s="348" t="str">
        <f t="shared" si="73"/>
        <v>DELETE</v>
      </c>
    </row>
    <row r="1447" spans="2:18" ht="36" customHeight="1" x14ac:dyDescent="0.5">
      <c r="B1447" s="354"/>
      <c r="C1447" s="450">
        <f>Criteria!C179</f>
        <v>0</v>
      </c>
      <c r="D1447" s="459"/>
      <c r="E1447" s="450"/>
      <c r="F1447" s="450"/>
      <c r="G1447" s="450"/>
      <c r="H1447" s="450"/>
      <c r="I1447" s="450"/>
      <c r="J1447" s="450"/>
      <c r="M1447" s="356"/>
      <c r="N1447" s="356"/>
      <c r="O1447" s="371">
        <f>Criteria!F179</f>
        <v>0</v>
      </c>
      <c r="P1447" s="356"/>
      <c r="R1447" s="348" t="str">
        <f t="shared" si="73"/>
        <v>DELETE</v>
      </c>
    </row>
    <row r="1448" spans="2:18" ht="36" customHeight="1" x14ac:dyDescent="0.5">
      <c r="B1448" s="354"/>
      <c r="C1448" s="450">
        <f>Criteria!C180</f>
        <v>0</v>
      </c>
      <c r="D1448" s="459"/>
      <c r="E1448" s="450"/>
      <c r="F1448" s="450"/>
      <c r="G1448" s="450"/>
      <c r="H1448" s="450"/>
      <c r="I1448" s="450"/>
      <c r="J1448" s="450"/>
      <c r="M1448" s="356"/>
      <c r="N1448" s="356"/>
      <c r="O1448" s="371">
        <f>Criteria!F180</f>
        <v>0</v>
      </c>
      <c r="P1448" s="356"/>
      <c r="R1448" s="348" t="str">
        <f t="shared" si="73"/>
        <v>DELETE</v>
      </c>
    </row>
    <row r="1449" spans="2:18" ht="36" customHeight="1" x14ac:dyDescent="0.5">
      <c r="B1449" s="354"/>
      <c r="C1449" s="450">
        <f>Criteria!C181</f>
        <v>0</v>
      </c>
      <c r="D1449" s="459"/>
      <c r="E1449" s="450"/>
      <c r="F1449" s="450"/>
      <c r="G1449" s="450"/>
      <c r="H1449" s="450"/>
      <c r="I1449" s="450"/>
      <c r="J1449" s="450"/>
      <c r="M1449" s="356"/>
      <c r="N1449" s="356"/>
      <c r="O1449" s="371">
        <f>Criteria!F181</f>
        <v>0</v>
      </c>
      <c r="P1449" s="356"/>
      <c r="R1449" s="348" t="str">
        <f t="shared" si="73"/>
        <v>DELETE</v>
      </c>
    </row>
    <row r="1450" spans="2:18" ht="36" customHeight="1" x14ac:dyDescent="0.5">
      <c r="B1450" s="354"/>
      <c r="C1450" s="450">
        <f>Criteria!C182</f>
        <v>0</v>
      </c>
      <c r="D1450" s="459"/>
      <c r="E1450" s="450"/>
      <c r="F1450" s="450"/>
      <c r="G1450" s="450"/>
      <c r="H1450" s="450"/>
      <c r="I1450" s="450"/>
      <c r="J1450" s="450"/>
      <c r="M1450" s="356"/>
      <c r="N1450" s="356"/>
      <c r="O1450" s="371">
        <f>Criteria!F182</f>
        <v>0</v>
      </c>
      <c r="P1450" s="356"/>
      <c r="R1450" s="348" t="str">
        <f t="shared" si="73"/>
        <v>DELETE</v>
      </c>
    </row>
    <row r="1451" spans="2:18" ht="36" customHeight="1" x14ac:dyDescent="0.5">
      <c r="B1451" s="354"/>
      <c r="C1451" s="450">
        <f>Criteria!C183</f>
        <v>0</v>
      </c>
      <c r="D1451" s="459"/>
      <c r="E1451" s="450"/>
      <c r="F1451" s="450"/>
      <c r="G1451" s="450"/>
      <c r="H1451" s="450"/>
      <c r="I1451" s="450"/>
      <c r="J1451" s="450"/>
      <c r="M1451" s="356"/>
      <c r="N1451" s="356"/>
      <c r="O1451" s="371">
        <f>Criteria!F183</f>
        <v>0</v>
      </c>
      <c r="P1451" s="356"/>
      <c r="R1451" s="348" t="str">
        <f t="shared" si="73"/>
        <v>DELETE</v>
      </c>
    </row>
    <row r="1452" spans="2:18" ht="36" customHeight="1" x14ac:dyDescent="0.5">
      <c r="B1452" s="354"/>
      <c r="C1452" s="450">
        <f>Criteria!C184</f>
        <v>0</v>
      </c>
      <c r="D1452" s="459"/>
      <c r="E1452" s="450"/>
      <c r="F1452" s="450"/>
      <c r="G1452" s="450"/>
      <c r="H1452" s="450"/>
      <c r="I1452" s="450"/>
      <c r="J1452" s="450"/>
      <c r="M1452" s="356"/>
      <c r="N1452" s="356"/>
      <c r="O1452" s="371">
        <f>Criteria!F184</f>
        <v>0</v>
      </c>
      <c r="P1452" s="356"/>
      <c r="R1452" s="348" t="str">
        <f t="shared" si="73"/>
        <v>DELETE</v>
      </c>
    </row>
    <row r="1453" spans="2:18" ht="36" customHeight="1" x14ac:dyDescent="0.5">
      <c r="B1453" s="354"/>
      <c r="C1453" s="450">
        <f>Criteria!C185</f>
        <v>0</v>
      </c>
      <c r="D1453" s="459"/>
      <c r="E1453" s="450"/>
      <c r="F1453" s="450"/>
      <c r="G1453" s="450"/>
      <c r="H1453" s="450"/>
      <c r="I1453" s="450"/>
      <c r="J1453" s="450"/>
      <c r="M1453" s="356"/>
      <c r="N1453" s="356"/>
      <c r="O1453" s="371">
        <f>Criteria!F185</f>
        <v>0</v>
      </c>
      <c r="P1453" s="356"/>
      <c r="R1453" s="348" t="str">
        <f t="shared" si="73"/>
        <v>DELETE</v>
      </c>
    </row>
    <row r="1454" spans="2:18" ht="36" customHeight="1" x14ac:dyDescent="0.5">
      <c r="B1454" s="354"/>
      <c r="C1454" s="450">
        <f>Criteria!C186</f>
        <v>0</v>
      </c>
      <c r="D1454" s="459"/>
      <c r="E1454" s="450"/>
      <c r="F1454" s="450"/>
      <c r="G1454" s="450"/>
      <c r="H1454" s="450"/>
      <c r="I1454" s="450"/>
      <c r="J1454" s="450"/>
      <c r="M1454" s="356"/>
      <c r="N1454" s="356"/>
      <c r="O1454" s="371">
        <f>Criteria!F186</f>
        <v>0</v>
      </c>
      <c r="P1454" s="356"/>
      <c r="R1454" s="348" t="str">
        <f t="shared" si="73"/>
        <v>DELETE</v>
      </c>
    </row>
    <row r="1455" spans="2:18" ht="36" customHeight="1" x14ac:dyDescent="0.5">
      <c r="B1455" s="354"/>
      <c r="C1455" s="450">
        <f>Criteria!C187</f>
        <v>0</v>
      </c>
      <c r="D1455" s="459"/>
      <c r="E1455" s="450"/>
      <c r="F1455" s="450"/>
      <c r="G1455" s="450"/>
      <c r="H1455" s="450"/>
      <c r="I1455" s="450"/>
      <c r="J1455" s="450"/>
      <c r="M1455" s="356"/>
      <c r="N1455" s="356"/>
      <c r="O1455" s="371">
        <f>Criteria!F187</f>
        <v>0</v>
      </c>
      <c r="P1455" s="356"/>
      <c r="R1455" s="348" t="str">
        <f t="shared" si="73"/>
        <v>DELETE</v>
      </c>
    </row>
    <row r="1456" spans="2:18" ht="36" customHeight="1" x14ac:dyDescent="0.5">
      <c r="B1456" s="354"/>
      <c r="C1456" s="450">
        <f>Criteria!C188</f>
        <v>0</v>
      </c>
      <c r="D1456" s="459"/>
      <c r="E1456" s="450"/>
      <c r="F1456" s="450"/>
      <c r="G1456" s="450"/>
      <c r="H1456" s="450"/>
      <c r="I1456" s="450"/>
      <c r="J1456" s="450"/>
      <c r="M1456" s="356"/>
      <c r="N1456" s="356"/>
      <c r="O1456" s="371">
        <f>Criteria!F188</f>
        <v>0</v>
      </c>
      <c r="P1456" s="356"/>
      <c r="R1456" s="348" t="str">
        <f t="shared" si="73"/>
        <v>DELETE</v>
      </c>
    </row>
    <row r="1457" spans="2:18" ht="36" customHeight="1" x14ac:dyDescent="0.5">
      <c r="B1457" s="354"/>
      <c r="C1457" s="450">
        <f>Criteria!C189</f>
        <v>0</v>
      </c>
      <c r="D1457" s="459"/>
      <c r="E1457" s="450"/>
      <c r="F1457" s="450"/>
      <c r="G1457" s="450"/>
      <c r="H1457" s="450"/>
      <c r="I1457" s="450"/>
      <c r="J1457" s="450"/>
      <c r="M1457" s="356"/>
      <c r="N1457" s="356"/>
      <c r="O1457" s="371">
        <f>Criteria!F189</f>
        <v>0</v>
      </c>
      <c r="P1457" s="356"/>
      <c r="R1457" s="348" t="str">
        <f t="shared" si="73"/>
        <v>DELETE</v>
      </c>
    </row>
    <row r="1458" spans="2:18" ht="36" customHeight="1" x14ac:dyDescent="0.5">
      <c r="B1458" s="354"/>
      <c r="C1458" s="450">
        <f>Criteria!C190</f>
        <v>0</v>
      </c>
      <c r="D1458" s="459"/>
      <c r="E1458" s="450"/>
      <c r="F1458" s="450"/>
      <c r="G1458" s="450"/>
      <c r="H1458" s="450"/>
      <c r="I1458" s="450"/>
      <c r="J1458" s="450"/>
      <c r="M1458" s="356"/>
      <c r="N1458" s="356"/>
      <c r="O1458" s="371">
        <f>Criteria!F190</f>
        <v>0</v>
      </c>
      <c r="P1458" s="356"/>
      <c r="R1458" s="348" t="str">
        <f t="shared" si="73"/>
        <v>DELETE</v>
      </c>
    </row>
    <row r="1459" spans="2:18" ht="36" customHeight="1" x14ac:dyDescent="0.5">
      <c r="B1459" s="354"/>
      <c r="C1459" s="450">
        <f>Criteria!C191</f>
        <v>0</v>
      </c>
      <c r="D1459" s="459"/>
      <c r="E1459" s="450"/>
      <c r="F1459" s="450"/>
      <c r="G1459" s="450"/>
      <c r="H1459" s="450"/>
      <c r="I1459" s="450"/>
      <c r="J1459" s="450"/>
      <c r="M1459" s="356"/>
      <c r="N1459" s="356"/>
      <c r="O1459" s="371">
        <f>Criteria!F191</f>
        <v>0</v>
      </c>
      <c r="P1459" s="356"/>
      <c r="R1459" s="348" t="str">
        <f t="shared" si="73"/>
        <v>DELETE</v>
      </c>
    </row>
    <row r="1460" spans="2:18" ht="36" customHeight="1" x14ac:dyDescent="0.5">
      <c r="B1460" s="354"/>
      <c r="C1460" s="450">
        <f>Criteria!C192</f>
        <v>0</v>
      </c>
      <c r="D1460" s="459"/>
      <c r="E1460" s="450"/>
      <c r="F1460" s="450"/>
      <c r="G1460" s="450"/>
      <c r="H1460" s="450"/>
      <c r="I1460" s="450"/>
      <c r="J1460" s="450"/>
      <c r="M1460" s="356"/>
      <c r="N1460" s="356"/>
      <c r="O1460" s="371">
        <f>Criteria!F192</f>
        <v>0</v>
      </c>
      <c r="P1460" s="356"/>
      <c r="R1460" s="348" t="str">
        <f t="shared" si="73"/>
        <v>DELETE</v>
      </c>
    </row>
    <row r="1461" spans="2:18" ht="36" customHeight="1" x14ac:dyDescent="0.5">
      <c r="B1461" s="354"/>
      <c r="C1461" s="450">
        <f>Criteria!C193</f>
        <v>0</v>
      </c>
      <c r="D1461" s="459"/>
      <c r="E1461" s="450"/>
      <c r="F1461" s="450"/>
      <c r="G1461" s="450"/>
      <c r="H1461" s="450"/>
      <c r="I1461" s="450"/>
      <c r="J1461" s="450"/>
      <c r="M1461" s="356"/>
      <c r="N1461" s="356"/>
      <c r="O1461" s="371">
        <f>Criteria!F193</f>
        <v>0</v>
      </c>
      <c r="P1461" s="356"/>
      <c r="R1461" s="348" t="str">
        <f t="shared" si="73"/>
        <v>DELETE</v>
      </c>
    </row>
    <row r="1462" spans="2:18" ht="36" customHeight="1" x14ac:dyDescent="0.5">
      <c r="B1462" s="354"/>
      <c r="C1462" s="450">
        <f>Criteria!C194</f>
        <v>0</v>
      </c>
      <c r="D1462" s="459"/>
      <c r="E1462" s="450"/>
      <c r="F1462" s="450"/>
      <c r="G1462" s="450"/>
      <c r="H1462" s="450"/>
      <c r="I1462" s="450"/>
      <c r="J1462" s="450"/>
      <c r="M1462" s="356"/>
      <c r="N1462" s="356"/>
      <c r="O1462" s="371">
        <f>Criteria!F194</f>
        <v>0</v>
      </c>
      <c r="P1462" s="356"/>
      <c r="R1462" s="348" t="str">
        <f t="shared" si="73"/>
        <v>DELETE</v>
      </c>
    </row>
    <row r="1463" spans="2:18" ht="36" customHeight="1" x14ac:dyDescent="0.5">
      <c r="B1463" s="354"/>
      <c r="C1463" s="450">
        <f>Criteria!C195</f>
        <v>0</v>
      </c>
      <c r="D1463" s="459"/>
      <c r="E1463" s="450"/>
      <c r="F1463" s="450"/>
      <c r="G1463" s="450"/>
      <c r="H1463" s="450"/>
      <c r="I1463" s="450"/>
      <c r="J1463" s="450"/>
      <c r="M1463" s="356"/>
      <c r="N1463" s="356"/>
      <c r="O1463" s="371">
        <f>Criteria!F195</f>
        <v>0</v>
      </c>
      <c r="P1463" s="356"/>
      <c r="R1463" s="348" t="str">
        <f t="shared" si="73"/>
        <v>DELETE</v>
      </c>
    </row>
    <row r="1464" spans="2:18" ht="36" customHeight="1" x14ac:dyDescent="0.5">
      <c r="B1464" s="354"/>
      <c r="C1464" s="450">
        <f>Criteria!C196</f>
        <v>0</v>
      </c>
      <c r="D1464" s="459"/>
      <c r="E1464" s="450"/>
      <c r="F1464" s="450"/>
      <c r="G1464" s="450"/>
      <c r="H1464" s="450"/>
      <c r="I1464" s="450"/>
      <c r="J1464" s="450"/>
      <c r="M1464" s="356"/>
      <c r="N1464" s="356"/>
      <c r="O1464" s="371">
        <f>Criteria!F196</f>
        <v>0</v>
      </c>
      <c r="P1464" s="356"/>
      <c r="R1464" s="348" t="str">
        <f t="shared" si="73"/>
        <v>DELETE</v>
      </c>
    </row>
    <row r="1465" spans="2:18" ht="36" customHeight="1" x14ac:dyDescent="0.5">
      <c r="B1465" s="354"/>
      <c r="C1465" s="450">
        <f>Criteria!C197</f>
        <v>0</v>
      </c>
      <c r="D1465" s="459"/>
      <c r="E1465" s="450"/>
      <c r="F1465" s="450"/>
      <c r="G1465" s="450"/>
      <c r="H1465" s="450"/>
      <c r="I1465" s="450"/>
      <c r="J1465" s="450"/>
      <c r="M1465" s="356"/>
      <c r="N1465" s="356"/>
      <c r="O1465" s="371">
        <f>Criteria!F197</f>
        <v>0</v>
      </c>
      <c r="P1465" s="356"/>
      <c r="R1465" s="348" t="str">
        <f t="shared" si="73"/>
        <v>DELETE</v>
      </c>
    </row>
    <row r="1466" spans="2:18" ht="36" customHeight="1" x14ac:dyDescent="0.5">
      <c r="B1466" s="354"/>
      <c r="C1466" s="450">
        <f>Criteria!C198</f>
        <v>0</v>
      </c>
      <c r="D1466" s="459"/>
      <c r="E1466" s="450"/>
      <c r="F1466" s="450"/>
      <c r="G1466" s="450"/>
      <c r="H1466" s="450"/>
      <c r="I1466" s="450"/>
      <c r="J1466" s="450"/>
      <c r="M1466" s="356"/>
      <c r="N1466" s="356"/>
      <c r="O1466" s="371">
        <f>Criteria!F198</f>
        <v>0</v>
      </c>
      <c r="P1466" s="356"/>
      <c r="R1466" s="348" t="str">
        <f t="shared" si="73"/>
        <v>DELETE</v>
      </c>
    </row>
    <row r="1467" spans="2:18" ht="36" customHeight="1" x14ac:dyDescent="0.5">
      <c r="B1467" s="354"/>
      <c r="C1467" s="450">
        <f>Criteria!C199</f>
        <v>0</v>
      </c>
      <c r="D1467" s="459"/>
      <c r="E1467" s="450"/>
      <c r="F1467" s="450"/>
      <c r="G1467" s="450"/>
      <c r="H1467" s="450"/>
      <c r="I1467" s="450"/>
      <c r="J1467" s="450"/>
      <c r="M1467" s="356"/>
      <c r="N1467" s="356"/>
      <c r="O1467" s="371">
        <f>Criteria!F199</f>
        <v>0</v>
      </c>
      <c r="P1467" s="356"/>
      <c r="R1467" s="348" t="str">
        <f t="shared" si="73"/>
        <v>DELETE</v>
      </c>
    </row>
    <row r="1468" spans="2:18" ht="36" customHeight="1" x14ac:dyDescent="0.5">
      <c r="B1468" s="354"/>
      <c r="C1468" s="450">
        <f>Criteria!C200</f>
        <v>0</v>
      </c>
      <c r="D1468" s="459"/>
      <c r="E1468" s="450"/>
      <c r="F1468" s="450"/>
      <c r="G1468" s="450"/>
      <c r="H1468" s="450"/>
      <c r="I1468" s="450"/>
      <c r="J1468" s="450"/>
      <c r="M1468" s="356"/>
      <c r="N1468" s="356"/>
      <c r="O1468" s="371">
        <f>Criteria!F200</f>
        <v>0</v>
      </c>
      <c r="P1468" s="356"/>
      <c r="R1468" s="348" t="str">
        <f t="shared" si="73"/>
        <v>DELETE</v>
      </c>
    </row>
    <row r="1469" spans="2:18" ht="36" customHeight="1" x14ac:dyDescent="0.5">
      <c r="B1469" s="354"/>
      <c r="C1469" s="450">
        <f>Criteria!C201</f>
        <v>0</v>
      </c>
      <c r="D1469" s="459"/>
      <c r="E1469" s="450"/>
      <c r="F1469" s="450"/>
      <c r="G1469" s="450"/>
      <c r="H1469" s="450"/>
      <c r="I1469" s="450"/>
      <c r="J1469" s="450"/>
      <c r="M1469" s="356"/>
      <c r="N1469" s="356"/>
      <c r="O1469" s="371">
        <f>Criteria!F201</f>
        <v>0</v>
      </c>
      <c r="P1469" s="356"/>
      <c r="R1469" s="348" t="str">
        <f t="shared" si="73"/>
        <v>DELETE</v>
      </c>
    </row>
    <row r="1470" spans="2:18" ht="36" customHeight="1" x14ac:dyDescent="0.5">
      <c r="B1470" s="354"/>
      <c r="C1470" s="450">
        <f>Criteria!C202</f>
        <v>0</v>
      </c>
      <c r="D1470" s="459"/>
      <c r="E1470" s="450"/>
      <c r="F1470" s="450"/>
      <c r="G1470" s="450"/>
      <c r="H1470" s="450"/>
      <c r="I1470" s="450"/>
      <c r="J1470" s="450"/>
      <c r="M1470" s="356"/>
      <c r="N1470" s="356"/>
      <c r="O1470" s="371">
        <f>Criteria!F202</f>
        <v>0</v>
      </c>
      <c r="P1470" s="356"/>
      <c r="R1470" s="348" t="str">
        <f t="shared" si="73"/>
        <v>DELETE</v>
      </c>
    </row>
    <row r="1471" spans="2:18" ht="36" customHeight="1" x14ac:dyDescent="0.5">
      <c r="B1471" s="354"/>
      <c r="C1471" s="450">
        <f>Criteria!C203</f>
        <v>0</v>
      </c>
      <c r="D1471" s="459"/>
      <c r="E1471" s="450"/>
      <c r="F1471" s="450"/>
      <c r="G1471" s="450"/>
      <c r="H1471" s="450"/>
      <c r="I1471" s="450"/>
      <c r="J1471" s="450"/>
      <c r="M1471" s="356"/>
      <c r="N1471" s="356"/>
      <c r="O1471" s="371">
        <f>Criteria!F203</f>
        <v>0</v>
      </c>
      <c r="P1471" s="356"/>
      <c r="R1471" s="348" t="str">
        <f t="shared" si="73"/>
        <v>DELETE</v>
      </c>
    </row>
    <row r="1472" spans="2:18" ht="36" customHeight="1" x14ac:dyDescent="0.5">
      <c r="B1472" s="354"/>
      <c r="C1472" s="450">
        <f>Criteria!C204</f>
        <v>0</v>
      </c>
      <c r="D1472" s="459"/>
      <c r="E1472" s="450"/>
      <c r="F1472" s="450"/>
      <c r="G1472" s="450"/>
      <c r="H1472" s="450"/>
      <c r="I1472" s="450"/>
      <c r="J1472" s="450"/>
      <c r="M1472" s="356"/>
      <c r="N1472" s="356"/>
      <c r="O1472" s="371">
        <f>Criteria!F204</f>
        <v>0</v>
      </c>
      <c r="P1472" s="356"/>
      <c r="R1472" s="348" t="str">
        <f t="shared" si="73"/>
        <v>DELETE</v>
      </c>
    </row>
    <row r="1473" spans="2:21" ht="36" customHeight="1" x14ac:dyDescent="0.5">
      <c r="B1473" s="354"/>
      <c r="C1473" s="450">
        <f>Criteria!C205</f>
        <v>0</v>
      </c>
      <c r="D1473" s="459"/>
      <c r="E1473" s="450"/>
      <c r="F1473" s="450"/>
      <c r="G1473" s="450"/>
      <c r="H1473" s="450"/>
      <c r="I1473" s="450"/>
      <c r="J1473" s="450"/>
      <c r="M1473" s="356"/>
      <c r="N1473" s="356"/>
      <c r="O1473" s="371">
        <f>Criteria!F205</f>
        <v>0</v>
      </c>
      <c r="P1473" s="356"/>
      <c r="R1473" s="348" t="str">
        <f t="shared" si="73"/>
        <v>DELETE</v>
      </c>
    </row>
    <row r="1474" spans="2:21" ht="9" customHeight="1" x14ac:dyDescent="0.5">
      <c r="B1474" s="354"/>
      <c r="C1474" s="450"/>
      <c r="D1474" s="450"/>
      <c r="E1474" s="450"/>
      <c r="F1474" s="450"/>
      <c r="G1474" s="450"/>
      <c r="H1474" s="450"/>
      <c r="I1474" s="450"/>
      <c r="J1474" s="450"/>
      <c r="M1474" s="356"/>
      <c r="N1474" s="356"/>
      <c r="O1474" s="361"/>
      <c r="P1474" s="356"/>
      <c r="R1474" s="348" t="str">
        <f>R$1476</f>
        <v>DELETE</v>
      </c>
    </row>
    <row r="1475" spans="2:21" ht="9" customHeight="1" x14ac:dyDescent="0.5">
      <c r="B1475" s="354"/>
      <c r="C1475" s="450"/>
      <c r="D1475" s="450"/>
      <c r="E1475" s="450"/>
      <c r="F1475" s="450"/>
      <c r="G1475" s="450"/>
      <c r="H1475" s="450"/>
      <c r="I1475" s="450"/>
      <c r="J1475" s="450"/>
      <c r="M1475" s="356"/>
      <c r="N1475" s="356"/>
      <c r="O1475" s="356"/>
      <c r="P1475" s="356"/>
      <c r="R1475" s="348" t="str">
        <f>R$1476</f>
        <v>DELETE</v>
      </c>
    </row>
    <row r="1476" spans="2:21" ht="36.75" customHeight="1" x14ac:dyDescent="0.5">
      <c r="B1476" s="354"/>
      <c r="C1476" s="450"/>
      <c r="D1476" s="450"/>
      <c r="E1476" s="450"/>
      <c r="F1476" s="450"/>
      <c r="G1476" s="450"/>
      <c r="H1476" s="450"/>
      <c r="I1476" s="450"/>
      <c r="J1476" s="450"/>
      <c r="M1476" s="356"/>
      <c r="N1476" s="356"/>
      <c r="O1476" s="371">
        <f>SUM(O1436:O1474)</f>
        <v>0</v>
      </c>
      <c r="P1476" s="356"/>
      <c r="R1476" s="348" t="str">
        <f t="shared" ref="R1476" si="74">IF(O1476=0,"DELETE"," ")</f>
        <v>DELETE</v>
      </c>
      <c r="U1476" s="331" t="b">
        <f>O1476=O1410</f>
        <v>1</v>
      </c>
    </row>
    <row r="1477" spans="2:21" ht="9" customHeight="1" thickBot="1" x14ac:dyDescent="0.55000000000000004">
      <c r="B1477" s="354"/>
      <c r="C1477" s="450"/>
      <c r="D1477" s="450"/>
      <c r="E1477" s="450"/>
      <c r="F1477" s="450"/>
      <c r="G1477" s="450"/>
      <c r="H1477" s="450"/>
      <c r="I1477" s="450"/>
      <c r="J1477" s="450"/>
      <c r="M1477" s="356"/>
      <c r="N1477" s="356"/>
      <c r="O1477" s="394"/>
      <c r="P1477" s="356"/>
      <c r="R1477" s="348" t="str">
        <f t="shared" ref="R1477:R1481" si="75">R$1476</f>
        <v>DELETE</v>
      </c>
    </row>
    <row r="1478" spans="2:21" ht="9" customHeight="1" thickTop="1" x14ac:dyDescent="0.5">
      <c r="B1478" s="354"/>
      <c r="C1478" s="450"/>
      <c r="D1478" s="450"/>
      <c r="E1478" s="450"/>
      <c r="F1478" s="450"/>
      <c r="G1478" s="450"/>
      <c r="H1478" s="450"/>
      <c r="I1478" s="450"/>
      <c r="J1478" s="450"/>
      <c r="M1478" s="356"/>
      <c r="N1478" s="356"/>
      <c r="O1478" s="356"/>
      <c r="P1478" s="356"/>
      <c r="R1478" s="348" t="str">
        <f t="shared" si="75"/>
        <v>DELETE</v>
      </c>
    </row>
    <row r="1479" spans="2:21" ht="36" customHeight="1" x14ac:dyDescent="0.5">
      <c r="B1479" s="354"/>
      <c r="C1479" s="450"/>
      <c r="D1479" s="450"/>
      <c r="E1479" s="450"/>
      <c r="F1479" s="450"/>
      <c r="G1479" s="450"/>
      <c r="H1479" s="450"/>
      <c r="I1479" s="450"/>
      <c r="J1479" s="450"/>
      <c r="M1479" s="356"/>
      <c r="N1479" s="356"/>
      <c r="O1479" s="356"/>
      <c r="P1479" s="356"/>
      <c r="R1479" s="348" t="str">
        <f t="shared" si="75"/>
        <v>DELETE</v>
      </c>
    </row>
    <row r="1480" spans="2:21" ht="36" customHeight="1" x14ac:dyDescent="0.5">
      <c r="B1480" s="354"/>
      <c r="C1480" s="450"/>
      <c r="D1480" s="450"/>
      <c r="E1480" s="450"/>
      <c r="F1480" s="450"/>
      <c r="G1480" s="450"/>
      <c r="H1480" s="450"/>
      <c r="I1480" s="450"/>
      <c r="J1480" s="450"/>
      <c r="M1480" s="356"/>
      <c r="N1480" s="356"/>
      <c r="O1480" s="356"/>
      <c r="P1480" s="356"/>
      <c r="R1480" s="348" t="str">
        <f t="shared" si="75"/>
        <v>DELETE</v>
      </c>
    </row>
    <row r="1481" spans="2:21" ht="36" customHeight="1" x14ac:dyDescent="0.5">
      <c r="B1481" s="354"/>
      <c r="C1481" s="450"/>
      <c r="D1481" s="450"/>
      <c r="E1481" s="450"/>
      <c r="F1481" s="450"/>
      <c r="G1481" s="450"/>
      <c r="H1481" s="450"/>
      <c r="I1481" s="450"/>
      <c r="J1481" s="450"/>
      <c r="M1481" s="347"/>
      <c r="O1481" s="347"/>
      <c r="R1481" s="348" t="str">
        <f t="shared" si="75"/>
        <v>DELETE</v>
      </c>
    </row>
    <row r="1482" spans="2:21" ht="36" customHeight="1" x14ac:dyDescent="0.5">
      <c r="B1482" s="354"/>
      <c r="C1482" s="450"/>
      <c r="D1482" s="450"/>
      <c r="E1482" s="450"/>
      <c r="F1482" s="450"/>
      <c r="G1482" s="450"/>
      <c r="H1482" s="450"/>
      <c r="I1482" s="450"/>
      <c r="J1482" s="450"/>
      <c r="M1482" s="347"/>
      <c r="O1482" s="295" t="s">
        <v>89</v>
      </c>
      <c r="Q1482" s="292">
        <f>MAX($Q$105:Q1481)+1</f>
        <v>39</v>
      </c>
      <c r="R1482" s="348" t="str">
        <f t="shared" ref="R1482:R1490" si="76">R$1492</f>
        <v>DELETE</v>
      </c>
    </row>
    <row r="1483" spans="2:21" ht="36" customHeight="1" x14ac:dyDescent="0.5">
      <c r="B1483" s="354"/>
      <c r="C1483" s="450"/>
      <c r="D1483" s="456" t="str">
        <f>Criteria!E9</f>
        <v>HOLDING COMPANY 268 (PROPRIETARY) LIMITED</v>
      </c>
      <c r="E1483" s="450"/>
      <c r="F1483" s="450"/>
      <c r="G1483" s="450"/>
      <c r="H1483" s="450"/>
      <c r="I1483" s="450"/>
      <c r="J1483" s="450"/>
      <c r="M1483" s="347"/>
      <c r="O1483" s="347"/>
      <c r="R1483" s="348" t="str">
        <f t="shared" si="76"/>
        <v>DELETE</v>
      </c>
    </row>
    <row r="1484" spans="2:21" ht="36" customHeight="1" x14ac:dyDescent="0.5">
      <c r="B1484" s="354"/>
      <c r="C1484" s="450"/>
      <c r="D1484" s="456" t="str">
        <f>Criteria!E10</f>
        <v>CONSOLIDATED FINANCIAL STATEMENTS</v>
      </c>
      <c r="E1484" s="450"/>
      <c r="F1484" s="450"/>
      <c r="G1484" s="450"/>
      <c r="H1484" s="450"/>
      <c r="I1484" s="450"/>
      <c r="J1484" s="450"/>
      <c r="M1484" s="347"/>
      <c r="O1484" s="347"/>
      <c r="R1484" s="348" t="str">
        <f>IF(R$1492="DELETE","DELETE",IF(D1484=0,"DELETE"," "))</f>
        <v>DELETE</v>
      </c>
    </row>
    <row r="1485" spans="2:21" ht="36" customHeight="1" x14ac:dyDescent="0.5">
      <c r="B1485" s="354"/>
      <c r="C1485" s="450"/>
      <c r="D1485" s="450"/>
      <c r="E1485" s="450"/>
      <c r="F1485" s="450"/>
      <c r="G1485" s="450"/>
      <c r="H1485" s="450"/>
      <c r="I1485" s="450"/>
      <c r="J1485" s="450"/>
      <c r="M1485" s="347"/>
      <c r="O1485" s="347"/>
      <c r="R1485" s="348" t="str">
        <f t="shared" si="76"/>
        <v>DELETE</v>
      </c>
    </row>
    <row r="1486" spans="2:21" ht="36" customHeight="1" x14ac:dyDescent="0.5">
      <c r="B1486" s="354"/>
      <c r="C1486" s="450"/>
      <c r="D1486" s="456" t="s">
        <v>351</v>
      </c>
      <c r="E1486" s="450"/>
      <c r="F1486" s="450"/>
      <c r="G1486" s="450"/>
      <c r="H1486" s="450"/>
      <c r="I1486" s="450"/>
      <c r="J1486" s="450"/>
      <c r="M1486" s="347"/>
      <c r="O1486" s="347"/>
      <c r="R1486" s="348" t="str">
        <f t="shared" si="76"/>
        <v>DELETE</v>
      </c>
    </row>
    <row r="1487" spans="2:21" ht="36" customHeight="1" x14ac:dyDescent="0.5">
      <c r="B1487" s="354"/>
      <c r="C1487" s="450"/>
      <c r="D1487" s="456" t="str">
        <f>Criteria!E20</f>
        <v>28 FEBRUARY 2025</v>
      </c>
      <c r="E1487" s="450"/>
      <c r="F1487" s="450"/>
      <c r="G1487" s="450"/>
      <c r="H1487" s="450"/>
      <c r="I1487" s="450"/>
      <c r="J1487" s="450" t="s">
        <v>231</v>
      </c>
      <c r="M1487" s="347"/>
      <c r="O1487" s="347"/>
      <c r="R1487" s="348" t="str">
        <f t="shared" si="76"/>
        <v>DELETE</v>
      </c>
    </row>
    <row r="1488" spans="2:21" ht="36" customHeight="1" x14ac:dyDescent="0.5">
      <c r="B1488" s="354"/>
      <c r="C1488" s="450"/>
      <c r="D1488" s="450"/>
      <c r="E1488" s="450"/>
      <c r="F1488" s="450"/>
      <c r="G1488" s="450"/>
      <c r="H1488" s="450"/>
      <c r="I1488" s="450"/>
      <c r="J1488" s="450"/>
      <c r="M1488" s="347"/>
      <c r="O1488" s="347"/>
      <c r="R1488" s="348" t="str">
        <f t="shared" si="76"/>
        <v>DELETE</v>
      </c>
    </row>
    <row r="1489" spans="2:19" ht="36" customHeight="1" x14ac:dyDescent="0.5">
      <c r="B1489" s="368"/>
      <c r="C1489" s="460"/>
      <c r="D1489" s="460"/>
      <c r="E1489" s="460"/>
      <c r="F1489" s="460"/>
      <c r="G1489" s="460"/>
      <c r="H1489" s="460"/>
      <c r="I1489" s="460"/>
      <c r="J1489" s="460"/>
      <c r="K1489" s="364"/>
      <c r="L1489" s="364"/>
      <c r="M1489" s="367"/>
      <c r="N1489" s="367"/>
      <c r="O1489" s="367"/>
      <c r="P1489" s="367"/>
      <c r="Q1489" s="364"/>
      <c r="R1489" s="348" t="str">
        <f t="shared" si="76"/>
        <v>DELETE</v>
      </c>
    </row>
    <row r="1490" spans="2:19" ht="36" customHeight="1" x14ac:dyDescent="0.5">
      <c r="B1490" s="316"/>
      <c r="C1490" s="456"/>
      <c r="D1490" s="450"/>
      <c r="E1490" s="450"/>
      <c r="F1490" s="450"/>
      <c r="G1490" s="450"/>
      <c r="H1490" s="450"/>
      <c r="I1490" s="450"/>
      <c r="J1490" s="450"/>
      <c r="L1490" s="350"/>
      <c r="M1490" s="350"/>
      <c r="N1490" s="345"/>
      <c r="O1490" s="395">
        <f>Criteria!E22</f>
        <v>2025</v>
      </c>
      <c r="P1490" s="356"/>
      <c r="R1490" s="348" t="str">
        <f t="shared" si="76"/>
        <v>DELETE</v>
      </c>
    </row>
    <row r="1491" spans="2:19" ht="36" customHeight="1" x14ac:dyDescent="0.5">
      <c r="B1491" s="316"/>
      <c r="C1491" s="456"/>
      <c r="D1491" s="450"/>
      <c r="E1491" s="450"/>
      <c r="F1491" s="450"/>
      <c r="G1491" s="450"/>
      <c r="H1491" s="450"/>
      <c r="I1491" s="450"/>
      <c r="J1491" s="450"/>
      <c r="L1491" s="350"/>
      <c r="M1491" s="350"/>
      <c r="N1491" s="345"/>
      <c r="O1491" s="395"/>
      <c r="P1491" s="356"/>
      <c r="R1491" s="348" t="str">
        <f>R$1492</f>
        <v>DELETE</v>
      </c>
    </row>
    <row r="1492" spans="2:19" ht="36" customHeight="1" x14ac:dyDescent="0.5">
      <c r="B1492" s="316">
        <f>MAX(B$602:B1491)+1</f>
        <v>11</v>
      </c>
      <c r="C1492" s="456" t="s">
        <v>922</v>
      </c>
      <c r="D1492" s="450"/>
      <c r="E1492" s="450"/>
      <c r="F1492" s="450"/>
      <c r="G1492" s="450"/>
      <c r="H1492" s="450"/>
      <c r="I1492" s="450"/>
      <c r="J1492" s="450"/>
      <c r="L1492" s="350"/>
      <c r="M1492" s="350"/>
      <c r="N1492" s="345"/>
      <c r="O1492" s="356"/>
      <c r="P1492" s="356"/>
      <c r="R1492" s="348" t="str">
        <f>IF(O1560=0,"DELETE"," ")</f>
        <v>DELETE</v>
      </c>
    </row>
    <row r="1493" spans="2:19" ht="36" hidden="1" customHeight="1" x14ac:dyDescent="0.5">
      <c r="B1493" s="316"/>
      <c r="C1493" s="450">
        <f>B1492</f>
        <v>11</v>
      </c>
      <c r="D1493" s="450"/>
      <c r="E1493" s="450"/>
      <c r="F1493" s="450"/>
      <c r="G1493" s="450"/>
      <c r="H1493" s="450"/>
      <c r="I1493" s="450"/>
      <c r="J1493" s="450"/>
      <c r="L1493" s="350"/>
      <c r="M1493" s="350"/>
      <c r="N1493" s="345"/>
      <c r="O1493" s="356"/>
      <c r="P1493" s="356"/>
      <c r="R1493" s="348" t="str">
        <f>IF(O1560=0,"DELETE"," ")</f>
        <v>DELETE</v>
      </c>
    </row>
    <row r="1494" spans="2:19" ht="36" customHeight="1" x14ac:dyDescent="0.5">
      <c r="B1494" s="316"/>
      <c r="C1494" s="450"/>
      <c r="D1494" s="450"/>
      <c r="E1494" s="450"/>
      <c r="F1494" s="450"/>
      <c r="G1494" s="450"/>
      <c r="H1494" s="450"/>
      <c r="I1494" s="450"/>
      <c r="J1494" s="450"/>
      <c r="L1494" s="350"/>
      <c r="M1494" s="350"/>
      <c r="N1494" s="345"/>
      <c r="O1494" s="356"/>
      <c r="P1494" s="356"/>
      <c r="R1494" s="348" t="str">
        <f>R$1492</f>
        <v>DELETE</v>
      </c>
    </row>
    <row r="1495" spans="2:19" ht="36" customHeight="1" x14ac:dyDescent="0.5">
      <c r="B1495" s="316"/>
      <c r="C1495" s="375">
        <f>MAX(C1492:C1493)+0.1</f>
        <v>11.1</v>
      </c>
      <c r="D1495" s="456" t="s">
        <v>861</v>
      </c>
      <c r="E1495" s="450"/>
      <c r="F1495" s="450"/>
      <c r="G1495" s="450"/>
      <c r="H1495" s="450"/>
      <c r="I1495" s="450"/>
      <c r="J1495" s="450"/>
      <c r="L1495" s="350"/>
      <c r="M1495" s="350"/>
      <c r="N1495" s="345"/>
      <c r="O1495" s="356"/>
      <c r="P1495" s="356"/>
      <c r="R1495" s="348" t="str">
        <f>IF(O1510=0,"DELETE"," ")</f>
        <v>DELETE</v>
      </c>
    </row>
    <row r="1496" spans="2:19" ht="36" customHeight="1" x14ac:dyDescent="0.5">
      <c r="B1496" s="316"/>
      <c r="C1496" s="375"/>
      <c r="D1496" s="456"/>
      <c r="E1496" s="450"/>
      <c r="F1496" s="450"/>
      <c r="G1496" s="450"/>
      <c r="H1496" s="450"/>
      <c r="I1496" s="450"/>
      <c r="J1496" s="450"/>
      <c r="L1496" s="350"/>
      <c r="M1496" s="350"/>
      <c r="N1496" s="345"/>
      <c r="O1496" s="356"/>
      <c r="P1496" s="356"/>
      <c r="R1496" s="348" t="str">
        <f>R1495</f>
        <v>DELETE</v>
      </c>
    </row>
    <row r="1497" spans="2:19" ht="36" customHeight="1" x14ac:dyDescent="0.5">
      <c r="B1497" s="316"/>
      <c r="C1497" s="374"/>
      <c r="D1497" s="450" t="s">
        <v>917</v>
      </c>
      <c r="E1497" s="450"/>
      <c r="F1497" s="450"/>
      <c r="G1497" s="450"/>
      <c r="H1497" s="459"/>
      <c r="I1497" s="450"/>
      <c r="J1497" s="450"/>
      <c r="L1497" s="350"/>
      <c r="M1497" s="350"/>
      <c r="N1497" s="345"/>
      <c r="O1497" s="371">
        <f>SUM(S1500:S1502)</f>
        <v>0</v>
      </c>
      <c r="P1497" s="356"/>
      <c r="R1497" s="348" t="str">
        <f>R$1495</f>
        <v>DELETE</v>
      </c>
    </row>
    <row r="1498" spans="2:19" ht="9" customHeight="1" x14ac:dyDescent="0.5">
      <c r="B1498" s="316"/>
      <c r="C1498" s="374"/>
      <c r="D1498" s="450"/>
      <c r="E1498" s="450"/>
      <c r="F1498" s="450"/>
      <c r="G1498" s="450"/>
      <c r="H1498" s="450"/>
      <c r="I1498" s="450"/>
      <c r="J1498" s="450"/>
      <c r="L1498" s="350"/>
      <c r="M1498" s="350"/>
      <c r="N1498" s="345"/>
      <c r="O1498" s="371"/>
      <c r="P1498" s="356"/>
      <c r="R1498" s="348" t="str">
        <f t="shared" ref="R1498:R1518" si="77">R$1495</f>
        <v>DELETE</v>
      </c>
    </row>
    <row r="1499" spans="2:19" ht="9" customHeight="1" x14ac:dyDescent="0.5">
      <c r="B1499" s="316"/>
      <c r="C1499" s="374"/>
      <c r="D1499" s="450"/>
      <c r="E1499" s="450"/>
      <c r="F1499" s="450"/>
      <c r="G1499" s="450"/>
      <c r="H1499" s="450"/>
      <c r="I1499" s="450"/>
      <c r="J1499" s="450"/>
      <c r="L1499" s="350"/>
      <c r="M1499" s="350"/>
      <c r="N1499" s="345"/>
      <c r="O1499" s="420"/>
      <c r="P1499" s="356"/>
      <c r="R1499" s="348" t="str">
        <f t="shared" si="77"/>
        <v>DELETE</v>
      </c>
    </row>
    <row r="1500" spans="2:19" ht="36" customHeight="1" x14ac:dyDescent="0.5">
      <c r="B1500" s="316"/>
      <c r="C1500" s="374"/>
      <c r="D1500" s="450" t="s">
        <v>352</v>
      </c>
      <c r="E1500" s="450"/>
      <c r="F1500" s="450"/>
      <c r="G1500" s="450"/>
      <c r="H1500" s="450"/>
      <c r="I1500" s="450"/>
      <c r="J1500" s="450"/>
      <c r="L1500" s="350"/>
      <c r="M1500" s="350"/>
      <c r="N1500" s="345"/>
      <c r="O1500" s="421">
        <f>TrialBalance!L285</f>
        <v>0</v>
      </c>
      <c r="P1500" s="356"/>
      <c r="R1500" s="348" t="str">
        <f t="shared" si="77"/>
        <v>DELETE</v>
      </c>
      <c r="S1500" s="333">
        <f>O1500</f>
        <v>0</v>
      </c>
    </row>
    <row r="1501" spans="2:19" ht="36" customHeight="1" x14ac:dyDescent="0.5">
      <c r="B1501" s="316"/>
      <c r="C1501" s="374"/>
      <c r="D1501" s="450" t="s">
        <v>1113</v>
      </c>
      <c r="E1501" s="450"/>
      <c r="F1501" s="450"/>
      <c r="G1501" s="450"/>
      <c r="H1501" s="450"/>
      <c r="I1501" s="450"/>
      <c r="J1501" s="450"/>
      <c r="L1501" s="350"/>
      <c r="M1501" s="350"/>
      <c r="N1501" s="345"/>
      <c r="O1501" s="421">
        <f>-TrialBalance!L288</f>
        <v>0</v>
      </c>
      <c r="P1501" s="356"/>
      <c r="R1501" s="348" t="str">
        <f t="shared" si="77"/>
        <v>DELETE</v>
      </c>
      <c r="S1501" s="333">
        <f>-O1501</f>
        <v>0</v>
      </c>
    </row>
    <row r="1502" spans="2:19" ht="36" customHeight="1" x14ac:dyDescent="0.5">
      <c r="B1502" s="316"/>
      <c r="C1502" s="374"/>
      <c r="D1502" s="450" t="s">
        <v>1114</v>
      </c>
      <c r="E1502" s="450"/>
      <c r="F1502" s="450"/>
      <c r="G1502" s="450"/>
      <c r="H1502" s="450"/>
      <c r="I1502" s="450"/>
      <c r="J1502" s="450"/>
      <c r="L1502" s="350"/>
      <c r="M1502" s="350"/>
      <c r="N1502" s="345"/>
      <c r="O1502" s="421">
        <f>-TrialBalance!L291</f>
        <v>0</v>
      </c>
      <c r="P1502" s="356"/>
      <c r="R1502" s="348" t="str">
        <f>IF(O1502=0,"DELETE"," ")</f>
        <v>DELETE</v>
      </c>
      <c r="S1502" s="333">
        <f>-O1502</f>
        <v>0</v>
      </c>
    </row>
    <row r="1503" spans="2:19" ht="9" customHeight="1" x14ac:dyDescent="0.5">
      <c r="B1503" s="316"/>
      <c r="C1503" s="374"/>
      <c r="D1503" s="450"/>
      <c r="E1503" s="450"/>
      <c r="F1503" s="450"/>
      <c r="G1503" s="450"/>
      <c r="H1503" s="450"/>
      <c r="I1503" s="450"/>
      <c r="J1503" s="450"/>
      <c r="L1503" s="350"/>
      <c r="M1503" s="350"/>
      <c r="N1503" s="345"/>
      <c r="O1503" s="422"/>
      <c r="P1503" s="356"/>
      <c r="R1503" s="348" t="str">
        <f t="shared" si="77"/>
        <v>DELETE</v>
      </c>
      <c r="S1503" s="333"/>
    </row>
    <row r="1504" spans="2:19" ht="9" customHeight="1" x14ac:dyDescent="0.5">
      <c r="B1504" s="316"/>
      <c r="C1504" s="374"/>
      <c r="D1504" s="450"/>
      <c r="E1504" s="450"/>
      <c r="F1504" s="450"/>
      <c r="G1504" s="450"/>
      <c r="H1504" s="450"/>
      <c r="I1504" s="450"/>
      <c r="J1504" s="450"/>
      <c r="L1504" s="350"/>
      <c r="M1504" s="350"/>
      <c r="N1504" s="345"/>
      <c r="O1504" s="371"/>
      <c r="P1504" s="356"/>
      <c r="R1504" s="348" t="str">
        <f t="shared" si="77"/>
        <v>DELETE</v>
      </c>
      <c r="S1504" s="333"/>
    </row>
    <row r="1505" spans="2:21" ht="36" customHeight="1" x14ac:dyDescent="0.5">
      <c r="B1505" s="316"/>
      <c r="C1505" s="374"/>
      <c r="D1505" s="450" t="s">
        <v>353</v>
      </c>
      <c r="E1505" s="450"/>
      <c r="F1505" s="450"/>
      <c r="G1505" s="450"/>
      <c r="H1505" s="450"/>
      <c r="I1505" s="450"/>
      <c r="J1505" s="450"/>
      <c r="L1505" s="350"/>
      <c r="M1505" s="350"/>
      <c r="N1505" s="345"/>
      <c r="O1505" s="371">
        <f>TrialBalance!L286</f>
        <v>0</v>
      </c>
      <c r="P1505" s="356"/>
      <c r="R1505" s="348" t="str">
        <f>IF(O1505=0,"DELETE"," ")</f>
        <v>DELETE</v>
      </c>
      <c r="S1505" s="333"/>
    </row>
    <row r="1506" spans="2:21" ht="36" customHeight="1" x14ac:dyDescent="0.5">
      <c r="B1506" s="316"/>
      <c r="C1506" s="374"/>
      <c r="D1506" s="450" t="s">
        <v>918</v>
      </c>
      <c r="E1506" s="450"/>
      <c r="F1506" s="450"/>
      <c r="G1506" s="450"/>
      <c r="H1506" s="450"/>
      <c r="I1506" s="450"/>
      <c r="J1506" s="450"/>
      <c r="L1506" s="350"/>
      <c r="M1506" s="350"/>
      <c r="N1506" s="345"/>
      <c r="O1506" s="371">
        <f>TrialBalance!L289</f>
        <v>0</v>
      </c>
      <c r="P1506" s="356"/>
      <c r="R1506" s="348" t="str">
        <f t="shared" si="77"/>
        <v>DELETE</v>
      </c>
      <c r="S1506" s="333"/>
    </row>
    <row r="1507" spans="2:21" ht="36" customHeight="1" x14ac:dyDescent="0.5">
      <c r="B1507" s="316"/>
      <c r="C1507" s="374"/>
      <c r="D1507" s="450" t="s">
        <v>919</v>
      </c>
      <c r="E1507" s="450"/>
      <c r="F1507" s="450"/>
      <c r="G1507" s="450"/>
      <c r="H1507" s="450"/>
      <c r="I1507" s="450"/>
      <c r="J1507" s="450"/>
      <c r="L1507" s="350"/>
      <c r="M1507" s="350"/>
      <c r="N1507" s="345"/>
      <c r="O1507" s="371">
        <f>TrialBalance!L292</f>
        <v>0</v>
      </c>
      <c r="P1507" s="356"/>
      <c r="R1507" s="348" t="str">
        <f>IF(O1507=0,"DELETE"," ")</f>
        <v>DELETE</v>
      </c>
      <c r="S1507" s="333"/>
    </row>
    <row r="1508" spans="2:21" ht="9" customHeight="1" x14ac:dyDescent="0.5">
      <c r="B1508" s="316"/>
      <c r="C1508" s="374"/>
      <c r="D1508" s="450"/>
      <c r="E1508" s="450"/>
      <c r="F1508" s="450"/>
      <c r="G1508" s="450"/>
      <c r="H1508" s="450"/>
      <c r="I1508" s="450"/>
      <c r="J1508" s="450"/>
      <c r="L1508" s="350"/>
      <c r="M1508" s="350"/>
      <c r="N1508" s="345"/>
      <c r="O1508" s="372"/>
      <c r="P1508" s="356"/>
      <c r="R1508" s="348" t="str">
        <f t="shared" si="77"/>
        <v>DELETE</v>
      </c>
      <c r="S1508" s="333"/>
    </row>
    <row r="1509" spans="2:21" ht="9" customHeight="1" x14ac:dyDescent="0.5">
      <c r="B1509" s="316"/>
      <c r="C1509" s="374"/>
      <c r="D1509" s="450"/>
      <c r="E1509" s="450"/>
      <c r="F1509" s="450"/>
      <c r="G1509" s="450"/>
      <c r="H1509" s="450"/>
      <c r="I1509" s="450"/>
      <c r="J1509" s="450"/>
      <c r="L1509" s="350"/>
      <c r="M1509" s="350"/>
      <c r="N1509" s="345"/>
      <c r="O1509" s="371"/>
      <c r="P1509" s="356"/>
      <c r="R1509" s="348" t="str">
        <f t="shared" si="77"/>
        <v>DELETE</v>
      </c>
      <c r="S1509" s="333"/>
    </row>
    <row r="1510" spans="2:21" ht="36.75" customHeight="1" x14ac:dyDescent="0.5">
      <c r="B1510" s="316"/>
      <c r="C1510" s="374"/>
      <c r="D1510" s="450" t="s">
        <v>920</v>
      </c>
      <c r="E1510" s="450"/>
      <c r="F1510" s="450"/>
      <c r="G1510" s="450"/>
      <c r="H1510" s="450"/>
      <c r="I1510" s="450"/>
      <c r="J1510" s="450"/>
      <c r="L1510" s="350"/>
      <c r="M1510" s="350"/>
      <c r="N1510" s="345"/>
      <c r="O1510" s="371">
        <f>SUM(S1514:S1516)</f>
        <v>0</v>
      </c>
      <c r="P1510" s="356"/>
      <c r="R1510" s="348" t="str">
        <f t="shared" si="77"/>
        <v>DELETE</v>
      </c>
      <c r="S1510" s="333"/>
      <c r="U1510" s="331" t="b">
        <f>O1510=O1497+SUM(O1505:O1507)</f>
        <v>1</v>
      </c>
    </row>
    <row r="1511" spans="2:21" ht="9" customHeight="1" thickBot="1" x14ac:dyDescent="0.55000000000000004">
      <c r="B1511" s="316"/>
      <c r="C1511" s="374"/>
      <c r="D1511" s="450"/>
      <c r="E1511" s="450"/>
      <c r="F1511" s="450"/>
      <c r="G1511" s="450"/>
      <c r="H1511" s="450"/>
      <c r="I1511" s="450"/>
      <c r="J1511" s="450"/>
      <c r="L1511" s="350"/>
      <c r="M1511" s="350"/>
      <c r="N1511" s="345"/>
      <c r="O1511" s="373"/>
      <c r="P1511" s="356"/>
      <c r="R1511" s="348" t="str">
        <f t="shared" si="77"/>
        <v>DELETE</v>
      </c>
      <c r="S1511" s="333"/>
    </row>
    <row r="1512" spans="2:21" ht="9" customHeight="1" thickTop="1" x14ac:dyDescent="0.5">
      <c r="B1512" s="316"/>
      <c r="C1512" s="374"/>
      <c r="D1512" s="450"/>
      <c r="E1512" s="450"/>
      <c r="F1512" s="450"/>
      <c r="G1512" s="450"/>
      <c r="H1512" s="450"/>
      <c r="I1512" s="450"/>
      <c r="J1512" s="450"/>
      <c r="L1512" s="350"/>
      <c r="M1512" s="350"/>
      <c r="N1512" s="345"/>
      <c r="O1512" s="371"/>
      <c r="P1512" s="356"/>
      <c r="R1512" s="348" t="str">
        <f t="shared" si="77"/>
        <v>DELETE</v>
      </c>
      <c r="S1512" s="333"/>
    </row>
    <row r="1513" spans="2:21" ht="9" customHeight="1" x14ac:dyDescent="0.5">
      <c r="B1513" s="316"/>
      <c r="C1513" s="374"/>
      <c r="D1513" s="450"/>
      <c r="E1513" s="450"/>
      <c r="F1513" s="450"/>
      <c r="G1513" s="450"/>
      <c r="H1513" s="450"/>
      <c r="I1513" s="450"/>
      <c r="J1513" s="450"/>
      <c r="L1513" s="350"/>
      <c r="M1513" s="350"/>
      <c r="N1513" s="345"/>
      <c r="O1513" s="420"/>
      <c r="P1513" s="356"/>
      <c r="R1513" s="348" t="str">
        <f t="shared" si="77"/>
        <v>DELETE</v>
      </c>
      <c r="S1513" s="333"/>
    </row>
    <row r="1514" spans="2:21" ht="36" customHeight="1" x14ac:dyDescent="0.5">
      <c r="B1514" s="316"/>
      <c r="C1514" s="374"/>
      <c r="D1514" s="450" t="s">
        <v>352</v>
      </c>
      <c r="E1514" s="450"/>
      <c r="F1514" s="450"/>
      <c r="G1514" s="450"/>
      <c r="H1514" s="450"/>
      <c r="I1514" s="450"/>
      <c r="J1514" s="450"/>
      <c r="L1514" s="350"/>
      <c r="M1514" s="350"/>
      <c r="N1514" s="345"/>
      <c r="O1514" s="421">
        <f>TrialBalance!L285+TrialBalance!L286</f>
        <v>0</v>
      </c>
      <c r="P1514" s="356"/>
      <c r="R1514" s="348" t="str">
        <f t="shared" si="77"/>
        <v>DELETE</v>
      </c>
      <c r="S1514" s="333">
        <f>O1514</f>
        <v>0</v>
      </c>
    </row>
    <row r="1515" spans="2:21" ht="36" customHeight="1" x14ac:dyDescent="0.5">
      <c r="B1515" s="316"/>
      <c r="C1515" s="374"/>
      <c r="D1515" s="450" t="s">
        <v>1113</v>
      </c>
      <c r="E1515" s="450"/>
      <c r="F1515" s="450"/>
      <c r="G1515" s="450"/>
      <c r="H1515" s="450"/>
      <c r="I1515" s="450"/>
      <c r="J1515" s="450"/>
      <c r="L1515" s="350"/>
      <c r="M1515" s="350"/>
      <c r="N1515" s="345"/>
      <c r="O1515" s="421">
        <f>-TrialBalance!L288-TrialBalance!L289</f>
        <v>0</v>
      </c>
      <c r="P1515" s="356"/>
      <c r="R1515" s="348" t="str">
        <f t="shared" si="77"/>
        <v>DELETE</v>
      </c>
      <c r="S1515" s="333">
        <f>-O1515</f>
        <v>0</v>
      </c>
    </row>
    <row r="1516" spans="2:21" ht="36" customHeight="1" x14ac:dyDescent="0.5">
      <c r="B1516" s="316"/>
      <c r="C1516" s="374"/>
      <c r="D1516" s="450" t="s">
        <v>1114</v>
      </c>
      <c r="E1516" s="450"/>
      <c r="F1516" s="450"/>
      <c r="G1516" s="450"/>
      <c r="H1516" s="450"/>
      <c r="I1516" s="450"/>
      <c r="J1516" s="450"/>
      <c r="L1516" s="350"/>
      <c r="M1516" s="350"/>
      <c r="N1516" s="345"/>
      <c r="O1516" s="421">
        <f>-TrialBalance!L291-TrialBalance!L292</f>
        <v>0</v>
      </c>
      <c r="P1516" s="356"/>
      <c r="R1516" s="348" t="str">
        <f>IF(O1516=0,"DELETE"," ")</f>
        <v>DELETE</v>
      </c>
      <c r="S1516" s="333">
        <f>-O1516</f>
        <v>0</v>
      </c>
    </row>
    <row r="1517" spans="2:21" ht="9" customHeight="1" x14ac:dyDescent="0.5">
      <c r="B1517" s="316"/>
      <c r="C1517" s="374"/>
      <c r="D1517" s="450"/>
      <c r="E1517" s="450"/>
      <c r="F1517" s="450"/>
      <c r="G1517" s="450"/>
      <c r="H1517" s="450"/>
      <c r="I1517" s="450"/>
      <c r="J1517" s="450"/>
      <c r="L1517" s="350"/>
      <c r="M1517" s="350"/>
      <c r="N1517" s="345"/>
      <c r="O1517" s="422"/>
      <c r="P1517" s="356"/>
      <c r="R1517" s="348" t="str">
        <f t="shared" si="77"/>
        <v>DELETE</v>
      </c>
      <c r="S1517" s="333"/>
    </row>
    <row r="1518" spans="2:21" ht="9" customHeight="1" x14ac:dyDescent="0.5">
      <c r="B1518" s="316"/>
      <c r="C1518" s="374"/>
      <c r="D1518" s="450"/>
      <c r="E1518" s="450"/>
      <c r="F1518" s="450"/>
      <c r="G1518" s="450"/>
      <c r="H1518" s="450"/>
      <c r="I1518" s="450"/>
      <c r="J1518" s="450"/>
      <c r="L1518" s="350"/>
      <c r="M1518" s="350"/>
      <c r="N1518" s="345"/>
      <c r="O1518" s="371"/>
      <c r="P1518" s="356"/>
      <c r="R1518" s="348" t="str">
        <f t="shared" si="77"/>
        <v>DELETE</v>
      </c>
      <c r="S1518" s="333"/>
    </row>
    <row r="1519" spans="2:21" ht="36" customHeight="1" x14ac:dyDescent="0.5">
      <c r="B1519" s="316"/>
      <c r="C1519" s="374"/>
      <c r="D1519" s="450"/>
      <c r="E1519" s="450"/>
      <c r="F1519" s="450"/>
      <c r="G1519" s="450"/>
      <c r="H1519" s="450"/>
      <c r="I1519" s="450"/>
      <c r="J1519" s="450"/>
      <c r="L1519" s="350"/>
      <c r="M1519" s="350"/>
      <c r="N1519" s="345"/>
      <c r="O1519" s="371"/>
      <c r="P1519" s="356"/>
      <c r="R1519" s="348" t="str">
        <f>IF(R1495="DELETE","DELETE",IF(R1533="DELETE","DELETE"," "))</f>
        <v>DELETE</v>
      </c>
      <c r="S1519" s="333"/>
    </row>
    <row r="1520" spans="2:21" ht="36" customHeight="1" x14ac:dyDescent="0.5">
      <c r="B1520" s="316"/>
      <c r="C1520" s="374"/>
      <c r="D1520" s="450"/>
      <c r="E1520" s="450"/>
      <c r="F1520" s="450"/>
      <c r="G1520" s="450"/>
      <c r="H1520" s="450"/>
      <c r="I1520" s="450"/>
      <c r="J1520" s="450"/>
      <c r="L1520" s="350"/>
      <c r="M1520" s="350"/>
      <c r="N1520" s="345"/>
      <c r="O1520" s="371"/>
      <c r="P1520" s="356"/>
      <c r="R1520" s="348" t="str">
        <f>R$1519</f>
        <v>DELETE</v>
      </c>
      <c r="S1520" s="333"/>
    </row>
    <row r="1521" spans="2:19" ht="36" customHeight="1" x14ac:dyDescent="0.5">
      <c r="B1521" s="316"/>
      <c r="C1521" s="374"/>
      <c r="D1521" s="450"/>
      <c r="E1521" s="450"/>
      <c r="F1521" s="450"/>
      <c r="G1521" s="450"/>
      <c r="H1521" s="450"/>
      <c r="I1521" s="450"/>
      <c r="J1521" s="450"/>
      <c r="L1521" s="350"/>
      <c r="M1521" s="350"/>
      <c r="N1521" s="345"/>
      <c r="O1521" s="371"/>
      <c r="P1521" s="356"/>
      <c r="R1521" s="348" t="str">
        <f t="shared" ref="R1521:R1522" si="78">R$1519</f>
        <v>DELETE</v>
      </c>
      <c r="S1521" s="333"/>
    </row>
    <row r="1522" spans="2:19" ht="36" customHeight="1" x14ac:dyDescent="0.5">
      <c r="B1522" s="316"/>
      <c r="C1522" s="374"/>
      <c r="D1522" s="450"/>
      <c r="E1522" s="450"/>
      <c r="F1522" s="450"/>
      <c r="G1522" s="450"/>
      <c r="H1522" s="450"/>
      <c r="I1522" s="450"/>
      <c r="J1522" s="450"/>
      <c r="L1522" s="350"/>
      <c r="M1522" s="350"/>
      <c r="N1522" s="345"/>
      <c r="O1522" s="371"/>
      <c r="P1522" s="356"/>
      <c r="R1522" s="348" t="str">
        <f t="shared" si="78"/>
        <v>DELETE</v>
      </c>
      <c r="S1522" s="333"/>
    </row>
    <row r="1523" spans="2:19" ht="36" customHeight="1" x14ac:dyDescent="0.5">
      <c r="B1523" s="316"/>
      <c r="C1523" s="374"/>
      <c r="D1523" s="450"/>
      <c r="E1523" s="450"/>
      <c r="F1523" s="450"/>
      <c r="G1523" s="450"/>
      <c r="H1523" s="450"/>
      <c r="I1523" s="450"/>
      <c r="J1523" s="450"/>
      <c r="L1523" s="350"/>
      <c r="M1523" s="350"/>
      <c r="N1523" s="345"/>
      <c r="O1523" s="295" t="s">
        <v>89</v>
      </c>
      <c r="Q1523" s="292">
        <f>MAX($Q$105:Q1522)+1</f>
        <v>40</v>
      </c>
      <c r="R1523" s="348" t="str">
        <f>IF(R1533="DELETE","DELETE",IF(R1495="DELETE","DELETE"," "))</f>
        <v>DELETE</v>
      </c>
      <c r="S1523" s="333"/>
    </row>
    <row r="1524" spans="2:19" ht="36" customHeight="1" x14ac:dyDescent="0.5">
      <c r="B1524" s="316"/>
      <c r="C1524" s="374"/>
      <c r="D1524" s="456" t="str">
        <f>Criteria!E9</f>
        <v>HOLDING COMPANY 268 (PROPRIETARY) LIMITED</v>
      </c>
      <c r="E1524" s="450"/>
      <c r="F1524" s="450"/>
      <c r="G1524" s="450"/>
      <c r="H1524" s="450"/>
      <c r="I1524" s="450"/>
      <c r="J1524" s="450"/>
      <c r="M1524" s="347"/>
      <c r="O1524" s="347"/>
      <c r="R1524" s="348" t="str">
        <f>R$1523</f>
        <v>DELETE</v>
      </c>
      <c r="S1524" s="333"/>
    </row>
    <row r="1525" spans="2:19" ht="36" customHeight="1" x14ac:dyDescent="0.5">
      <c r="B1525" s="316"/>
      <c r="C1525" s="374"/>
      <c r="D1525" s="456" t="str">
        <f>Criteria!E10</f>
        <v>CONSOLIDATED FINANCIAL STATEMENTS</v>
      </c>
      <c r="E1525" s="450"/>
      <c r="F1525" s="450"/>
      <c r="G1525" s="450"/>
      <c r="H1525" s="450"/>
      <c r="I1525" s="450"/>
      <c r="J1525" s="450"/>
      <c r="M1525" s="347"/>
      <c r="O1525" s="347"/>
      <c r="R1525" s="348" t="str">
        <f>IF(R$1523="DELETE","DELETE",IF(D1525=0,"DELETE"," "))</f>
        <v>DELETE</v>
      </c>
      <c r="S1525" s="333"/>
    </row>
    <row r="1526" spans="2:19" ht="36" customHeight="1" x14ac:dyDescent="0.5">
      <c r="B1526" s="316"/>
      <c r="C1526" s="374"/>
      <c r="D1526" s="450"/>
      <c r="E1526" s="450"/>
      <c r="F1526" s="450"/>
      <c r="G1526" s="450"/>
      <c r="H1526" s="450"/>
      <c r="I1526" s="450"/>
      <c r="J1526" s="450"/>
      <c r="M1526" s="347"/>
      <c r="O1526" s="347"/>
      <c r="R1526" s="348" t="str">
        <f t="shared" ref="R1526:R1532" si="79">R$1523</f>
        <v>DELETE</v>
      </c>
      <c r="S1526" s="333"/>
    </row>
    <row r="1527" spans="2:19" ht="36" customHeight="1" x14ac:dyDescent="0.5">
      <c r="B1527" s="316"/>
      <c r="C1527" s="374"/>
      <c r="D1527" s="456" t="s">
        <v>351</v>
      </c>
      <c r="E1527" s="450"/>
      <c r="F1527" s="450"/>
      <c r="G1527" s="450"/>
      <c r="H1527" s="450"/>
      <c r="I1527" s="450"/>
      <c r="J1527" s="450"/>
      <c r="M1527" s="347"/>
      <c r="O1527" s="347"/>
      <c r="R1527" s="348" t="str">
        <f t="shared" si="79"/>
        <v>DELETE</v>
      </c>
      <c r="S1527" s="333"/>
    </row>
    <row r="1528" spans="2:19" ht="36" customHeight="1" x14ac:dyDescent="0.5">
      <c r="B1528" s="316"/>
      <c r="C1528" s="374"/>
      <c r="D1528" s="456" t="str">
        <f>Criteria!E20</f>
        <v>28 FEBRUARY 2025</v>
      </c>
      <c r="E1528" s="450"/>
      <c r="F1528" s="450"/>
      <c r="G1528" s="450"/>
      <c r="H1528" s="450"/>
      <c r="I1528" s="450"/>
      <c r="J1528" s="450" t="s">
        <v>231</v>
      </c>
      <c r="M1528" s="347"/>
      <c r="O1528" s="347"/>
      <c r="R1528" s="348" t="str">
        <f t="shared" si="79"/>
        <v>DELETE</v>
      </c>
      <c r="S1528" s="333"/>
    </row>
    <row r="1529" spans="2:19" ht="36" customHeight="1" x14ac:dyDescent="0.5">
      <c r="B1529" s="316"/>
      <c r="C1529" s="374"/>
      <c r="D1529" s="450"/>
      <c r="E1529" s="450"/>
      <c r="F1529" s="450"/>
      <c r="G1529" s="450"/>
      <c r="H1529" s="450"/>
      <c r="I1529" s="450"/>
      <c r="J1529" s="450"/>
      <c r="L1529" s="350"/>
      <c r="M1529" s="350"/>
      <c r="N1529" s="345"/>
      <c r="O1529" s="371"/>
      <c r="P1529" s="356"/>
      <c r="R1529" s="348" t="str">
        <f t="shared" si="79"/>
        <v>DELETE</v>
      </c>
      <c r="S1529" s="333"/>
    </row>
    <row r="1530" spans="2:19" ht="36" customHeight="1" x14ac:dyDescent="0.5">
      <c r="B1530" s="447"/>
      <c r="C1530" s="376"/>
      <c r="D1530" s="460"/>
      <c r="E1530" s="460"/>
      <c r="F1530" s="460"/>
      <c r="G1530" s="460"/>
      <c r="H1530" s="460"/>
      <c r="I1530" s="460"/>
      <c r="J1530" s="460"/>
      <c r="K1530" s="364"/>
      <c r="L1530" s="396"/>
      <c r="M1530" s="396"/>
      <c r="N1530" s="364"/>
      <c r="O1530" s="378"/>
      <c r="P1530" s="367"/>
      <c r="Q1530" s="364"/>
      <c r="R1530" s="348" t="str">
        <f t="shared" si="79"/>
        <v>DELETE</v>
      </c>
      <c r="S1530" s="333"/>
    </row>
    <row r="1531" spans="2:19" ht="36" customHeight="1" x14ac:dyDescent="0.5">
      <c r="B1531" s="316"/>
      <c r="C1531" s="374"/>
      <c r="D1531" s="450"/>
      <c r="E1531" s="450"/>
      <c r="F1531" s="450"/>
      <c r="G1531" s="450"/>
      <c r="H1531" s="450"/>
      <c r="I1531" s="450"/>
      <c r="J1531" s="450"/>
      <c r="L1531" s="350"/>
      <c r="M1531" s="350"/>
      <c r="N1531" s="345"/>
      <c r="O1531" s="395">
        <f>Criteria!E22</f>
        <v>2025</v>
      </c>
      <c r="P1531" s="356"/>
      <c r="R1531" s="348" t="str">
        <f t="shared" si="79"/>
        <v>DELETE</v>
      </c>
      <c r="S1531" s="333"/>
    </row>
    <row r="1532" spans="2:19" ht="36" customHeight="1" x14ac:dyDescent="0.5">
      <c r="B1532" s="316"/>
      <c r="C1532" s="374"/>
      <c r="D1532" s="450"/>
      <c r="E1532" s="450"/>
      <c r="F1532" s="450"/>
      <c r="G1532" s="450"/>
      <c r="H1532" s="450"/>
      <c r="I1532" s="450"/>
      <c r="J1532" s="450"/>
      <c r="L1532" s="350"/>
      <c r="M1532" s="350"/>
      <c r="N1532" s="345"/>
      <c r="O1532" s="371"/>
      <c r="P1532" s="356"/>
      <c r="R1532" s="348" t="str">
        <f t="shared" si="79"/>
        <v>DELETE</v>
      </c>
      <c r="S1532" s="333"/>
    </row>
    <row r="1533" spans="2:19" ht="36" customHeight="1" x14ac:dyDescent="0.5">
      <c r="B1533" s="316"/>
      <c r="C1533" s="375">
        <f>MAX(C1492:C1532)+0.1</f>
        <v>11.2</v>
      </c>
      <c r="D1533" s="456" t="s">
        <v>1065</v>
      </c>
      <c r="E1533" s="450"/>
      <c r="F1533" s="450"/>
      <c r="G1533" s="450"/>
      <c r="H1533" s="450"/>
      <c r="I1533" s="450"/>
      <c r="J1533" s="450"/>
      <c r="L1533" s="350"/>
      <c r="M1533" s="350"/>
      <c r="N1533" s="345"/>
      <c r="O1533" s="371"/>
      <c r="P1533" s="356"/>
      <c r="R1533" s="348" t="str">
        <f>IF(O1548=0,"DELETE"," ")</f>
        <v>DELETE</v>
      </c>
      <c r="S1533" s="333"/>
    </row>
    <row r="1534" spans="2:19" ht="36" customHeight="1" x14ac:dyDescent="0.5">
      <c r="B1534" s="316"/>
      <c r="C1534" s="375"/>
      <c r="D1534" s="456"/>
      <c r="E1534" s="450"/>
      <c r="F1534" s="450"/>
      <c r="G1534" s="450"/>
      <c r="H1534" s="450"/>
      <c r="I1534" s="450"/>
      <c r="J1534" s="450"/>
      <c r="L1534" s="350"/>
      <c r="M1534" s="350"/>
      <c r="N1534" s="345"/>
      <c r="O1534" s="371"/>
      <c r="P1534" s="356"/>
      <c r="R1534" s="348" t="str">
        <f>R1533</f>
        <v>DELETE</v>
      </c>
      <c r="S1534" s="333"/>
    </row>
    <row r="1535" spans="2:19" ht="36" customHeight="1" x14ac:dyDescent="0.5">
      <c r="B1535" s="316"/>
      <c r="C1535" s="375"/>
      <c r="D1535" s="450" t="s">
        <v>917</v>
      </c>
      <c r="E1535" s="450"/>
      <c r="F1535" s="450"/>
      <c r="G1535" s="450"/>
      <c r="H1535" s="459"/>
      <c r="I1535" s="450"/>
      <c r="J1535" s="450"/>
      <c r="L1535" s="350"/>
      <c r="M1535" s="350"/>
      <c r="N1535" s="345"/>
      <c r="O1535" s="371">
        <f>SUM(S1538:S1540)</f>
        <v>0</v>
      </c>
      <c r="P1535" s="356"/>
      <c r="R1535" s="348" t="str">
        <f>R$1533</f>
        <v>DELETE</v>
      </c>
      <c r="S1535" s="333"/>
    </row>
    <row r="1536" spans="2:19" ht="9" customHeight="1" x14ac:dyDescent="0.5">
      <c r="B1536" s="316"/>
      <c r="C1536" s="375"/>
      <c r="D1536" s="450"/>
      <c r="E1536" s="450"/>
      <c r="F1536" s="450"/>
      <c r="G1536" s="450"/>
      <c r="H1536" s="450"/>
      <c r="I1536" s="450"/>
      <c r="J1536" s="450"/>
      <c r="L1536" s="350"/>
      <c r="M1536" s="350"/>
      <c r="N1536" s="345"/>
      <c r="O1536" s="371"/>
      <c r="P1536" s="356"/>
      <c r="R1536" s="348" t="str">
        <f t="shared" ref="R1536:R1557" si="80">R$1533</f>
        <v>DELETE</v>
      </c>
      <c r="S1536" s="333"/>
    </row>
    <row r="1537" spans="2:21" ht="9" customHeight="1" x14ac:dyDescent="0.5">
      <c r="B1537" s="316"/>
      <c r="C1537" s="375"/>
      <c r="D1537" s="450"/>
      <c r="E1537" s="450"/>
      <c r="F1537" s="450"/>
      <c r="G1537" s="450"/>
      <c r="H1537" s="450"/>
      <c r="I1537" s="450"/>
      <c r="J1537" s="450"/>
      <c r="L1537" s="350"/>
      <c r="M1537" s="350"/>
      <c r="N1537" s="345"/>
      <c r="O1537" s="420"/>
      <c r="P1537" s="356"/>
      <c r="R1537" s="348" t="str">
        <f t="shared" si="80"/>
        <v>DELETE</v>
      </c>
      <c r="S1537" s="333"/>
    </row>
    <row r="1538" spans="2:21" ht="36" customHeight="1" x14ac:dyDescent="0.5">
      <c r="B1538" s="316"/>
      <c r="C1538" s="375"/>
      <c r="D1538" s="450" t="s">
        <v>352</v>
      </c>
      <c r="E1538" s="450"/>
      <c r="F1538" s="450"/>
      <c r="G1538" s="450"/>
      <c r="H1538" s="450"/>
      <c r="I1538" s="450"/>
      <c r="J1538" s="450"/>
      <c r="L1538" s="350"/>
      <c r="M1538" s="350"/>
      <c r="N1538" s="345"/>
      <c r="O1538" s="421">
        <f>TrialBalance!L294</f>
        <v>0</v>
      </c>
      <c r="P1538" s="356"/>
      <c r="R1538" s="348" t="str">
        <f t="shared" si="80"/>
        <v>DELETE</v>
      </c>
      <c r="S1538" s="333">
        <f>O1538</f>
        <v>0</v>
      </c>
    </row>
    <row r="1539" spans="2:21" ht="36" customHeight="1" x14ac:dyDescent="0.5">
      <c r="B1539" s="316"/>
      <c r="C1539" s="375"/>
      <c r="D1539" s="450" t="s">
        <v>1113</v>
      </c>
      <c r="E1539" s="450"/>
      <c r="F1539" s="450"/>
      <c r="G1539" s="450"/>
      <c r="H1539" s="450"/>
      <c r="I1539" s="450"/>
      <c r="J1539" s="450"/>
      <c r="L1539" s="350"/>
      <c r="M1539" s="350"/>
      <c r="N1539" s="345"/>
      <c r="O1539" s="421">
        <f>-TrialBalance!L297</f>
        <v>0</v>
      </c>
      <c r="P1539" s="356"/>
      <c r="R1539" s="348" t="str">
        <f t="shared" si="80"/>
        <v>DELETE</v>
      </c>
      <c r="S1539" s="333">
        <f>-O1539</f>
        <v>0</v>
      </c>
    </row>
    <row r="1540" spans="2:21" ht="36" customHeight="1" x14ac:dyDescent="0.5">
      <c r="B1540" s="316"/>
      <c r="C1540" s="375"/>
      <c r="D1540" s="450" t="s">
        <v>1114</v>
      </c>
      <c r="E1540" s="450"/>
      <c r="F1540" s="450"/>
      <c r="G1540" s="450"/>
      <c r="H1540" s="450"/>
      <c r="I1540" s="450"/>
      <c r="J1540" s="450"/>
      <c r="L1540" s="350"/>
      <c r="M1540" s="350"/>
      <c r="N1540" s="345"/>
      <c r="O1540" s="421">
        <f>-TrialBalance!L300</f>
        <v>0</v>
      </c>
      <c r="P1540" s="356"/>
      <c r="R1540" s="348" t="str">
        <f>IF(O1540=0,"DELETE"," ")</f>
        <v>DELETE</v>
      </c>
      <c r="S1540" s="333">
        <f>-O1540</f>
        <v>0</v>
      </c>
    </row>
    <row r="1541" spans="2:21" ht="9" customHeight="1" x14ac:dyDescent="0.5">
      <c r="B1541" s="316"/>
      <c r="C1541" s="375"/>
      <c r="D1541" s="450"/>
      <c r="E1541" s="450"/>
      <c r="F1541" s="450"/>
      <c r="G1541" s="450"/>
      <c r="H1541" s="450"/>
      <c r="I1541" s="450"/>
      <c r="J1541" s="450"/>
      <c r="L1541" s="350"/>
      <c r="M1541" s="350"/>
      <c r="N1541" s="345"/>
      <c r="O1541" s="422"/>
      <c r="P1541" s="356"/>
      <c r="R1541" s="348" t="str">
        <f t="shared" si="80"/>
        <v>DELETE</v>
      </c>
      <c r="S1541" s="333"/>
    </row>
    <row r="1542" spans="2:21" ht="9" customHeight="1" x14ac:dyDescent="0.5">
      <c r="B1542" s="316"/>
      <c r="C1542" s="375"/>
      <c r="D1542" s="450"/>
      <c r="E1542" s="450"/>
      <c r="F1542" s="450"/>
      <c r="G1542" s="450"/>
      <c r="H1542" s="450"/>
      <c r="I1542" s="450"/>
      <c r="J1542" s="450"/>
      <c r="L1542" s="350"/>
      <c r="M1542" s="350"/>
      <c r="N1542" s="345"/>
      <c r="O1542" s="371"/>
      <c r="P1542" s="356"/>
      <c r="R1542" s="348" t="str">
        <f t="shared" si="80"/>
        <v>DELETE</v>
      </c>
      <c r="S1542" s="333"/>
    </row>
    <row r="1543" spans="2:21" ht="36" customHeight="1" x14ac:dyDescent="0.5">
      <c r="B1543" s="316"/>
      <c r="C1543" s="375"/>
      <c r="D1543" s="450" t="s">
        <v>353</v>
      </c>
      <c r="E1543" s="450"/>
      <c r="F1543" s="450"/>
      <c r="G1543" s="450"/>
      <c r="H1543" s="450"/>
      <c r="I1543" s="450"/>
      <c r="J1543" s="450"/>
      <c r="L1543" s="350"/>
      <c r="M1543" s="350"/>
      <c r="N1543" s="345"/>
      <c r="O1543" s="371">
        <f>TrialBalance!L295</f>
        <v>0</v>
      </c>
      <c r="P1543" s="356"/>
      <c r="R1543" s="348" t="str">
        <f>IF(O1543=0,"DELETE"," ")</f>
        <v>DELETE</v>
      </c>
      <c r="S1543" s="333"/>
    </row>
    <row r="1544" spans="2:21" ht="36" customHeight="1" x14ac:dyDescent="0.5">
      <c r="B1544" s="316"/>
      <c r="C1544" s="375"/>
      <c r="D1544" s="450" t="s">
        <v>918</v>
      </c>
      <c r="E1544" s="450"/>
      <c r="F1544" s="450"/>
      <c r="G1544" s="450"/>
      <c r="H1544" s="450"/>
      <c r="I1544" s="450"/>
      <c r="J1544" s="450"/>
      <c r="L1544" s="350"/>
      <c r="M1544" s="350"/>
      <c r="N1544" s="345"/>
      <c r="O1544" s="371">
        <f>TrialBalance!L298</f>
        <v>0</v>
      </c>
      <c r="P1544" s="356"/>
      <c r="R1544" s="348" t="str">
        <f t="shared" si="80"/>
        <v>DELETE</v>
      </c>
      <c r="S1544" s="333"/>
    </row>
    <row r="1545" spans="2:21" ht="36" customHeight="1" x14ac:dyDescent="0.5">
      <c r="B1545" s="316"/>
      <c r="C1545" s="375"/>
      <c r="D1545" s="450" t="s">
        <v>919</v>
      </c>
      <c r="E1545" s="450"/>
      <c r="F1545" s="450"/>
      <c r="G1545" s="450"/>
      <c r="H1545" s="450"/>
      <c r="I1545" s="450"/>
      <c r="J1545" s="450"/>
      <c r="L1545" s="350"/>
      <c r="M1545" s="350"/>
      <c r="N1545" s="345"/>
      <c r="O1545" s="371">
        <f>TrialBalance!L301</f>
        <v>0</v>
      </c>
      <c r="P1545" s="356"/>
      <c r="R1545" s="348" t="str">
        <f>IF(O1545=0,"DELETE"," ")</f>
        <v>DELETE</v>
      </c>
      <c r="S1545" s="333"/>
    </row>
    <row r="1546" spans="2:21" ht="9" customHeight="1" x14ac:dyDescent="0.5">
      <c r="B1546" s="316"/>
      <c r="C1546" s="375"/>
      <c r="D1546" s="450"/>
      <c r="E1546" s="450"/>
      <c r="F1546" s="450"/>
      <c r="G1546" s="450"/>
      <c r="H1546" s="450"/>
      <c r="I1546" s="450"/>
      <c r="J1546" s="450"/>
      <c r="L1546" s="350"/>
      <c r="M1546" s="350"/>
      <c r="N1546" s="345"/>
      <c r="O1546" s="372"/>
      <c r="P1546" s="356"/>
      <c r="R1546" s="348" t="str">
        <f t="shared" si="80"/>
        <v>DELETE</v>
      </c>
      <c r="S1546" s="333"/>
    </row>
    <row r="1547" spans="2:21" ht="9" customHeight="1" x14ac:dyDescent="0.5">
      <c r="B1547" s="316"/>
      <c r="C1547" s="375"/>
      <c r="D1547" s="450"/>
      <c r="E1547" s="450"/>
      <c r="F1547" s="450"/>
      <c r="G1547" s="450"/>
      <c r="H1547" s="450"/>
      <c r="I1547" s="450"/>
      <c r="J1547" s="450"/>
      <c r="L1547" s="350"/>
      <c r="M1547" s="350"/>
      <c r="N1547" s="345"/>
      <c r="O1547" s="371"/>
      <c r="P1547" s="356"/>
      <c r="R1547" s="348" t="str">
        <f t="shared" si="80"/>
        <v>DELETE</v>
      </c>
      <c r="S1547" s="333"/>
    </row>
    <row r="1548" spans="2:21" ht="36.75" customHeight="1" x14ac:dyDescent="0.5">
      <c r="B1548" s="316"/>
      <c r="C1548" s="375"/>
      <c r="D1548" s="450" t="s">
        <v>920</v>
      </c>
      <c r="E1548" s="450"/>
      <c r="F1548" s="450"/>
      <c r="G1548" s="450"/>
      <c r="H1548" s="450"/>
      <c r="I1548" s="450"/>
      <c r="J1548" s="450"/>
      <c r="L1548" s="350"/>
      <c r="M1548" s="350"/>
      <c r="N1548" s="345"/>
      <c r="O1548" s="371">
        <f>SUM(S1552:S1554)</f>
        <v>0</v>
      </c>
      <c r="P1548" s="356"/>
      <c r="R1548" s="348" t="str">
        <f t="shared" si="80"/>
        <v>DELETE</v>
      </c>
      <c r="S1548" s="333"/>
      <c r="U1548" s="331" t="b">
        <f>O1548=O1535+SUM(O1543:O1545)</f>
        <v>1</v>
      </c>
    </row>
    <row r="1549" spans="2:21" ht="9" customHeight="1" thickBot="1" x14ac:dyDescent="0.55000000000000004">
      <c r="B1549" s="316"/>
      <c r="C1549" s="375"/>
      <c r="D1549" s="450"/>
      <c r="E1549" s="450"/>
      <c r="F1549" s="450"/>
      <c r="G1549" s="450"/>
      <c r="H1549" s="450"/>
      <c r="I1549" s="450"/>
      <c r="J1549" s="450"/>
      <c r="L1549" s="350"/>
      <c r="M1549" s="350"/>
      <c r="N1549" s="345"/>
      <c r="O1549" s="373"/>
      <c r="P1549" s="356"/>
      <c r="R1549" s="348" t="str">
        <f t="shared" si="80"/>
        <v>DELETE</v>
      </c>
      <c r="S1549" s="333"/>
    </row>
    <row r="1550" spans="2:21" ht="9" customHeight="1" thickTop="1" x14ac:dyDescent="0.5">
      <c r="B1550" s="316"/>
      <c r="C1550" s="375"/>
      <c r="D1550" s="450"/>
      <c r="E1550" s="450"/>
      <c r="F1550" s="450"/>
      <c r="G1550" s="450"/>
      <c r="H1550" s="450"/>
      <c r="I1550" s="450"/>
      <c r="J1550" s="450"/>
      <c r="L1550" s="350"/>
      <c r="M1550" s="350"/>
      <c r="N1550" s="345"/>
      <c r="O1550" s="371"/>
      <c r="P1550" s="356"/>
      <c r="R1550" s="348" t="str">
        <f t="shared" si="80"/>
        <v>DELETE</v>
      </c>
      <c r="S1550" s="333"/>
    </row>
    <row r="1551" spans="2:21" ht="9" customHeight="1" x14ac:dyDescent="0.5">
      <c r="B1551" s="316"/>
      <c r="C1551" s="375"/>
      <c r="D1551" s="450"/>
      <c r="E1551" s="450"/>
      <c r="F1551" s="450"/>
      <c r="G1551" s="450"/>
      <c r="H1551" s="450"/>
      <c r="I1551" s="450"/>
      <c r="J1551" s="450"/>
      <c r="L1551" s="350"/>
      <c r="M1551" s="350"/>
      <c r="N1551" s="345"/>
      <c r="O1551" s="420"/>
      <c r="P1551" s="356"/>
      <c r="R1551" s="348" t="str">
        <f t="shared" si="80"/>
        <v>DELETE</v>
      </c>
      <c r="S1551" s="333"/>
    </row>
    <row r="1552" spans="2:21" ht="36" customHeight="1" x14ac:dyDescent="0.5">
      <c r="B1552" s="316"/>
      <c r="C1552" s="375"/>
      <c r="D1552" s="450" t="s">
        <v>352</v>
      </c>
      <c r="E1552" s="450"/>
      <c r="F1552" s="450"/>
      <c r="G1552" s="450"/>
      <c r="H1552" s="450"/>
      <c r="I1552" s="450"/>
      <c r="J1552" s="450"/>
      <c r="L1552" s="350"/>
      <c r="M1552" s="350"/>
      <c r="N1552" s="345"/>
      <c r="O1552" s="421">
        <f>TrialBalance!L294+TrialBalance!L295</f>
        <v>0</v>
      </c>
      <c r="P1552" s="356"/>
      <c r="R1552" s="348" t="str">
        <f t="shared" si="80"/>
        <v>DELETE</v>
      </c>
      <c r="S1552" s="333">
        <f>O1552</f>
        <v>0</v>
      </c>
    </row>
    <row r="1553" spans="2:19" ht="36" customHeight="1" x14ac:dyDescent="0.5">
      <c r="B1553" s="316"/>
      <c r="C1553" s="375"/>
      <c r="D1553" s="450" t="s">
        <v>1113</v>
      </c>
      <c r="E1553" s="450"/>
      <c r="F1553" s="450"/>
      <c r="G1553" s="450"/>
      <c r="H1553" s="450"/>
      <c r="I1553" s="450"/>
      <c r="J1553" s="450"/>
      <c r="L1553" s="350"/>
      <c r="M1553" s="350"/>
      <c r="N1553" s="345"/>
      <c r="O1553" s="421">
        <f>-TrialBalance!L297-TrialBalance!L298</f>
        <v>0</v>
      </c>
      <c r="P1553" s="356"/>
      <c r="R1553" s="348" t="str">
        <f t="shared" si="80"/>
        <v>DELETE</v>
      </c>
      <c r="S1553" s="333">
        <f>-O1553</f>
        <v>0</v>
      </c>
    </row>
    <row r="1554" spans="2:19" ht="36" customHeight="1" x14ac:dyDescent="0.5">
      <c r="B1554" s="316"/>
      <c r="C1554" s="375"/>
      <c r="D1554" s="450" t="s">
        <v>1114</v>
      </c>
      <c r="E1554" s="450"/>
      <c r="F1554" s="450"/>
      <c r="G1554" s="450"/>
      <c r="H1554" s="450"/>
      <c r="I1554" s="450"/>
      <c r="J1554" s="450"/>
      <c r="L1554" s="350"/>
      <c r="M1554" s="350"/>
      <c r="N1554" s="345"/>
      <c r="O1554" s="421">
        <f>-TrialBalance!L300-TrialBalance!L301</f>
        <v>0</v>
      </c>
      <c r="P1554" s="356"/>
      <c r="R1554" s="348" t="str">
        <f>IF(O1554=0,"DELETE"," ")</f>
        <v>DELETE</v>
      </c>
      <c r="S1554" s="333">
        <f>-O1554</f>
        <v>0</v>
      </c>
    </row>
    <row r="1555" spans="2:19" ht="9" customHeight="1" x14ac:dyDescent="0.5">
      <c r="B1555" s="316"/>
      <c r="C1555" s="375"/>
      <c r="D1555" s="450"/>
      <c r="E1555" s="450"/>
      <c r="F1555" s="450"/>
      <c r="G1555" s="450"/>
      <c r="H1555" s="450"/>
      <c r="I1555" s="450"/>
      <c r="J1555" s="450"/>
      <c r="L1555" s="350"/>
      <c r="M1555" s="350"/>
      <c r="N1555" s="345"/>
      <c r="O1555" s="422"/>
      <c r="P1555" s="356"/>
      <c r="R1555" s="348" t="str">
        <f t="shared" si="80"/>
        <v>DELETE</v>
      </c>
      <c r="S1555" s="333"/>
    </row>
    <row r="1556" spans="2:19" ht="9" customHeight="1" x14ac:dyDescent="0.5">
      <c r="B1556" s="316"/>
      <c r="C1556" s="375"/>
      <c r="D1556" s="450"/>
      <c r="E1556" s="450"/>
      <c r="F1556" s="450"/>
      <c r="G1556" s="450"/>
      <c r="H1556" s="450"/>
      <c r="I1556" s="450"/>
      <c r="J1556" s="450"/>
      <c r="L1556" s="350"/>
      <c r="M1556" s="350"/>
      <c r="N1556" s="345"/>
      <c r="O1556" s="371"/>
      <c r="P1556" s="356"/>
      <c r="R1556" s="348" t="str">
        <f t="shared" si="80"/>
        <v>DELETE</v>
      </c>
    </row>
    <row r="1557" spans="2:19" ht="36.75" customHeight="1" x14ac:dyDescent="0.5">
      <c r="B1557" s="316"/>
      <c r="C1557" s="375"/>
      <c r="D1557" s="450"/>
      <c r="E1557" s="450"/>
      <c r="F1557" s="450"/>
      <c r="G1557" s="450"/>
      <c r="H1557" s="450"/>
      <c r="I1557" s="450"/>
      <c r="J1557" s="450"/>
      <c r="L1557" s="350"/>
      <c r="M1557" s="350"/>
      <c r="N1557" s="345"/>
      <c r="O1557" s="371"/>
      <c r="P1557" s="356"/>
      <c r="R1557" s="348" t="str">
        <f t="shared" si="80"/>
        <v>DELETE</v>
      </c>
    </row>
    <row r="1558" spans="2:19" ht="9" customHeight="1" x14ac:dyDescent="0.5">
      <c r="B1558" s="316"/>
      <c r="C1558" s="375"/>
      <c r="D1558" s="450"/>
      <c r="E1558" s="450"/>
      <c r="F1558" s="450"/>
      <c r="G1558" s="450"/>
      <c r="H1558" s="450"/>
      <c r="I1558" s="450"/>
      <c r="J1558" s="450"/>
      <c r="L1558" s="350"/>
      <c r="M1558" s="350"/>
      <c r="N1558" s="345"/>
      <c r="O1558" s="372"/>
      <c r="P1558" s="356"/>
      <c r="R1558" s="348" t="str">
        <f t="shared" ref="R1558:R1566" si="81">R$1492</f>
        <v>DELETE</v>
      </c>
    </row>
    <row r="1559" spans="2:19" ht="9" customHeight="1" x14ac:dyDescent="0.5">
      <c r="B1559" s="316"/>
      <c r="C1559" s="375"/>
      <c r="D1559" s="450"/>
      <c r="E1559" s="450"/>
      <c r="F1559" s="450"/>
      <c r="G1559" s="450"/>
      <c r="H1559" s="450"/>
      <c r="I1559" s="450"/>
      <c r="J1559" s="450"/>
      <c r="L1559" s="350"/>
      <c r="M1559" s="350"/>
      <c r="N1559" s="345"/>
      <c r="O1559" s="371"/>
      <c r="P1559" s="356"/>
      <c r="R1559" s="348" t="str">
        <f t="shared" si="81"/>
        <v>DELETE</v>
      </c>
    </row>
    <row r="1560" spans="2:19" ht="36.75" customHeight="1" x14ac:dyDescent="0.5">
      <c r="B1560" s="316"/>
      <c r="C1560" s="375"/>
      <c r="D1560" s="450" t="s">
        <v>356</v>
      </c>
      <c r="E1560" s="450"/>
      <c r="F1560" s="450"/>
      <c r="G1560" s="450"/>
      <c r="H1560" s="450"/>
      <c r="I1560" s="450"/>
      <c r="J1560" s="450"/>
      <c r="L1560" s="350"/>
      <c r="M1560" s="350"/>
      <c r="N1560" s="345"/>
      <c r="O1560" s="371">
        <f>SUM(TrialBalance!L285:L301)</f>
        <v>0</v>
      </c>
      <c r="P1560" s="356"/>
      <c r="R1560" s="348" t="str">
        <f t="shared" si="81"/>
        <v>DELETE</v>
      </c>
    </row>
    <row r="1561" spans="2:19" ht="9" customHeight="1" thickBot="1" x14ac:dyDescent="0.55000000000000004">
      <c r="B1561" s="316"/>
      <c r="C1561" s="375"/>
      <c r="D1561" s="450"/>
      <c r="E1561" s="450"/>
      <c r="F1561" s="450"/>
      <c r="G1561" s="450"/>
      <c r="H1561" s="450"/>
      <c r="I1561" s="450"/>
      <c r="J1561" s="450"/>
      <c r="L1561" s="350"/>
      <c r="M1561" s="350"/>
      <c r="N1561" s="345"/>
      <c r="O1561" s="373"/>
      <c r="P1561" s="356"/>
      <c r="R1561" s="348" t="str">
        <f t="shared" si="81"/>
        <v>DELETE</v>
      </c>
    </row>
    <row r="1562" spans="2:19" ht="9" customHeight="1" thickTop="1" x14ac:dyDescent="0.5">
      <c r="B1562" s="316"/>
      <c r="C1562" s="375"/>
      <c r="D1562" s="450"/>
      <c r="E1562" s="450"/>
      <c r="F1562" s="450"/>
      <c r="G1562" s="450"/>
      <c r="H1562" s="450"/>
      <c r="I1562" s="450"/>
      <c r="J1562" s="450"/>
      <c r="L1562" s="350"/>
      <c r="M1562" s="350"/>
      <c r="N1562" s="345"/>
      <c r="O1562" s="371"/>
      <c r="P1562" s="356"/>
      <c r="R1562" s="348" t="str">
        <f t="shared" si="81"/>
        <v>DELETE</v>
      </c>
    </row>
    <row r="1563" spans="2:19" ht="36" customHeight="1" x14ac:dyDescent="0.5">
      <c r="B1563" s="316"/>
      <c r="C1563" s="352"/>
      <c r="D1563" s="450"/>
      <c r="E1563" s="450"/>
      <c r="F1563" s="450"/>
      <c r="G1563" s="450"/>
      <c r="H1563" s="450"/>
      <c r="I1563" s="450"/>
      <c r="J1563" s="450"/>
      <c r="L1563" s="350"/>
      <c r="M1563" s="350"/>
      <c r="N1563" s="345"/>
      <c r="O1563" s="310"/>
      <c r="P1563" s="356"/>
      <c r="R1563" s="348" t="str">
        <f t="shared" si="81"/>
        <v>DELETE</v>
      </c>
    </row>
    <row r="1564" spans="2:19" ht="36" customHeight="1" x14ac:dyDescent="0.5">
      <c r="B1564" s="316"/>
      <c r="C1564" s="352"/>
      <c r="D1564" s="450"/>
      <c r="E1564" s="450"/>
      <c r="F1564" s="450"/>
      <c r="G1564" s="450"/>
      <c r="H1564" s="450"/>
      <c r="I1564" s="450"/>
      <c r="J1564" s="450"/>
      <c r="M1564" s="310"/>
      <c r="N1564" s="310"/>
      <c r="O1564" s="310"/>
      <c r="P1564" s="356"/>
      <c r="R1564" s="348" t="str">
        <f t="shared" si="81"/>
        <v>DELETE</v>
      </c>
    </row>
    <row r="1565" spans="2:19" ht="36" customHeight="1" x14ac:dyDescent="0.5">
      <c r="B1565" s="316"/>
      <c r="C1565" s="352"/>
      <c r="D1565" s="450"/>
      <c r="E1565" s="450"/>
      <c r="F1565" s="450"/>
      <c r="G1565" s="450"/>
      <c r="H1565" s="450"/>
      <c r="I1565" s="450"/>
      <c r="J1565" s="450"/>
      <c r="M1565" s="310"/>
      <c r="N1565" s="310"/>
      <c r="O1565" s="310"/>
      <c r="P1565" s="356"/>
      <c r="R1565" s="348" t="str">
        <f t="shared" si="81"/>
        <v>DELETE</v>
      </c>
    </row>
    <row r="1566" spans="2:19" ht="36" customHeight="1" x14ac:dyDescent="0.5">
      <c r="B1566" s="354"/>
      <c r="D1566" s="450"/>
      <c r="E1566" s="450"/>
      <c r="F1566" s="450"/>
      <c r="G1566" s="450"/>
      <c r="H1566" s="450"/>
      <c r="I1566" s="450"/>
      <c r="J1566" s="450"/>
      <c r="M1566" s="347"/>
      <c r="O1566" s="347"/>
      <c r="R1566" s="348" t="str">
        <f t="shared" si="81"/>
        <v>DELETE</v>
      </c>
    </row>
    <row r="1567" spans="2:19" ht="36" customHeight="1" x14ac:dyDescent="0.5">
      <c r="B1567" s="354"/>
      <c r="D1567" s="450"/>
      <c r="E1567" s="450"/>
      <c r="F1567" s="450"/>
      <c r="G1567" s="450"/>
      <c r="H1567" s="450"/>
      <c r="I1567" s="450"/>
      <c r="J1567" s="450"/>
      <c r="M1567" s="347"/>
      <c r="O1567" s="295" t="s">
        <v>89</v>
      </c>
      <c r="Q1567" s="292">
        <f>MAX($Q$105:Q1566)+1</f>
        <v>41</v>
      </c>
      <c r="R1567" s="348" t="str">
        <f>R$1584</f>
        <v>DELETE</v>
      </c>
    </row>
    <row r="1568" spans="2:19" ht="36" customHeight="1" x14ac:dyDescent="0.5">
      <c r="B1568" s="354"/>
      <c r="D1568" s="456" t="str">
        <f>Criteria!E9</f>
        <v>HOLDING COMPANY 268 (PROPRIETARY) LIMITED</v>
      </c>
      <c r="E1568" s="450"/>
      <c r="F1568" s="450"/>
      <c r="G1568" s="450"/>
      <c r="H1568" s="450"/>
      <c r="I1568" s="450"/>
      <c r="J1568" s="450"/>
      <c r="M1568" s="347"/>
      <c r="O1568" s="347"/>
      <c r="R1568" s="348" t="str">
        <f t="shared" ref="R1568:R1578" si="82">R$1584</f>
        <v>DELETE</v>
      </c>
    </row>
    <row r="1569" spans="2:18" ht="36" customHeight="1" x14ac:dyDescent="0.5">
      <c r="B1569" s="354"/>
      <c r="D1569" s="456" t="str">
        <f>Criteria!E10</f>
        <v>CONSOLIDATED FINANCIAL STATEMENTS</v>
      </c>
      <c r="E1569" s="450"/>
      <c r="F1569" s="450"/>
      <c r="G1569" s="450"/>
      <c r="H1569" s="450"/>
      <c r="I1569" s="450"/>
      <c r="J1569" s="450"/>
      <c r="M1569" s="347"/>
      <c r="O1569" s="347"/>
      <c r="R1569" s="348" t="str">
        <f>IF(R$1584="DELETE","DELETE",IF(D1569=0,"DELETE"," "))</f>
        <v>DELETE</v>
      </c>
    </row>
    <row r="1570" spans="2:18" ht="36" customHeight="1" x14ac:dyDescent="0.5">
      <c r="B1570" s="354"/>
      <c r="D1570" s="450"/>
      <c r="E1570" s="450"/>
      <c r="F1570" s="450"/>
      <c r="G1570" s="450"/>
      <c r="H1570" s="450"/>
      <c r="I1570" s="450"/>
      <c r="J1570" s="450"/>
      <c r="M1570" s="347"/>
      <c r="O1570" s="347"/>
      <c r="R1570" s="348" t="str">
        <f t="shared" si="82"/>
        <v>DELETE</v>
      </c>
    </row>
    <row r="1571" spans="2:18" ht="36" customHeight="1" x14ac:dyDescent="0.5">
      <c r="B1571" s="354"/>
      <c r="D1571" s="456" t="s">
        <v>351</v>
      </c>
      <c r="E1571" s="450"/>
      <c r="F1571" s="450"/>
      <c r="G1571" s="450"/>
      <c r="H1571" s="450"/>
      <c r="I1571" s="450"/>
      <c r="J1571" s="450"/>
      <c r="M1571" s="347"/>
      <c r="O1571" s="347"/>
      <c r="R1571" s="348" t="str">
        <f t="shared" si="82"/>
        <v>DELETE</v>
      </c>
    </row>
    <row r="1572" spans="2:18" ht="36" customHeight="1" x14ac:dyDescent="0.5">
      <c r="B1572" s="354"/>
      <c r="D1572" s="456" t="str">
        <f>Criteria!E20</f>
        <v>28 FEBRUARY 2025</v>
      </c>
      <c r="E1572" s="450"/>
      <c r="F1572" s="450"/>
      <c r="G1572" s="450"/>
      <c r="H1572" s="450"/>
      <c r="I1572" s="450"/>
      <c r="J1572" s="450" t="s">
        <v>231</v>
      </c>
      <c r="M1572" s="347"/>
      <c r="O1572" s="347"/>
      <c r="R1572" s="348" t="str">
        <f t="shared" si="82"/>
        <v>DELETE</v>
      </c>
    </row>
    <row r="1573" spans="2:18" ht="36" customHeight="1" x14ac:dyDescent="0.5">
      <c r="B1573" s="354"/>
      <c r="D1573" s="450"/>
      <c r="E1573" s="450"/>
      <c r="F1573" s="450"/>
      <c r="G1573" s="450"/>
      <c r="H1573" s="450"/>
      <c r="I1573" s="450"/>
      <c r="J1573" s="450"/>
      <c r="M1573" s="347"/>
      <c r="O1573" s="347"/>
      <c r="R1573" s="348" t="str">
        <f t="shared" si="82"/>
        <v>DELETE</v>
      </c>
    </row>
    <row r="1574" spans="2:18" ht="36" customHeight="1" x14ac:dyDescent="0.5">
      <c r="B1574" s="368"/>
      <c r="C1574" s="364"/>
      <c r="D1574" s="460"/>
      <c r="E1574" s="460"/>
      <c r="F1574" s="460"/>
      <c r="G1574" s="460"/>
      <c r="H1574" s="460"/>
      <c r="I1574" s="460"/>
      <c r="J1574" s="460"/>
      <c r="K1574" s="364"/>
      <c r="L1574" s="364"/>
      <c r="M1574" s="367"/>
      <c r="N1574" s="367"/>
      <c r="O1574" s="367"/>
      <c r="P1574" s="367"/>
      <c r="Q1574" s="364"/>
      <c r="R1574" s="348" t="str">
        <f t="shared" si="82"/>
        <v>DELETE</v>
      </c>
    </row>
    <row r="1575" spans="2:18" ht="36" customHeight="1" x14ac:dyDescent="0.5">
      <c r="B1575" s="354"/>
      <c r="D1575" s="450"/>
      <c r="E1575" s="450"/>
      <c r="F1575" s="450"/>
      <c r="G1575" s="450"/>
      <c r="H1575" s="450"/>
      <c r="I1575" s="450"/>
      <c r="J1575" s="450"/>
      <c r="M1575" s="356"/>
      <c r="N1575" s="356"/>
      <c r="O1575" s="294">
        <f>Criteria!E22</f>
        <v>2025</v>
      </c>
      <c r="P1575" s="356"/>
      <c r="R1575" s="348" t="str">
        <f t="shared" si="82"/>
        <v>DELETE</v>
      </c>
    </row>
    <row r="1576" spans="2:18" ht="36" customHeight="1" x14ac:dyDescent="0.5">
      <c r="B1576" s="354"/>
      <c r="D1576" s="450"/>
      <c r="E1576" s="450"/>
      <c r="F1576" s="450"/>
      <c r="G1576" s="450"/>
      <c r="H1576" s="450"/>
      <c r="I1576" s="450"/>
      <c r="J1576" s="450"/>
      <c r="M1576" s="356"/>
      <c r="N1576" s="356"/>
      <c r="O1576" s="356"/>
      <c r="P1576" s="356"/>
      <c r="R1576" s="348" t="str">
        <f t="shared" si="82"/>
        <v>DELETE</v>
      </c>
    </row>
    <row r="1577" spans="2:18" ht="36" customHeight="1" x14ac:dyDescent="0.5">
      <c r="B1577" s="316">
        <f>MAX(B$602:B1576)+1</f>
        <v>12</v>
      </c>
      <c r="C1577" s="456" t="str">
        <f>IF(COUNTIF(TrialBalance!L304:L306,"&gt;0")&gt;1,"Investments in associates","Investment in associate")</f>
        <v>Investment in associate</v>
      </c>
      <c r="D1577" s="450"/>
      <c r="E1577" s="450"/>
      <c r="F1577" s="450"/>
      <c r="G1577" s="450"/>
      <c r="H1577" s="450"/>
      <c r="I1577" s="450"/>
      <c r="J1577" s="450"/>
      <c r="M1577" s="356"/>
      <c r="N1577" s="356"/>
      <c r="O1577" s="356"/>
      <c r="P1577" s="356"/>
      <c r="R1577" s="348" t="str">
        <f t="shared" si="82"/>
        <v>DELETE</v>
      </c>
    </row>
    <row r="1578" spans="2:18" ht="36" customHeight="1" x14ac:dyDescent="0.5">
      <c r="B1578" s="316"/>
      <c r="C1578" s="456"/>
      <c r="D1578" s="450"/>
      <c r="E1578" s="450"/>
      <c r="F1578" s="450"/>
      <c r="G1578" s="450"/>
      <c r="H1578" s="450"/>
      <c r="I1578" s="450"/>
      <c r="J1578" s="450"/>
      <c r="M1578" s="356"/>
      <c r="N1578" s="356"/>
      <c r="O1578" s="356"/>
      <c r="P1578" s="356"/>
      <c r="R1578" s="348" t="str">
        <f t="shared" si="82"/>
        <v>DELETE</v>
      </c>
    </row>
    <row r="1579" spans="2:18" ht="36" customHeight="1" x14ac:dyDescent="0.5">
      <c r="B1579" s="354"/>
      <c r="C1579" s="450" t="str">
        <f>TrialBalance!C304</f>
        <v>30 Shares in ABC Company (Pty) Ltd - 30% interest</v>
      </c>
      <c r="D1579" s="459"/>
      <c r="E1579" s="450"/>
      <c r="F1579" s="450"/>
      <c r="G1579" s="450"/>
      <c r="H1579" s="450"/>
      <c r="I1579" s="450"/>
      <c r="J1579" s="450"/>
      <c r="M1579" s="356"/>
      <c r="N1579" s="356"/>
      <c r="O1579" s="371">
        <f>TrialBalance!L304</f>
        <v>0</v>
      </c>
      <c r="P1579" s="356"/>
      <c r="R1579" s="348" t="str">
        <f t="shared" ref="R1579:R1581" si="83">IF(O1579=0,"DELETE"," ")</f>
        <v>DELETE</v>
      </c>
    </row>
    <row r="1580" spans="2:18" ht="36" customHeight="1" x14ac:dyDescent="0.5">
      <c r="B1580" s="354"/>
      <c r="C1580" s="450">
        <f>TrialBalance!C305</f>
        <v>0</v>
      </c>
      <c r="D1580" s="459"/>
      <c r="E1580" s="450"/>
      <c r="F1580" s="450"/>
      <c r="G1580" s="450"/>
      <c r="H1580" s="450"/>
      <c r="I1580" s="450"/>
      <c r="J1580" s="450"/>
      <c r="M1580" s="356"/>
      <c r="N1580" s="356"/>
      <c r="O1580" s="371">
        <f>TrialBalance!L305</f>
        <v>0</v>
      </c>
      <c r="P1580" s="356"/>
      <c r="R1580" s="348" t="str">
        <f t="shared" si="83"/>
        <v>DELETE</v>
      </c>
    </row>
    <row r="1581" spans="2:18" ht="36" customHeight="1" x14ac:dyDescent="0.5">
      <c r="B1581" s="354"/>
      <c r="C1581" s="450">
        <f>TrialBalance!C306</f>
        <v>0</v>
      </c>
      <c r="D1581" s="459"/>
      <c r="E1581" s="450"/>
      <c r="F1581" s="450"/>
      <c r="G1581" s="450"/>
      <c r="H1581" s="450"/>
      <c r="I1581" s="450"/>
      <c r="J1581" s="450"/>
      <c r="M1581" s="356"/>
      <c r="N1581" s="356"/>
      <c r="O1581" s="371">
        <f>TrialBalance!L306</f>
        <v>0</v>
      </c>
      <c r="P1581" s="356"/>
      <c r="R1581" s="348" t="str">
        <f t="shared" si="83"/>
        <v>DELETE</v>
      </c>
    </row>
    <row r="1582" spans="2:18" ht="9" customHeight="1" x14ac:dyDescent="0.5">
      <c r="B1582" s="354"/>
      <c r="C1582" s="450"/>
      <c r="D1582" s="450"/>
      <c r="E1582" s="450"/>
      <c r="F1582" s="450"/>
      <c r="G1582" s="450"/>
      <c r="H1582" s="450"/>
      <c r="I1582" s="450"/>
      <c r="J1582" s="450"/>
      <c r="M1582" s="356"/>
      <c r="N1582" s="356"/>
      <c r="O1582" s="372"/>
      <c r="P1582" s="356"/>
      <c r="R1582" s="348" t="str">
        <f t="shared" ref="R1582:R1587" si="84">R$1584</f>
        <v>DELETE</v>
      </c>
    </row>
    <row r="1583" spans="2:18" ht="9" customHeight="1" x14ac:dyDescent="0.5">
      <c r="B1583" s="354"/>
      <c r="C1583" s="450"/>
      <c r="D1583" s="450"/>
      <c r="E1583" s="450"/>
      <c r="F1583" s="450"/>
      <c r="G1583" s="450"/>
      <c r="H1583" s="450"/>
      <c r="I1583" s="450"/>
      <c r="J1583" s="450"/>
      <c r="M1583" s="356"/>
      <c r="N1583" s="356"/>
      <c r="O1583" s="371"/>
      <c r="P1583" s="356"/>
      <c r="R1583" s="348" t="str">
        <f t="shared" si="84"/>
        <v>DELETE</v>
      </c>
    </row>
    <row r="1584" spans="2:18" ht="36.75" customHeight="1" x14ac:dyDescent="0.5">
      <c r="B1584" s="354"/>
      <c r="C1584" s="450"/>
      <c r="D1584" s="450"/>
      <c r="E1584" s="450"/>
      <c r="F1584" s="450"/>
      <c r="G1584" s="450"/>
      <c r="H1584" s="450"/>
      <c r="I1584" s="450"/>
      <c r="J1584" s="450"/>
      <c r="M1584" s="356"/>
      <c r="N1584" s="356"/>
      <c r="O1584" s="371">
        <f>SUM(O1579:O1583)</f>
        <v>0</v>
      </c>
      <c r="P1584" s="356"/>
      <c r="R1584" s="348" t="str">
        <f t="shared" ref="R1584" si="85">IF(O1584=0,"DELETE"," ")</f>
        <v>DELETE</v>
      </c>
    </row>
    <row r="1585" spans="2:18" ht="9" customHeight="1" thickBot="1" x14ac:dyDescent="0.55000000000000004">
      <c r="B1585" s="354"/>
      <c r="C1585" s="450"/>
      <c r="D1585" s="450"/>
      <c r="E1585" s="450"/>
      <c r="F1585" s="450"/>
      <c r="G1585" s="450"/>
      <c r="H1585" s="450"/>
      <c r="I1585" s="450"/>
      <c r="J1585" s="450"/>
      <c r="M1585" s="356"/>
      <c r="N1585" s="356"/>
      <c r="O1585" s="373"/>
      <c r="P1585" s="356"/>
      <c r="R1585" s="348" t="str">
        <f t="shared" si="84"/>
        <v>DELETE</v>
      </c>
    </row>
    <row r="1586" spans="2:18" ht="9" customHeight="1" thickTop="1" x14ac:dyDescent="0.5">
      <c r="B1586" s="354"/>
      <c r="C1586" s="450"/>
      <c r="D1586" s="450"/>
      <c r="E1586" s="450"/>
      <c r="F1586" s="450"/>
      <c r="G1586" s="450"/>
      <c r="H1586" s="450"/>
      <c r="I1586" s="450"/>
      <c r="J1586" s="450"/>
      <c r="M1586" s="356"/>
      <c r="N1586" s="356"/>
      <c r="O1586" s="371"/>
      <c r="P1586" s="356"/>
      <c r="R1586" s="348" t="str">
        <f t="shared" si="84"/>
        <v>DELETE</v>
      </c>
    </row>
    <row r="1587" spans="2:18" ht="36" customHeight="1" x14ac:dyDescent="0.5">
      <c r="B1587" s="354"/>
      <c r="C1587" s="450" t="str">
        <f>IF(COUNTIF(TrialBalance!L304:L306,"&gt;0")&gt;1,"The shares of the associates are not publicly traded.","The shares of the associate are not publicly traded.")</f>
        <v>The shares of the associate are not publicly traded.</v>
      </c>
      <c r="D1587" s="450"/>
      <c r="E1587" s="450"/>
      <c r="F1587" s="450"/>
      <c r="G1587" s="450"/>
      <c r="H1587" s="450"/>
      <c r="I1587" s="450"/>
      <c r="J1587" s="450"/>
      <c r="M1587" s="356"/>
      <c r="N1587" s="356"/>
      <c r="O1587" s="371"/>
      <c r="P1587" s="356"/>
      <c r="R1587" s="348" t="str">
        <f t="shared" si="84"/>
        <v>DELETE</v>
      </c>
    </row>
    <row r="1588" spans="2:18" ht="36" customHeight="1" x14ac:dyDescent="0.5">
      <c r="B1588" s="354"/>
      <c r="C1588" s="450"/>
      <c r="D1588" s="450"/>
      <c r="E1588" s="450"/>
      <c r="F1588" s="450"/>
      <c r="G1588" s="450"/>
      <c r="H1588" s="450"/>
      <c r="I1588" s="450"/>
      <c r="J1588" s="450"/>
      <c r="M1588" s="356"/>
      <c r="N1588" s="356"/>
      <c r="O1588" s="356"/>
      <c r="P1588" s="356"/>
      <c r="R1588" s="348" t="str">
        <f>R$1584</f>
        <v>DELETE</v>
      </c>
    </row>
    <row r="1589" spans="2:18" ht="36" customHeight="1" x14ac:dyDescent="0.5">
      <c r="B1589" s="354"/>
      <c r="C1589" s="450"/>
      <c r="D1589" s="450"/>
      <c r="E1589" s="450"/>
      <c r="F1589" s="450"/>
      <c r="G1589" s="450"/>
      <c r="H1589" s="450"/>
      <c r="I1589" s="450"/>
      <c r="J1589" s="450"/>
      <c r="M1589" s="356"/>
      <c r="N1589" s="356"/>
      <c r="O1589" s="356"/>
      <c r="P1589" s="356"/>
      <c r="R1589" s="348" t="str">
        <f>R$1584</f>
        <v>DELETE</v>
      </c>
    </row>
    <row r="1590" spans="2:18" ht="36" customHeight="1" x14ac:dyDescent="0.5">
      <c r="B1590" s="354"/>
      <c r="C1590" s="450"/>
      <c r="D1590" s="450"/>
      <c r="E1590" s="450"/>
      <c r="F1590" s="450"/>
      <c r="G1590" s="450"/>
      <c r="H1590" s="450"/>
      <c r="I1590" s="450"/>
      <c r="J1590" s="450"/>
      <c r="M1590" s="356"/>
      <c r="N1590" s="356"/>
      <c r="O1590" s="356"/>
      <c r="P1590" s="356"/>
      <c r="R1590" s="348" t="str">
        <f>R$1584</f>
        <v>DELETE</v>
      </c>
    </row>
    <row r="1591" spans="2:18" ht="36" customHeight="1" x14ac:dyDescent="0.5">
      <c r="B1591" s="354"/>
      <c r="C1591" s="450"/>
      <c r="D1591" s="450"/>
      <c r="E1591" s="450"/>
      <c r="F1591" s="450"/>
      <c r="G1591" s="450"/>
      <c r="H1591" s="450"/>
      <c r="I1591" s="450"/>
      <c r="J1591" s="450"/>
      <c r="M1591" s="347"/>
      <c r="O1591" s="347"/>
      <c r="R1591" s="348" t="str">
        <f>R$1584</f>
        <v>DELETE</v>
      </c>
    </row>
    <row r="1592" spans="2:18" ht="36" customHeight="1" x14ac:dyDescent="0.5">
      <c r="B1592" s="354"/>
      <c r="C1592" s="450"/>
      <c r="D1592" s="450"/>
      <c r="E1592" s="450"/>
      <c r="F1592" s="450"/>
      <c r="G1592" s="450"/>
      <c r="H1592" s="450"/>
      <c r="I1592" s="450"/>
      <c r="J1592" s="450"/>
      <c r="M1592" s="347"/>
      <c r="O1592" s="295" t="s">
        <v>89</v>
      </c>
      <c r="Q1592" s="292">
        <f>MAX($Q$105:Q1591)+1</f>
        <v>42</v>
      </c>
      <c r="R1592" s="348" t="str">
        <f>R$1611</f>
        <v>DELETE</v>
      </c>
    </row>
    <row r="1593" spans="2:18" ht="36" customHeight="1" x14ac:dyDescent="0.5">
      <c r="B1593" s="354"/>
      <c r="C1593" s="450"/>
      <c r="D1593" s="456" t="str">
        <f>Criteria!E9</f>
        <v>HOLDING COMPANY 268 (PROPRIETARY) LIMITED</v>
      </c>
      <c r="E1593" s="450"/>
      <c r="F1593" s="450"/>
      <c r="G1593" s="450"/>
      <c r="H1593" s="450"/>
      <c r="I1593" s="450"/>
      <c r="J1593" s="450"/>
      <c r="M1593" s="347"/>
      <c r="O1593" s="347"/>
      <c r="R1593" s="348" t="str">
        <f t="shared" ref="R1593:R1603" si="86">R$1611</f>
        <v>DELETE</v>
      </c>
    </row>
    <row r="1594" spans="2:18" ht="36" customHeight="1" x14ac:dyDescent="0.5">
      <c r="B1594" s="354"/>
      <c r="C1594" s="450"/>
      <c r="D1594" s="456" t="str">
        <f>Criteria!E10</f>
        <v>CONSOLIDATED FINANCIAL STATEMENTS</v>
      </c>
      <c r="E1594" s="450"/>
      <c r="F1594" s="450"/>
      <c r="G1594" s="450"/>
      <c r="H1594" s="450"/>
      <c r="I1594" s="450"/>
      <c r="J1594" s="450"/>
      <c r="M1594" s="347"/>
      <c r="O1594" s="347"/>
      <c r="R1594" s="348" t="str">
        <f>IF(R$1611="DELETE","DELETE",IF(D1594=0,"DELETE"," "))</f>
        <v>DELETE</v>
      </c>
    </row>
    <row r="1595" spans="2:18" ht="36" customHeight="1" x14ac:dyDescent="0.5">
      <c r="B1595" s="354"/>
      <c r="C1595" s="450"/>
      <c r="D1595" s="450"/>
      <c r="E1595" s="450"/>
      <c r="F1595" s="450"/>
      <c r="G1595" s="450"/>
      <c r="H1595" s="450"/>
      <c r="I1595" s="450"/>
      <c r="J1595" s="450"/>
      <c r="M1595" s="347"/>
      <c r="O1595" s="347"/>
      <c r="R1595" s="348" t="str">
        <f t="shared" si="86"/>
        <v>DELETE</v>
      </c>
    </row>
    <row r="1596" spans="2:18" ht="36" customHeight="1" x14ac:dyDescent="0.5">
      <c r="B1596" s="354"/>
      <c r="C1596" s="450"/>
      <c r="D1596" s="456" t="s">
        <v>351</v>
      </c>
      <c r="E1596" s="450"/>
      <c r="F1596" s="450"/>
      <c r="G1596" s="450"/>
      <c r="H1596" s="450"/>
      <c r="I1596" s="450"/>
      <c r="J1596" s="450"/>
      <c r="M1596" s="347"/>
      <c r="O1596" s="347"/>
      <c r="R1596" s="348" t="str">
        <f t="shared" si="86"/>
        <v>DELETE</v>
      </c>
    </row>
    <row r="1597" spans="2:18" ht="36" customHeight="1" x14ac:dyDescent="0.5">
      <c r="B1597" s="354"/>
      <c r="C1597" s="450"/>
      <c r="D1597" s="456" t="str">
        <f>Criteria!E20</f>
        <v>28 FEBRUARY 2025</v>
      </c>
      <c r="E1597" s="450"/>
      <c r="F1597" s="450"/>
      <c r="G1597" s="450"/>
      <c r="H1597" s="450"/>
      <c r="I1597" s="450"/>
      <c r="J1597" s="450" t="s">
        <v>231</v>
      </c>
      <c r="M1597" s="347"/>
      <c r="O1597" s="347"/>
      <c r="R1597" s="348" t="str">
        <f t="shared" si="86"/>
        <v>DELETE</v>
      </c>
    </row>
    <row r="1598" spans="2:18" ht="36" customHeight="1" x14ac:dyDescent="0.5">
      <c r="B1598" s="354"/>
      <c r="C1598" s="450"/>
      <c r="D1598" s="450"/>
      <c r="E1598" s="450"/>
      <c r="F1598" s="450"/>
      <c r="G1598" s="450"/>
      <c r="H1598" s="450"/>
      <c r="I1598" s="450"/>
      <c r="J1598" s="450"/>
      <c r="M1598" s="347"/>
      <c r="O1598" s="347"/>
      <c r="R1598" s="348" t="str">
        <f t="shared" si="86"/>
        <v>DELETE</v>
      </c>
    </row>
    <row r="1599" spans="2:18" ht="36" customHeight="1" x14ac:dyDescent="0.5">
      <c r="B1599" s="368"/>
      <c r="C1599" s="460"/>
      <c r="D1599" s="460"/>
      <c r="E1599" s="460"/>
      <c r="F1599" s="460"/>
      <c r="G1599" s="460"/>
      <c r="H1599" s="460"/>
      <c r="I1599" s="460"/>
      <c r="J1599" s="460"/>
      <c r="K1599" s="364"/>
      <c r="L1599" s="364"/>
      <c r="M1599" s="367"/>
      <c r="N1599" s="367"/>
      <c r="O1599" s="367"/>
      <c r="P1599" s="367"/>
      <c r="Q1599" s="364"/>
      <c r="R1599" s="348" t="str">
        <f t="shared" si="86"/>
        <v>DELETE</v>
      </c>
    </row>
    <row r="1600" spans="2:18" ht="36" customHeight="1" x14ac:dyDescent="0.5">
      <c r="B1600" s="354"/>
      <c r="C1600" s="450"/>
      <c r="D1600" s="450"/>
      <c r="E1600" s="450"/>
      <c r="F1600" s="450"/>
      <c r="G1600" s="450"/>
      <c r="H1600" s="450"/>
      <c r="I1600" s="450"/>
      <c r="J1600" s="450"/>
      <c r="L1600" s="350"/>
      <c r="M1600" s="350"/>
      <c r="N1600" s="345"/>
      <c r="O1600" s="294">
        <f>Criteria!E22</f>
        <v>2025</v>
      </c>
      <c r="R1600" s="348" t="str">
        <f t="shared" si="86"/>
        <v>DELETE</v>
      </c>
    </row>
    <row r="1601" spans="2:18" ht="36" customHeight="1" x14ac:dyDescent="0.5">
      <c r="B1601" s="354"/>
      <c r="C1601" s="450"/>
      <c r="D1601" s="450"/>
      <c r="E1601" s="450"/>
      <c r="F1601" s="450"/>
      <c r="G1601" s="450"/>
      <c r="H1601" s="450"/>
      <c r="I1601" s="450"/>
      <c r="J1601" s="450"/>
      <c r="L1601" s="350"/>
      <c r="M1601" s="350"/>
      <c r="N1601" s="345"/>
      <c r="O1601" s="347"/>
      <c r="R1601" s="348" t="str">
        <f t="shared" si="86"/>
        <v>DELETE</v>
      </c>
    </row>
    <row r="1602" spans="2:18" ht="36" customHeight="1" x14ac:dyDescent="0.5">
      <c r="B1602" s="316">
        <f>MAX(B$602:B1601)+1</f>
        <v>13</v>
      </c>
      <c r="C1602" s="456" t="str">
        <f>IF(COUNTIF(TrialBalance!L308:L312,"&gt;0")&gt;1,"Listed investments","Listed investment")</f>
        <v>Listed investment</v>
      </c>
      <c r="D1602" s="450"/>
      <c r="E1602" s="450"/>
      <c r="F1602" s="450"/>
      <c r="G1602" s="450"/>
      <c r="H1602" s="450"/>
      <c r="I1602" s="450"/>
      <c r="J1602" s="450"/>
      <c r="L1602" s="350"/>
      <c r="M1602" s="350"/>
      <c r="N1602" s="345"/>
      <c r="O1602" s="351"/>
      <c r="R1602" s="348" t="str">
        <f t="shared" si="86"/>
        <v>DELETE</v>
      </c>
    </row>
    <row r="1603" spans="2:18" ht="36" customHeight="1" x14ac:dyDescent="0.5">
      <c r="B1603" s="316"/>
      <c r="C1603" s="456"/>
      <c r="D1603" s="450"/>
      <c r="E1603" s="450"/>
      <c r="F1603" s="450"/>
      <c r="G1603" s="450"/>
      <c r="H1603" s="450"/>
      <c r="I1603" s="450"/>
      <c r="J1603" s="450"/>
      <c r="L1603" s="350"/>
      <c r="M1603" s="350"/>
      <c r="N1603" s="345"/>
      <c r="O1603" s="351"/>
      <c r="R1603" s="348" t="str">
        <f t="shared" si="86"/>
        <v>DELETE</v>
      </c>
    </row>
    <row r="1604" spans="2:18" ht="36" customHeight="1" x14ac:dyDescent="0.5">
      <c r="B1604" s="316"/>
      <c r="C1604" s="450">
        <f>TrialBalance!C308</f>
        <v>0</v>
      </c>
      <c r="D1604" s="459"/>
      <c r="E1604" s="450"/>
      <c r="F1604" s="450"/>
      <c r="G1604" s="450"/>
      <c r="H1604" s="450"/>
      <c r="I1604" s="450"/>
      <c r="J1604" s="450"/>
      <c r="L1604" s="350"/>
      <c r="M1604" s="350"/>
      <c r="N1604" s="345"/>
      <c r="O1604" s="296">
        <f>TrialBalance!L308</f>
        <v>0</v>
      </c>
      <c r="R1604" s="348" t="str">
        <f t="shared" ref="R1604:R1608" si="87">IF(O1604=0,"DELETE"," ")</f>
        <v>DELETE</v>
      </c>
    </row>
    <row r="1605" spans="2:18" ht="36" customHeight="1" x14ac:dyDescent="0.5">
      <c r="B1605" s="316"/>
      <c r="C1605" s="450">
        <f>TrialBalance!C309</f>
        <v>0</v>
      </c>
      <c r="D1605" s="459"/>
      <c r="E1605" s="450"/>
      <c r="F1605" s="450"/>
      <c r="G1605" s="450"/>
      <c r="H1605" s="450"/>
      <c r="I1605" s="450"/>
      <c r="J1605" s="450"/>
      <c r="L1605" s="350"/>
      <c r="M1605" s="350"/>
      <c r="N1605" s="345"/>
      <c r="O1605" s="296">
        <f>TrialBalance!L309</f>
        <v>0</v>
      </c>
      <c r="R1605" s="348" t="str">
        <f t="shared" si="87"/>
        <v>DELETE</v>
      </c>
    </row>
    <row r="1606" spans="2:18" ht="36" customHeight="1" x14ac:dyDescent="0.5">
      <c r="B1606" s="316"/>
      <c r="C1606" s="450">
        <f>TrialBalance!C310</f>
        <v>0</v>
      </c>
      <c r="D1606" s="459"/>
      <c r="E1606" s="450"/>
      <c r="F1606" s="450"/>
      <c r="G1606" s="450"/>
      <c r="H1606" s="450"/>
      <c r="I1606" s="450"/>
      <c r="J1606" s="450"/>
      <c r="L1606" s="350"/>
      <c r="M1606" s="350"/>
      <c r="N1606" s="345"/>
      <c r="O1606" s="296">
        <f>TrialBalance!L310</f>
        <v>0</v>
      </c>
      <c r="R1606" s="348" t="str">
        <f t="shared" si="87"/>
        <v>DELETE</v>
      </c>
    </row>
    <row r="1607" spans="2:18" ht="36" customHeight="1" x14ac:dyDescent="0.5">
      <c r="B1607" s="316"/>
      <c r="C1607" s="450">
        <f>TrialBalance!C311</f>
        <v>0</v>
      </c>
      <c r="D1607" s="459"/>
      <c r="E1607" s="450"/>
      <c r="F1607" s="450"/>
      <c r="G1607" s="450"/>
      <c r="H1607" s="450"/>
      <c r="I1607" s="450"/>
      <c r="J1607" s="450"/>
      <c r="L1607" s="350"/>
      <c r="M1607" s="350"/>
      <c r="N1607" s="345"/>
      <c r="O1607" s="296">
        <f>TrialBalance!L311</f>
        <v>0</v>
      </c>
      <c r="R1607" s="348" t="str">
        <f t="shared" si="87"/>
        <v>DELETE</v>
      </c>
    </row>
    <row r="1608" spans="2:18" ht="36" customHeight="1" x14ac:dyDescent="0.5">
      <c r="B1608" s="316"/>
      <c r="C1608" s="450">
        <f>TrialBalance!C312</f>
        <v>0</v>
      </c>
      <c r="D1608" s="459"/>
      <c r="E1608" s="450"/>
      <c r="F1608" s="450"/>
      <c r="G1608" s="450"/>
      <c r="H1608" s="450"/>
      <c r="I1608" s="450"/>
      <c r="J1608" s="450"/>
      <c r="L1608" s="350"/>
      <c r="M1608" s="350"/>
      <c r="N1608" s="345"/>
      <c r="O1608" s="296">
        <f>TrialBalance!L312</f>
        <v>0</v>
      </c>
      <c r="R1608" s="348" t="str">
        <f t="shared" si="87"/>
        <v>DELETE</v>
      </c>
    </row>
    <row r="1609" spans="2:18" ht="9" customHeight="1" x14ac:dyDescent="0.5">
      <c r="B1609" s="316"/>
      <c r="C1609" s="456"/>
      <c r="D1609" s="450"/>
      <c r="E1609" s="450"/>
      <c r="F1609" s="450"/>
      <c r="G1609" s="450"/>
      <c r="H1609" s="450"/>
      <c r="I1609" s="450"/>
      <c r="J1609" s="450"/>
      <c r="L1609" s="350"/>
      <c r="M1609" s="350"/>
      <c r="N1609" s="345"/>
      <c r="O1609" s="298"/>
      <c r="R1609" s="348" t="str">
        <f>R1611</f>
        <v>DELETE</v>
      </c>
    </row>
    <row r="1610" spans="2:18" ht="9" customHeight="1" x14ac:dyDescent="0.5">
      <c r="B1610" s="316"/>
      <c r="C1610" s="456"/>
      <c r="D1610" s="450"/>
      <c r="E1610" s="450"/>
      <c r="F1610" s="450"/>
      <c r="G1610" s="450"/>
      <c r="H1610" s="450"/>
      <c r="I1610" s="450"/>
      <c r="J1610" s="450"/>
      <c r="L1610" s="350"/>
      <c r="M1610" s="350"/>
      <c r="N1610" s="345"/>
      <c r="O1610" s="296"/>
      <c r="R1610" s="348" t="str">
        <f>R1611</f>
        <v>DELETE</v>
      </c>
    </row>
    <row r="1611" spans="2:18" ht="36.75" customHeight="1" x14ac:dyDescent="0.5">
      <c r="B1611" s="316"/>
      <c r="C1611" s="456"/>
      <c r="D1611" s="450"/>
      <c r="E1611" s="450"/>
      <c r="F1611" s="450"/>
      <c r="G1611" s="450"/>
      <c r="H1611" s="450"/>
      <c r="I1611" s="450"/>
      <c r="J1611" s="450"/>
      <c r="L1611" s="350"/>
      <c r="M1611" s="350"/>
      <c r="N1611" s="345"/>
      <c r="O1611" s="296">
        <f>SUM(O1604:O1610)</f>
        <v>0</v>
      </c>
      <c r="R1611" s="348" t="str">
        <f t="shared" ref="R1611" si="88">IF(O1611=0,"DELETE"," ")</f>
        <v>DELETE</v>
      </c>
    </row>
    <row r="1612" spans="2:18" ht="9" customHeight="1" thickBot="1" x14ac:dyDescent="0.55000000000000004">
      <c r="B1612" s="316"/>
      <c r="C1612" s="456"/>
      <c r="D1612" s="450"/>
      <c r="E1612" s="450"/>
      <c r="F1612" s="450"/>
      <c r="G1612" s="450"/>
      <c r="H1612" s="450"/>
      <c r="I1612" s="450"/>
      <c r="J1612" s="450"/>
      <c r="L1612" s="350"/>
      <c r="M1612" s="350"/>
      <c r="N1612" s="345"/>
      <c r="O1612" s="299"/>
      <c r="R1612" s="348" t="str">
        <f>R1611</f>
        <v>DELETE</v>
      </c>
    </row>
    <row r="1613" spans="2:18" ht="9" customHeight="1" thickTop="1" x14ac:dyDescent="0.5">
      <c r="B1613" s="316"/>
      <c r="C1613" s="456"/>
      <c r="D1613" s="450"/>
      <c r="E1613" s="450"/>
      <c r="F1613" s="450"/>
      <c r="G1613" s="450"/>
      <c r="H1613" s="450"/>
      <c r="I1613" s="450"/>
      <c r="J1613" s="450"/>
      <c r="L1613" s="350"/>
      <c r="M1613" s="350"/>
      <c r="N1613" s="345"/>
      <c r="O1613" s="310"/>
      <c r="R1613" s="348" t="str">
        <f>R1612</f>
        <v>DELETE</v>
      </c>
    </row>
    <row r="1614" spans="2:18" ht="36.75" customHeight="1" x14ac:dyDescent="0.5">
      <c r="B1614" s="316"/>
      <c r="C1614" s="456"/>
      <c r="D1614" s="450"/>
      <c r="E1614" s="450"/>
      <c r="F1614" s="450"/>
      <c r="G1614" s="450"/>
      <c r="H1614" s="450"/>
      <c r="I1614" s="450"/>
      <c r="J1614" s="450"/>
      <c r="L1614" s="350"/>
      <c r="M1614" s="350"/>
      <c r="N1614" s="345"/>
      <c r="O1614" s="310"/>
      <c r="R1614" s="348" t="str">
        <f t="shared" ref="R1614:R1621" si="89">R$1611</f>
        <v>DELETE</v>
      </c>
    </row>
    <row r="1615" spans="2:18" ht="9" customHeight="1" x14ac:dyDescent="0.5">
      <c r="B1615" s="316"/>
      <c r="C1615" s="456"/>
      <c r="D1615" s="450"/>
      <c r="E1615" s="450"/>
      <c r="F1615" s="450"/>
      <c r="G1615" s="450"/>
      <c r="H1615" s="450"/>
      <c r="I1615" s="450"/>
      <c r="J1615" s="450"/>
      <c r="L1615" s="350"/>
      <c r="M1615" s="350"/>
      <c r="N1615" s="345"/>
      <c r="O1615" s="298"/>
      <c r="R1615" s="348" t="str">
        <f>R1616</f>
        <v>DELETE</v>
      </c>
    </row>
    <row r="1616" spans="2:18" ht="9" customHeight="1" x14ac:dyDescent="0.5">
      <c r="B1616" s="316"/>
      <c r="C1616" s="456"/>
      <c r="D1616" s="450"/>
      <c r="E1616" s="450"/>
      <c r="F1616" s="450"/>
      <c r="G1616" s="450"/>
      <c r="H1616" s="450"/>
      <c r="I1616" s="450"/>
      <c r="J1616" s="450"/>
      <c r="L1616" s="350"/>
      <c r="M1616" s="350"/>
      <c r="N1616" s="345"/>
      <c r="O1616" s="310"/>
      <c r="R1616" s="348" t="str">
        <f>R1617</f>
        <v>DELETE</v>
      </c>
    </row>
    <row r="1617" spans="2:18" ht="36.75" customHeight="1" x14ac:dyDescent="0.5">
      <c r="B1617" s="316"/>
      <c r="C1617" s="450" t="s">
        <v>695</v>
      </c>
      <c r="E1617" s="450"/>
      <c r="F1617" s="450"/>
      <c r="G1617" s="450"/>
      <c r="H1617" s="450"/>
      <c r="I1617" s="450"/>
      <c r="J1617" s="450"/>
      <c r="L1617" s="350"/>
      <c r="M1617" s="350"/>
      <c r="N1617" s="345"/>
      <c r="O1617" s="310">
        <f>Criteria!G237</f>
        <v>0</v>
      </c>
      <c r="R1617" s="348" t="str">
        <f t="shared" ref="R1617" si="90">IF(O1617=0,"DELETE"," ")</f>
        <v>DELETE</v>
      </c>
    </row>
    <row r="1618" spans="2:18" ht="9" customHeight="1" thickBot="1" x14ac:dyDescent="0.55000000000000004">
      <c r="B1618" s="316"/>
      <c r="C1618" s="456"/>
      <c r="D1618" s="450"/>
      <c r="E1618" s="450"/>
      <c r="F1618" s="450"/>
      <c r="G1618" s="450"/>
      <c r="H1618" s="450"/>
      <c r="I1618" s="450"/>
      <c r="J1618" s="450"/>
      <c r="L1618" s="350"/>
      <c r="M1618" s="350"/>
      <c r="N1618" s="345"/>
      <c r="O1618" s="299"/>
      <c r="R1618" s="348" t="str">
        <f>R1617</f>
        <v>DELETE</v>
      </c>
    </row>
    <row r="1619" spans="2:18" ht="9" customHeight="1" thickTop="1" x14ac:dyDescent="0.5">
      <c r="B1619" s="316"/>
      <c r="C1619" s="456"/>
      <c r="D1619" s="450"/>
      <c r="E1619" s="450"/>
      <c r="F1619" s="450"/>
      <c r="G1619" s="450"/>
      <c r="H1619" s="450"/>
      <c r="I1619" s="450"/>
      <c r="J1619" s="450"/>
      <c r="L1619" s="350"/>
      <c r="M1619" s="350"/>
      <c r="N1619" s="345"/>
      <c r="O1619" s="310"/>
      <c r="R1619" s="348" t="str">
        <f>R1618</f>
        <v>DELETE</v>
      </c>
    </row>
    <row r="1620" spans="2:18" ht="36" customHeight="1" x14ac:dyDescent="0.5">
      <c r="B1620" s="316"/>
      <c r="C1620" s="456"/>
      <c r="D1620" s="450"/>
      <c r="E1620" s="450"/>
      <c r="F1620" s="450"/>
      <c r="G1620" s="450"/>
      <c r="H1620" s="450"/>
      <c r="I1620" s="450"/>
      <c r="J1620" s="450"/>
      <c r="L1620" s="350"/>
      <c r="M1620" s="350"/>
      <c r="N1620" s="345"/>
      <c r="O1620" s="310"/>
      <c r="R1620" s="348" t="str">
        <f t="shared" si="89"/>
        <v>DELETE</v>
      </c>
    </row>
    <row r="1621" spans="2:18" ht="36" customHeight="1" x14ac:dyDescent="0.5">
      <c r="B1621" s="316"/>
      <c r="C1621" s="456"/>
      <c r="D1621" s="450"/>
      <c r="E1621" s="450"/>
      <c r="F1621" s="450"/>
      <c r="G1621" s="450"/>
      <c r="H1621" s="450"/>
      <c r="I1621" s="450"/>
      <c r="J1621" s="450"/>
      <c r="M1621" s="310"/>
      <c r="N1621" s="310"/>
      <c r="O1621" s="310"/>
      <c r="R1621" s="348" t="str">
        <f t="shared" si="89"/>
        <v>DELETE</v>
      </c>
    </row>
    <row r="1622" spans="2:18" ht="36" customHeight="1" x14ac:dyDescent="0.5">
      <c r="B1622" s="316"/>
      <c r="C1622" s="456"/>
      <c r="D1622" s="450"/>
      <c r="E1622" s="450"/>
      <c r="F1622" s="450"/>
      <c r="G1622" s="450"/>
      <c r="H1622" s="450"/>
      <c r="I1622" s="450"/>
      <c r="J1622" s="450"/>
      <c r="M1622" s="310"/>
      <c r="N1622" s="310"/>
      <c r="O1622" s="310"/>
      <c r="P1622" s="356"/>
      <c r="R1622" s="348" t="str">
        <f>R$1611</f>
        <v>DELETE</v>
      </c>
    </row>
    <row r="1623" spans="2:18" ht="36" customHeight="1" x14ac:dyDescent="0.5">
      <c r="B1623" s="316"/>
      <c r="C1623" s="456"/>
      <c r="D1623" s="450"/>
      <c r="E1623" s="450"/>
      <c r="F1623" s="450"/>
      <c r="G1623" s="450"/>
      <c r="H1623" s="450"/>
      <c r="I1623" s="450"/>
      <c r="J1623" s="450"/>
      <c r="M1623" s="296"/>
      <c r="N1623" s="296"/>
      <c r="O1623" s="296"/>
      <c r="R1623" s="348" t="str">
        <f>R$1611</f>
        <v>DELETE</v>
      </c>
    </row>
    <row r="1624" spans="2:18" ht="36" customHeight="1" x14ac:dyDescent="0.5">
      <c r="B1624" s="316"/>
      <c r="C1624" s="456"/>
      <c r="D1624" s="450"/>
      <c r="E1624" s="450"/>
      <c r="F1624" s="450"/>
      <c r="G1624" s="450"/>
      <c r="H1624" s="450"/>
      <c r="I1624" s="450"/>
      <c r="J1624" s="450"/>
      <c r="M1624" s="296"/>
      <c r="N1624" s="296"/>
      <c r="O1624" s="295" t="s">
        <v>89</v>
      </c>
      <c r="Q1624" s="292">
        <f>MAX($Q$105:Q1623)+1</f>
        <v>43</v>
      </c>
      <c r="R1624" s="348" t="str">
        <f>R$1643</f>
        <v>DELETE</v>
      </c>
    </row>
    <row r="1625" spans="2:18" ht="36" customHeight="1" x14ac:dyDescent="0.5">
      <c r="B1625" s="354"/>
      <c r="C1625" s="450"/>
      <c r="D1625" s="456" t="str">
        <f>Criteria!E9</f>
        <v>HOLDING COMPANY 268 (PROPRIETARY) LIMITED</v>
      </c>
      <c r="E1625" s="450"/>
      <c r="F1625" s="450"/>
      <c r="G1625" s="450"/>
      <c r="H1625" s="450"/>
      <c r="I1625" s="450"/>
      <c r="J1625" s="450"/>
      <c r="M1625" s="347"/>
      <c r="O1625" s="347"/>
      <c r="R1625" s="348" t="str">
        <f>R$1643</f>
        <v>DELETE</v>
      </c>
    </row>
    <row r="1626" spans="2:18" ht="36" customHeight="1" x14ac:dyDescent="0.5">
      <c r="B1626" s="354"/>
      <c r="C1626" s="450"/>
      <c r="D1626" s="456" t="str">
        <f>Criteria!E10</f>
        <v>CONSOLIDATED FINANCIAL STATEMENTS</v>
      </c>
      <c r="E1626" s="450"/>
      <c r="F1626" s="450"/>
      <c r="G1626" s="450"/>
      <c r="H1626" s="450"/>
      <c r="I1626" s="450"/>
      <c r="J1626" s="450"/>
      <c r="M1626" s="347"/>
      <c r="O1626" s="347"/>
      <c r="R1626" s="348" t="str">
        <f>IF(R$1643="DELETE","DELETE",IF(D1626=0,"DELETE"," "))</f>
        <v>DELETE</v>
      </c>
    </row>
    <row r="1627" spans="2:18" ht="36" customHeight="1" x14ac:dyDescent="0.5">
      <c r="B1627" s="354"/>
      <c r="C1627" s="450"/>
      <c r="D1627" s="450"/>
      <c r="E1627" s="450"/>
      <c r="F1627" s="450"/>
      <c r="G1627" s="450"/>
      <c r="H1627" s="450"/>
      <c r="I1627" s="450"/>
      <c r="J1627" s="450"/>
      <c r="M1627" s="347"/>
      <c r="O1627" s="347"/>
      <c r="R1627" s="348" t="str">
        <f t="shared" ref="R1627:R1635" si="91">R$1643</f>
        <v>DELETE</v>
      </c>
    </row>
    <row r="1628" spans="2:18" ht="36" customHeight="1" x14ac:dyDescent="0.5">
      <c r="B1628" s="354"/>
      <c r="C1628" s="450"/>
      <c r="D1628" s="456" t="s">
        <v>351</v>
      </c>
      <c r="E1628" s="450"/>
      <c r="F1628" s="450"/>
      <c r="G1628" s="450"/>
      <c r="H1628" s="450"/>
      <c r="I1628" s="450"/>
      <c r="J1628" s="450"/>
      <c r="M1628" s="347"/>
      <c r="O1628" s="347"/>
      <c r="R1628" s="348" t="str">
        <f t="shared" si="91"/>
        <v>DELETE</v>
      </c>
    </row>
    <row r="1629" spans="2:18" ht="36" customHeight="1" x14ac:dyDescent="0.5">
      <c r="B1629" s="354"/>
      <c r="C1629" s="450"/>
      <c r="D1629" s="456" t="str">
        <f>Criteria!E20</f>
        <v>28 FEBRUARY 2025</v>
      </c>
      <c r="E1629" s="450"/>
      <c r="F1629" s="450"/>
      <c r="G1629" s="450"/>
      <c r="H1629" s="450"/>
      <c r="I1629" s="450"/>
      <c r="J1629" s="450" t="s">
        <v>231</v>
      </c>
      <c r="M1629" s="347"/>
      <c r="O1629" s="347"/>
      <c r="R1629" s="348" t="str">
        <f t="shared" si="91"/>
        <v>DELETE</v>
      </c>
    </row>
    <row r="1630" spans="2:18" ht="36" customHeight="1" x14ac:dyDescent="0.5">
      <c r="B1630" s="354"/>
      <c r="C1630" s="450"/>
      <c r="D1630" s="450"/>
      <c r="E1630" s="450"/>
      <c r="F1630" s="450"/>
      <c r="G1630" s="450"/>
      <c r="H1630" s="450"/>
      <c r="I1630" s="450"/>
      <c r="J1630" s="450"/>
      <c r="M1630" s="347"/>
      <c r="O1630" s="347"/>
      <c r="R1630" s="348" t="str">
        <f t="shared" si="91"/>
        <v>DELETE</v>
      </c>
    </row>
    <row r="1631" spans="2:18" ht="36" customHeight="1" x14ac:dyDescent="0.5">
      <c r="B1631" s="368"/>
      <c r="C1631" s="460"/>
      <c r="D1631" s="460"/>
      <c r="E1631" s="460"/>
      <c r="F1631" s="460"/>
      <c r="G1631" s="460"/>
      <c r="H1631" s="460"/>
      <c r="I1631" s="460"/>
      <c r="J1631" s="460"/>
      <c r="K1631" s="364"/>
      <c r="L1631" s="364"/>
      <c r="M1631" s="367"/>
      <c r="N1631" s="367"/>
      <c r="O1631" s="367"/>
      <c r="P1631" s="367"/>
      <c r="Q1631" s="364"/>
      <c r="R1631" s="348" t="str">
        <f t="shared" si="91"/>
        <v>DELETE</v>
      </c>
    </row>
    <row r="1632" spans="2:18" ht="36" customHeight="1" x14ac:dyDescent="0.5">
      <c r="B1632" s="354"/>
      <c r="C1632" s="450"/>
      <c r="D1632" s="450"/>
      <c r="E1632" s="450"/>
      <c r="F1632" s="450"/>
      <c r="G1632" s="450"/>
      <c r="H1632" s="450"/>
      <c r="I1632" s="450"/>
      <c r="J1632" s="450"/>
      <c r="L1632" s="350"/>
      <c r="M1632" s="350"/>
      <c r="N1632" s="345"/>
      <c r="O1632" s="294">
        <f>Criteria!E22</f>
        <v>2025</v>
      </c>
      <c r="R1632" s="348" t="str">
        <f t="shared" si="91"/>
        <v>DELETE</v>
      </c>
    </row>
    <row r="1633" spans="2:22" ht="36" customHeight="1" x14ac:dyDescent="0.5">
      <c r="B1633" s="316"/>
      <c r="C1633" s="456"/>
      <c r="D1633" s="450"/>
      <c r="E1633" s="450"/>
      <c r="F1633" s="450"/>
      <c r="G1633" s="450"/>
      <c r="H1633" s="450"/>
      <c r="I1633" s="450"/>
      <c r="J1633" s="450"/>
      <c r="L1633" s="350"/>
      <c r="M1633" s="350"/>
      <c r="N1633" s="345"/>
      <c r="O1633" s="296"/>
      <c r="R1633" s="348" t="str">
        <f t="shared" si="91"/>
        <v>DELETE</v>
      </c>
    </row>
    <row r="1634" spans="2:22" ht="36" customHeight="1" x14ac:dyDescent="0.5">
      <c r="B1634" s="316">
        <f>MAX(B$602:B1633)+1</f>
        <v>14</v>
      </c>
      <c r="C1634" s="456" t="str">
        <f>IF(COUNTIF(TrialBalance!L314:L318,"&gt;0")&gt;1,"Other investments","Other investment")</f>
        <v>Other investment</v>
      </c>
      <c r="D1634" s="459"/>
      <c r="E1634" s="450"/>
      <c r="F1634" s="450"/>
      <c r="G1634" s="450"/>
      <c r="H1634" s="450"/>
      <c r="I1634" s="450"/>
      <c r="J1634" s="450"/>
      <c r="L1634" s="350"/>
      <c r="M1634" s="350"/>
      <c r="N1634" s="345"/>
      <c r="O1634" s="296"/>
      <c r="R1634" s="348" t="str">
        <f t="shared" si="91"/>
        <v>DELETE</v>
      </c>
      <c r="S1634" s="336"/>
      <c r="T1634" s="336"/>
      <c r="U1634" s="336"/>
      <c r="V1634" s="336"/>
    </row>
    <row r="1635" spans="2:22" ht="36" customHeight="1" x14ac:dyDescent="0.5">
      <c r="B1635" s="316"/>
      <c r="C1635" s="456"/>
      <c r="D1635" s="459"/>
      <c r="E1635" s="450"/>
      <c r="F1635" s="450"/>
      <c r="G1635" s="450"/>
      <c r="H1635" s="450"/>
      <c r="I1635" s="450"/>
      <c r="J1635" s="450"/>
      <c r="L1635" s="350"/>
      <c r="M1635" s="350"/>
      <c r="N1635" s="345"/>
      <c r="O1635" s="296"/>
      <c r="R1635" s="348" t="str">
        <f t="shared" si="91"/>
        <v>DELETE</v>
      </c>
      <c r="S1635" s="336"/>
      <c r="T1635" s="336"/>
      <c r="U1635" s="336"/>
      <c r="V1635" s="336"/>
    </row>
    <row r="1636" spans="2:22" ht="36" customHeight="1" x14ac:dyDescent="0.5">
      <c r="B1636" s="316"/>
      <c r="C1636" s="450">
        <f>TrialBalance!C314</f>
        <v>0</v>
      </c>
      <c r="D1636" s="459"/>
      <c r="E1636" s="450"/>
      <c r="F1636" s="450"/>
      <c r="G1636" s="450"/>
      <c r="H1636" s="450"/>
      <c r="I1636" s="450"/>
      <c r="J1636" s="450"/>
      <c r="L1636" s="350"/>
      <c r="M1636" s="350"/>
      <c r="N1636" s="345"/>
      <c r="O1636" s="296">
        <f>TrialBalance!L314</f>
        <v>0</v>
      </c>
      <c r="R1636" s="348" t="str">
        <f t="shared" ref="R1636:R1640" si="92">IF(O1636=0,"DELETE"," ")</f>
        <v>DELETE</v>
      </c>
    </row>
    <row r="1637" spans="2:22" ht="36" customHeight="1" x14ac:dyDescent="0.5">
      <c r="B1637" s="316"/>
      <c r="C1637" s="450">
        <f>TrialBalance!C315</f>
        <v>0</v>
      </c>
      <c r="D1637" s="459"/>
      <c r="E1637" s="450"/>
      <c r="F1637" s="450"/>
      <c r="G1637" s="450"/>
      <c r="H1637" s="450"/>
      <c r="I1637" s="450"/>
      <c r="J1637" s="450"/>
      <c r="L1637" s="350"/>
      <c r="M1637" s="350"/>
      <c r="N1637" s="345"/>
      <c r="O1637" s="296">
        <f>TrialBalance!L315</f>
        <v>0</v>
      </c>
      <c r="R1637" s="348" t="str">
        <f t="shared" si="92"/>
        <v>DELETE</v>
      </c>
    </row>
    <row r="1638" spans="2:22" ht="36" customHeight="1" x14ac:dyDescent="0.5">
      <c r="B1638" s="316"/>
      <c r="C1638" s="450">
        <f>TrialBalance!C316</f>
        <v>0</v>
      </c>
      <c r="D1638" s="459"/>
      <c r="E1638" s="450"/>
      <c r="F1638" s="450"/>
      <c r="G1638" s="450"/>
      <c r="H1638" s="450"/>
      <c r="I1638" s="450"/>
      <c r="J1638" s="450"/>
      <c r="L1638" s="350"/>
      <c r="M1638" s="350"/>
      <c r="N1638" s="345"/>
      <c r="O1638" s="296">
        <f>TrialBalance!L316</f>
        <v>0</v>
      </c>
      <c r="R1638" s="348" t="str">
        <f t="shared" si="92"/>
        <v>DELETE</v>
      </c>
    </row>
    <row r="1639" spans="2:22" ht="36" customHeight="1" x14ac:dyDescent="0.5">
      <c r="B1639" s="316"/>
      <c r="C1639" s="450">
        <f>TrialBalance!C317</f>
        <v>0</v>
      </c>
      <c r="D1639" s="459"/>
      <c r="E1639" s="450"/>
      <c r="F1639" s="450"/>
      <c r="G1639" s="450"/>
      <c r="H1639" s="450"/>
      <c r="I1639" s="450"/>
      <c r="J1639" s="450"/>
      <c r="L1639" s="350"/>
      <c r="M1639" s="350"/>
      <c r="N1639" s="345"/>
      <c r="O1639" s="296">
        <f>TrialBalance!L317</f>
        <v>0</v>
      </c>
      <c r="R1639" s="348" t="str">
        <f t="shared" si="92"/>
        <v>DELETE</v>
      </c>
    </row>
    <row r="1640" spans="2:22" ht="36" customHeight="1" x14ac:dyDescent="0.5">
      <c r="B1640" s="316"/>
      <c r="C1640" s="450">
        <f>TrialBalance!C318</f>
        <v>0</v>
      </c>
      <c r="D1640" s="459"/>
      <c r="E1640" s="450"/>
      <c r="F1640" s="450"/>
      <c r="G1640" s="450"/>
      <c r="H1640" s="450"/>
      <c r="I1640" s="450"/>
      <c r="J1640" s="450"/>
      <c r="L1640" s="350"/>
      <c r="M1640" s="350"/>
      <c r="N1640" s="345"/>
      <c r="O1640" s="296">
        <f>TrialBalance!L318</f>
        <v>0</v>
      </c>
      <c r="R1640" s="348" t="str">
        <f t="shared" si="92"/>
        <v>DELETE</v>
      </c>
    </row>
    <row r="1641" spans="2:22" ht="9" customHeight="1" x14ac:dyDescent="0.5">
      <c r="B1641" s="316"/>
      <c r="C1641" s="456"/>
      <c r="D1641" s="450"/>
      <c r="E1641" s="450"/>
      <c r="F1641" s="450"/>
      <c r="G1641" s="450"/>
      <c r="H1641" s="450"/>
      <c r="I1641" s="450"/>
      <c r="J1641" s="450"/>
      <c r="L1641" s="350"/>
      <c r="M1641" s="350"/>
      <c r="N1641" s="345"/>
      <c r="O1641" s="298"/>
      <c r="R1641" s="348" t="str">
        <f>R1643</f>
        <v>DELETE</v>
      </c>
    </row>
    <row r="1642" spans="2:22" ht="9" customHeight="1" x14ac:dyDescent="0.5">
      <c r="B1642" s="316"/>
      <c r="C1642" s="456"/>
      <c r="D1642" s="450"/>
      <c r="E1642" s="450"/>
      <c r="F1642" s="450"/>
      <c r="G1642" s="450"/>
      <c r="H1642" s="450"/>
      <c r="I1642" s="450"/>
      <c r="J1642" s="450"/>
      <c r="L1642" s="350"/>
      <c r="M1642" s="350"/>
      <c r="N1642" s="345"/>
      <c r="O1642" s="296"/>
      <c r="R1642" s="348" t="str">
        <f>R1643</f>
        <v>DELETE</v>
      </c>
    </row>
    <row r="1643" spans="2:22" ht="36.75" customHeight="1" x14ac:dyDescent="0.5">
      <c r="B1643" s="316"/>
      <c r="C1643" s="456"/>
      <c r="D1643" s="450"/>
      <c r="E1643" s="450"/>
      <c r="F1643" s="450"/>
      <c r="G1643" s="450"/>
      <c r="H1643" s="450"/>
      <c r="I1643" s="450"/>
      <c r="J1643" s="450"/>
      <c r="L1643" s="350"/>
      <c r="M1643" s="350"/>
      <c r="N1643" s="345"/>
      <c r="O1643" s="296">
        <f>SUM(O1636:O1642)</f>
        <v>0</v>
      </c>
      <c r="R1643" s="348" t="str">
        <f t="shared" ref="R1643" si="93">IF(O1643=0,"DELETE"," ")</f>
        <v>DELETE</v>
      </c>
      <c r="U1643" s="338"/>
      <c r="V1643" s="338"/>
    </row>
    <row r="1644" spans="2:22" ht="9" customHeight="1" thickBot="1" x14ac:dyDescent="0.55000000000000004">
      <c r="B1644" s="316"/>
      <c r="C1644" s="456"/>
      <c r="D1644" s="450"/>
      <c r="E1644" s="450"/>
      <c r="F1644" s="450"/>
      <c r="G1644" s="450"/>
      <c r="H1644" s="450"/>
      <c r="I1644" s="450"/>
      <c r="J1644" s="450"/>
      <c r="L1644" s="350"/>
      <c r="M1644" s="350"/>
      <c r="N1644" s="345"/>
      <c r="O1644" s="299"/>
      <c r="R1644" s="348" t="str">
        <f>R1643</f>
        <v>DELETE</v>
      </c>
    </row>
    <row r="1645" spans="2:22" ht="9" customHeight="1" thickTop="1" x14ac:dyDescent="0.5">
      <c r="B1645" s="316"/>
      <c r="C1645" s="456"/>
      <c r="D1645" s="450"/>
      <c r="E1645" s="450"/>
      <c r="F1645" s="450"/>
      <c r="G1645" s="450"/>
      <c r="H1645" s="450"/>
      <c r="I1645" s="450"/>
      <c r="J1645" s="450"/>
      <c r="L1645" s="350"/>
      <c r="M1645" s="350"/>
      <c r="N1645" s="345"/>
      <c r="O1645" s="310"/>
      <c r="R1645" s="348" t="str">
        <f>R1644</f>
        <v>DELETE</v>
      </c>
    </row>
    <row r="1646" spans="2:22" ht="36.75" customHeight="1" x14ac:dyDescent="0.5">
      <c r="B1646" s="316"/>
      <c r="C1646" s="456"/>
      <c r="D1646" s="450"/>
      <c r="E1646" s="450"/>
      <c r="F1646" s="450"/>
      <c r="G1646" s="450"/>
      <c r="H1646" s="450"/>
      <c r="I1646" s="450"/>
      <c r="J1646" s="450"/>
      <c r="L1646" s="350"/>
      <c r="M1646" s="350"/>
      <c r="N1646" s="345"/>
      <c r="O1646" s="296"/>
      <c r="R1646" s="348" t="str">
        <f t="shared" ref="R1646:R1654" si="94">R$1643</f>
        <v>DELETE</v>
      </c>
    </row>
    <row r="1647" spans="2:22" ht="9" customHeight="1" x14ac:dyDescent="0.5">
      <c r="B1647" s="316"/>
      <c r="C1647" s="456"/>
      <c r="D1647" s="450"/>
      <c r="E1647" s="450"/>
      <c r="F1647" s="450"/>
      <c r="G1647" s="450"/>
      <c r="H1647" s="450"/>
      <c r="I1647" s="450"/>
      <c r="J1647" s="450"/>
      <c r="L1647" s="350"/>
      <c r="M1647" s="350"/>
      <c r="N1647" s="345"/>
      <c r="O1647" s="298"/>
      <c r="R1647" s="348" t="str">
        <f>R1648</f>
        <v>DELETE</v>
      </c>
    </row>
    <row r="1648" spans="2:22" ht="9" customHeight="1" x14ac:dyDescent="0.5">
      <c r="B1648" s="316"/>
      <c r="C1648" s="456"/>
      <c r="D1648" s="450"/>
      <c r="E1648" s="450"/>
      <c r="F1648" s="450"/>
      <c r="G1648" s="450"/>
      <c r="H1648" s="450"/>
      <c r="I1648" s="450"/>
      <c r="J1648" s="450"/>
      <c r="L1648" s="350"/>
      <c r="M1648" s="350"/>
      <c r="N1648" s="345"/>
      <c r="O1648" s="296"/>
      <c r="R1648" s="348" t="str">
        <f>R1649</f>
        <v>DELETE</v>
      </c>
    </row>
    <row r="1649" spans="2:18" ht="36.75" customHeight="1" x14ac:dyDescent="0.5">
      <c r="B1649" s="316"/>
      <c r="C1649" s="450" t="str">
        <f>IF(MAX(Criteria!I38:I42)&gt;1,"Directors' valuation","Director's valuation")</f>
        <v>Directors' valuation</v>
      </c>
      <c r="D1649" s="450"/>
      <c r="E1649" s="450"/>
      <c r="F1649" s="450"/>
      <c r="G1649" s="450"/>
      <c r="H1649" s="450"/>
      <c r="I1649" s="450"/>
      <c r="J1649" s="450"/>
      <c r="L1649" s="350"/>
      <c r="M1649" s="350"/>
      <c r="N1649" s="345"/>
      <c r="O1649" s="296">
        <f>Criteria!G240</f>
        <v>0</v>
      </c>
      <c r="R1649" s="348" t="str">
        <f t="shared" ref="R1649" si="95">IF(O1649=0,"DELETE"," ")</f>
        <v>DELETE</v>
      </c>
    </row>
    <row r="1650" spans="2:18" ht="9" customHeight="1" thickBot="1" x14ac:dyDescent="0.55000000000000004">
      <c r="B1650" s="316"/>
      <c r="C1650" s="456"/>
      <c r="D1650" s="450"/>
      <c r="E1650" s="450"/>
      <c r="F1650" s="450"/>
      <c r="G1650" s="450"/>
      <c r="H1650" s="450"/>
      <c r="I1650" s="450"/>
      <c r="J1650" s="450"/>
      <c r="L1650" s="350"/>
      <c r="M1650" s="350"/>
      <c r="N1650" s="345"/>
      <c r="O1650" s="299"/>
      <c r="R1650" s="348" t="str">
        <f>R1649</f>
        <v>DELETE</v>
      </c>
    </row>
    <row r="1651" spans="2:18" ht="9" customHeight="1" thickTop="1" x14ac:dyDescent="0.5">
      <c r="B1651" s="316"/>
      <c r="C1651" s="456"/>
      <c r="D1651" s="450"/>
      <c r="E1651" s="450"/>
      <c r="F1651" s="450"/>
      <c r="G1651" s="450"/>
      <c r="H1651" s="450"/>
      <c r="I1651" s="450"/>
      <c r="J1651" s="450"/>
      <c r="L1651" s="350"/>
      <c r="M1651" s="350"/>
      <c r="N1651" s="345"/>
      <c r="O1651" s="296"/>
      <c r="R1651" s="348" t="str">
        <f>R1650</f>
        <v>DELETE</v>
      </c>
    </row>
    <row r="1652" spans="2:18" ht="36" customHeight="1" x14ac:dyDescent="0.5">
      <c r="B1652" s="316"/>
      <c r="C1652" s="456"/>
      <c r="D1652" s="450"/>
      <c r="E1652" s="450"/>
      <c r="F1652" s="450"/>
      <c r="G1652" s="450"/>
      <c r="H1652" s="450"/>
      <c r="I1652" s="450"/>
      <c r="J1652" s="450"/>
      <c r="M1652" s="296"/>
      <c r="N1652" s="296"/>
      <c r="O1652" s="296"/>
      <c r="R1652" s="348" t="str">
        <f t="shared" si="94"/>
        <v>DELETE</v>
      </c>
    </row>
    <row r="1653" spans="2:18" ht="36" customHeight="1" x14ac:dyDescent="0.5">
      <c r="B1653" s="316"/>
      <c r="C1653" s="456"/>
      <c r="D1653" s="450"/>
      <c r="E1653" s="450"/>
      <c r="F1653" s="450"/>
      <c r="G1653" s="450"/>
      <c r="H1653" s="450"/>
      <c r="I1653" s="450"/>
      <c r="J1653" s="450"/>
      <c r="M1653" s="310"/>
      <c r="N1653" s="310"/>
      <c r="O1653" s="310"/>
      <c r="P1653" s="356"/>
      <c r="R1653" s="348" t="str">
        <f t="shared" si="94"/>
        <v>DELETE</v>
      </c>
    </row>
    <row r="1654" spans="2:18" ht="36" customHeight="1" x14ac:dyDescent="0.5">
      <c r="B1654" s="316"/>
      <c r="C1654" s="456"/>
      <c r="D1654" s="450"/>
      <c r="E1654" s="450"/>
      <c r="F1654" s="450"/>
      <c r="G1654" s="450"/>
      <c r="H1654" s="450"/>
      <c r="I1654" s="450"/>
      <c r="J1654" s="450"/>
      <c r="M1654" s="296"/>
      <c r="N1654" s="296"/>
      <c r="O1654" s="296"/>
      <c r="R1654" s="348" t="str">
        <f t="shared" si="94"/>
        <v>DELETE</v>
      </c>
    </row>
    <row r="1655" spans="2:18" ht="36" customHeight="1" x14ac:dyDescent="0.5">
      <c r="B1655" s="354"/>
      <c r="C1655" s="450"/>
      <c r="D1655" s="450"/>
      <c r="E1655" s="450"/>
      <c r="F1655" s="450"/>
      <c r="G1655" s="450"/>
      <c r="H1655" s="450"/>
      <c r="I1655" s="450"/>
      <c r="J1655" s="450"/>
      <c r="M1655" s="351"/>
      <c r="N1655" s="351"/>
      <c r="O1655" s="296" t="s">
        <v>89</v>
      </c>
      <c r="Q1655" s="292">
        <f>MAX($Q$105:Q1654)+1</f>
        <v>44</v>
      </c>
      <c r="R1655" s="348" t="str">
        <f>R$1707</f>
        <v>DELETE</v>
      </c>
    </row>
    <row r="1656" spans="2:18" ht="36" customHeight="1" x14ac:dyDescent="0.5">
      <c r="B1656" s="354"/>
      <c r="C1656" s="450"/>
      <c r="D1656" s="456" t="str">
        <f>Criteria!E9</f>
        <v>HOLDING COMPANY 268 (PROPRIETARY) LIMITED</v>
      </c>
      <c r="E1656" s="450"/>
      <c r="F1656" s="450"/>
      <c r="G1656" s="450"/>
      <c r="H1656" s="450"/>
      <c r="I1656" s="450"/>
      <c r="J1656" s="450"/>
      <c r="M1656" s="351"/>
      <c r="N1656" s="351"/>
      <c r="O1656" s="347"/>
      <c r="R1656" s="348" t="str">
        <f t="shared" ref="R1656:R1666" si="96">R$1707</f>
        <v>DELETE</v>
      </c>
    </row>
    <row r="1657" spans="2:18" ht="36" customHeight="1" x14ac:dyDescent="0.5">
      <c r="B1657" s="354"/>
      <c r="C1657" s="450"/>
      <c r="D1657" s="456" t="str">
        <f>Criteria!E10</f>
        <v>CONSOLIDATED FINANCIAL STATEMENTS</v>
      </c>
      <c r="E1657" s="450"/>
      <c r="F1657" s="450"/>
      <c r="G1657" s="450"/>
      <c r="H1657" s="450"/>
      <c r="I1657" s="450"/>
      <c r="J1657" s="450"/>
      <c r="M1657" s="351"/>
      <c r="N1657" s="351"/>
      <c r="O1657" s="351"/>
      <c r="R1657" s="348" t="str">
        <f>IF(R$1707="DELETE","DELETE",IF(D1657=0,"DELETE"," "))</f>
        <v>DELETE</v>
      </c>
    </row>
    <row r="1658" spans="2:18" ht="36" customHeight="1" x14ac:dyDescent="0.5">
      <c r="B1658" s="354"/>
      <c r="C1658" s="450"/>
      <c r="D1658" s="450"/>
      <c r="E1658" s="450"/>
      <c r="F1658" s="450"/>
      <c r="G1658" s="450"/>
      <c r="H1658" s="450"/>
      <c r="I1658" s="450"/>
      <c r="J1658" s="450"/>
      <c r="M1658" s="351"/>
      <c r="N1658" s="351"/>
      <c r="O1658" s="351"/>
      <c r="R1658" s="348" t="str">
        <f t="shared" si="96"/>
        <v>DELETE</v>
      </c>
    </row>
    <row r="1659" spans="2:18" ht="36" customHeight="1" x14ac:dyDescent="0.5">
      <c r="B1659" s="354"/>
      <c r="C1659" s="450"/>
      <c r="D1659" s="456" t="s">
        <v>351</v>
      </c>
      <c r="E1659" s="450"/>
      <c r="F1659" s="450"/>
      <c r="G1659" s="450"/>
      <c r="H1659" s="450"/>
      <c r="I1659" s="450"/>
      <c r="J1659" s="450"/>
      <c r="M1659" s="351"/>
      <c r="N1659" s="351"/>
      <c r="O1659" s="351"/>
      <c r="R1659" s="348" t="str">
        <f t="shared" si="96"/>
        <v>DELETE</v>
      </c>
    </row>
    <row r="1660" spans="2:18" ht="36" customHeight="1" x14ac:dyDescent="0.5">
      <c r="B1660" s="354"/>
      <c r="C1660" s="450"/>
      <c r="D1660" s="456" t="str">
        <f>Criteria!E20</f>
        <v>28 FEBRUARY 2025</v>
      </c>
      <c r="E1660" s="450"/>
      <c r="F1660" s="450"/>
      <c r="G1660" s="450"/>
      <c r="H1660" s="450"/>
      <c r="I1660" s="450"/>
      <c r="J1660" s="450" t="s">
        <v>231</v>
      </c>
      <c r="M1660" s="351"/>
      <c r="N1660" s="351"/>
      <c r="O1660" s="351"/>
      <c r="R1660" s="348" t="str">
        <f t="shared" si="96"/>
        <v>DELETE</v>
      </c>
    </row>
    <row r="1661" spans="2:18" ht="36" customHeight="1" x14ac:dyDescent="0.5">
      <c r="B1661" s="354"/>
      <c r="C1661" s="450"/>
      <c r="D1661" s="450"/>
      <c r="E1661" s="450"/>
      <c r="F1661" s="450"/>
      <c r="G1661" s="450"/>
      <c r="H1661" s="450"/>
      <c r="I1661" s="450"/>
      <c r="J1661" s="450"/>
      <c r="M1661" s="372"/>
      <c r="N1661" s="372"/>
      <c r="O1661" s="372"/>
      <c r="R1661" s="348" t="str">
        <f t="shared" si="96"/>
        <v>DELETE</v>
      </c>
    </row>
    <row r="1662" spans="2:18" ht="36" customHeight="1" x14ac:dyDescent="0.5">
      <c r="B1662" s="368"/>
      <c r="C1662" s="460"/>
      <c r="D1662" s="460"/>
      <c r="E1662" s="460"/>
      <c r="F1662" s="460"/>
      <c r="G1662" s="460"/>
      <c r="H1662" s="460"/>
      <c r="I1662" s="460"/>
      <c r="J1662" s="460"/>
      <c r="K1662" s="364"/>
      <c r="L1662" s="364"/>
      <c r="M1662" s="378"/>
      <c r="N1662" s="378"/>
      <c r="O1662" s="378"/>
      <c r="P1662" s="367"/>
      <c r="Q1662" s="364"/>
      <c r="R1662" s="348" t="str">
        <f t="shared" si="96"/>
        <v>DELETE</v>
      </c>
    </row>
    <row r="1663" spans="2:18" ht="36" customHeight="1" x14ac:dyDescent="0.5">
      <c r="B1663" s="316"/>
      <c r="C1663" s="456"/>
      <c r="D1663" s="450"/>
      <c r="E1663" s="450"/>
      <c r="F1663" s="450"/>
      <c r="G1663" s="450"/>
      <c r="H1663" s="450"/>
      <c r="I1663" s="450"/>
      <c r="J1663" s="450"/>
      <c r="L1663" s="350"/>
      <c r="M1663" s="350"/>
      <c r="N1663" s="345"/>
      <c r="O1663" s="294">
        <f>Criteria!E22</f>
        <v>2025</v>
      </c>
      <c r="R1663" s="348" t="str">
        <f t="shared" si="96"/>
        <v>DELETE</v>
      </c>
    </row>
    <row r="1664" spans="2:18" ht="36" customHeight="1" x14ac:dyDescent="0.5">
      <c r="B1664" s="316"/>
      <c r="C1664" s="456"/>
      <c r="D1664" s="450"/>
      <c r="E1664" s="450"/>
      <c r="F1664" s="450"/>
      <c r="G1664" s="450"/>
      <c r="H1664" s="450"/>
      <c r="I1664" s="450"/>
      <c r="J1664" s="450"/>
      <c r="L1664" s="350"/>
      <c r="M1664" s="350"/>
      <c r="N1664" s="345"/>
      <c r="O1664" s="296"/>
      <c r="R1664" s="348" t="str">
        <f t="shared" si="96"/>
        <v>DELETE</v>
      </c>
    </row>
    <row r="1665" spans="2:19" ht="36" customHeight="1" x14ac:dyDescent="0.5">
      <c r="B1665" s="316">
        <f>MAX(B$602:B1664)+1</f>
        <v>15</v>
      </c>
      <c r="C1665" s="456" t="str">
        <f>IF(COUNTIF(TrialBalance!L320:L353,"&gt;0")&gt;1,"Non-current receivables","Non-current receivable")</f>
        <v>Non-current receivable</v>
      </c>
      <c r="D1665" s="450"/>
      <c r="E1665" s="450"/>
      <c r="F1665" s="450"/>
      <c r="G1665" s="450"/>
      <c r="H1665" s="450"/>
      <c r="I1665" s="450"/>
      <c r="J1665" s="450"/>
      <c r="L1665" s="350"/>
      <c r="M1665" s="350"/>
      <c r="N1665" s="345"/>
      <c r="O1665" s="296"/>
      <c r="R1665" s="348" t="str">
        <f t="shared" si="96"/>
        <v>DELETE</v>
      </c>
    </row>
    <row r="1666" spans="2:19" ht="36" customHeight="1" x14ac:dyDescent="0.5">
      <c r="B1666" s="316"/>
      <c r="C1666" s="456"/>
      <c r="D1666" s="450"/>
      <c r="E1666" s="450"/>
      <c r="F1666" s="450"/>
      <c r="G1666" s="450"/>
      <c r="H1666" s="450"/>
      <c r="I1666" s="450"/>
      <c r="J1666" s="450"/>
      <c r="L1666" s="350"/>
      <c r="M1666" s="350"/>
      <c r="N1666" s="345"/>
      <c r="O1666" s="296"/>
      <c r="R1666" s="348" t="str">
        <f t="shared" si="96"/>
        <v>DELETE</v>
      </c>
    </row>
    <row r="1667" spans="2:19" ht="36" customHeight="1" x14ac:dyDescent="0.5">
      <c r="B1667" s="316"/>
      <c r="C1667" s="450" t="str">
        <f>IF(COUNTIF(O1670:O1683,"&gt;0")&gt;1,"Interest bearing non-current receivables","Interest bearing non-current receivable")</f>
        <v>Interest bearing non-current receivable</v>
      </c>
      <c r="D1667" s="450"/>
      <c r="E1667" s="450"/>
      <c r="F1667" s="450"/>
      <c r="G1667" s="450"/>
      <c r="H1667" s="459"/>
      <c r="I1667" s="450"/>
      <c r="J1667" s="450"/>
      <c r="L1667" s="350"/>
      <c r="M1667" s="350"/>
      <c r="N1667" s="345"/>
      <c r="O1667" s="296">
        <f>SUM(O1669:O1684)</f>
        <v>0</v>
      </c>
      <c r="R1667" s="348" t="str">
        <f t="shared" ref="R1667" si="97">IF(O1667=0,"DELETE"," ")</f>
        <v>DELETE</v>
      </c>
      <c r="S1667" s="333">
        <f>O1667</f>
        <v>0</v>
      </c>
    </row>
    <row r="1668" spans="2:19" ht="9" customHeight="1" x14ac:dyDescent="0.5">
      <c r="B1668" s="316"/>
      <c r="C1668" s="450"/>
      <c r="D1668" s="450"/>
      <c r="E1668" s="450"/>
      <c r="F1668" s="450"/>
      <c r="G1668" s="450"/>
      <c r="H1668" s="459"/>
      <c r="I1668" s="450"/>
      <c r="J1668" s="450"/>
      <c r="L1668" s="350"/>
      <c r="M1668" s="350"/>
      <c r="N1668" s="345"/>
      <c r="O1668" s="296"/>
      <c r="R1668" s="348" t="str">
        <f>R1667</f>
        <v>DELETE</v>
      </c>
    </row>
    <row r="1669" spans="2:19" ht="9" customHeight="1" x14ac:dyDescent="0.5">
      <c r="B1669" s="316"/>
      <c r="C1669" s="450"/>
      <c r="D1669" s="450"/>
      <c r="E1669" s="450"/>
      <c r="F1669" s="450"/>
      <c r="G1669" s="450"/>
      <c r="H1669" s="459"/>
      <c r="I1669" s="450"/>
      <c r="J1669" s="450"/>
      <c r="L1669" s="350"/>
      <c r="M1669" s="350"/>
      <c r="N1669" s="345"/>
      <c r="O1669" s="407"/>
      <c r="R1669" s="348" t="str">
        <f>R1668</f>
        <v>DELETE</v>
      </c>
    </row>
    <row r="1670" spans="2:19" ht="36" customHeight="1" x14ac:dyDescent="0.5">
      <c r="B1670" s="316"/>
      <c r="C1670" s="450">
        <f>TrialBalance!C321</f>
        <v>0</v>
      </c>
      <c r="D1670" s="450"/>
      <c r="E1670" s="450"/>
      <c r="F1670" s="450"/>
      <c r="G1670" s="450"/>
      <c r="H1670" s="459"/>
      <c r="I1670" s="450"/>
      <c r="J1670" s="450"/>
      <c r="L1670" s="350"/>
      <c r="M1670" s="350"/>
      <c r="N1670" s="345"/>
      <c r="O1670" s="408">
        <f>TrialBalance!L321</f>
        <v>0</v>
      </c>
      <c r="R1670" s="348" t="str">
        <f t="shared" ref="R1670:R1683" si="98">IF(O1670=0,"DELETE"," ")</f>
        <v>DELETE</v>
      </c>
    </row>
    <row r="1671" spans="2:19" ht="36" customHeight="1" x14ac:dyDescent="0.5">
      <c r="B1671" s="316"/>
      <c r="C1671" s="450">
        <f>TrialBalance!C322</f>
        <v>0</v>
      </c>
      <c r="D1671" s="450"/>
      <c r="E1671" s="450"/>
      <c r="F1671" s="450"/>
      <c r="G1671" s="450"/>
      <c r="H1671" s="459"/>
      <c r="I1671" s="450"/>
      <c r="J1671" s="450"/>
      <c r="L1671" s="350"/>
      <c r="M1671" s="350"/>
      <c r="N1671" s="345"/>
      <c r="O1671" s="408">
        <f>TrialBalance!L322</f>
        <v>0</v>
      </c>
      <c r="R1671" s="348" t="str">
        <f t="shared" ref="R1671:R1672" si="99">IF(O1671=0,"DELETE"," ")</f>
        <v>DELETE</v>
      </c>
    </row>
    <row r="1672" spans="2:19" ht="36" customHeight="1" x14ac:dyDescent="0.5">
      <c r="B1672" s="316"/>
      <c r="C1672" s="450">
        <f>TrialBalance!C323</f>
        <v>0</v>
      </c>
      <c r="D1672" s="450"/>
      <c r="E1672" s="450"/>
      <c r="F1672" s="450"/>
      <c r="G1672" s="450"/>
      <c r="H1672" s="459"/>
      <c r="I1672" s="450"/>
      <c r="J1672" s="450"/>
      <c r="L1672" s="350"/>
      <c r="M1672" s="350"/>
      <c r="N1672" s="345"/>
      <c r="O1672" s="408">
        <f>TrialBalance!L323</f>
        <v>0</v>
      </c>
      <c r="R1672" s="348" t="str">
        <f t="shared" si="99"/>
        <v>DELETE</v>
      </c>
    </row>
    <row r="1673" spans="2:19" ht="36" customHeight="1" x14ac:dyDescent="0.5">
      <c r="B1673" s="316"/>
      <c r="C1673" s="450">
        <f>TrialBalance!C324</f>
        <v>0</v>
      </c>
      <c r="D1673" s="450"/>
      <c r="E1673" s="450"/>
      <c r="F1673" s="450"/>
      <c r="G1673" s="450"/>
      <c r="H1673" s="459"/>
      <c r="I1673" s="450"/>
      <c r="J1673" s="450"/>
      <c r="L1673" s="350"/>
      <c r="M1673" s="350"/>
      <c r="N1673" s="345"/>
      <c r="O1673" s="408">
        <f>TrialBalance!L324</f>
        <v>0</v>
      </c>
      <c r="R1673" s="348" t="str">
        <f t="shared" ref="R1673:R1678" si="100">IF(O1673=0,"DELETE"," ")</f>
        <v>DELETE</v>
      </c>
    </row>
    <row r="1674" spans="2:19" ht="36" customHeight="1" x14ac:dyDescent="0.5">
      <c r="B1674" s="316"/>
      <c r="C1674" s="450">
        <f>TrialBalance!C325</f>
        <v>0</v>
      </c>
      <c r="D1674" s="450"/>
      <c r="E1674" s="450"/>
      <c r="F1674" s="450"/>
      <c r="G1674" s="450"/>
      <c r="H1674" s="459"/>
      <c r="I1674" s="450"/>
      <c r="J1674" s="450"/>
      <c r="L1674" s="350"/>
      <c r="M1674" s="350"/>
      <c r="N1674" s="345"/>
      <c r="O1674" s="408">
        <f>TrialBalance!L325</f>
        <v>0</v>
      </c>
      <c r="R1674" s="348" t="str">
        <f t="shared" si="100"/>
        <v>DELETE</v>
      </c>
    </row>
    <row r="1675" spans="2:19" ht="36" customHeight="1" x14ac:dyDescent="0.5">
      <c r="B1675" s="316"/>
      <c r="C1675" s="450">
        <f>TrialBalance!C326</f>
        <v>0</v>
      </c>
      <c r="D1675" s="450"/>
      <c r="E1675" s="450"/>
      <c r="F1675" s="450"/>
      <c r="G1675" s="450"/>
      <c r="H1675" s="459"/>
      <c r="I1675" s="450"/>
      <c r="J1675" s="450"/>
      <c r="L1675" s="350"/>
      <c r="M1675" s="350"/>
      <c r="N1675" s="345"/>
      <c r="O1675" s="408">
        <f>TrialBalance!L326</f>
        <v>0</v>
      </c>
      <c r="R1675" s="348" t="str">
        <f t="shared" si="100"/>
        <v>DELETE</v>
      </c>
    </row>
    <row r="1676" spans="2:19" ht="36" customHeight="1" x14ac:dyDescent="0.5">
      <c r="B1676" s="316"/>
      <c r="C1676" s="450">
        <f>TrialBalance!C327</f>
        <v>0</v>
      </c>
      <c r="D1676" s="450"/>
      <c r="E1676" s="450"/>
      <c r="F1676" s="450"/>
      <c r="G1676" s="450"/>
      <c r="H1676" s="459"/>
      <c r="I1676" s="450"/>
      <c r="J1676" s="450"/>
      <c r="L1676" s="350"/>
      <c r="M1676" s="350"/>
      <c r="N1676" s="345"/>
      <c r="O1676" s="408">
        <f>TrialBalance!L327</f>
        <v>0</v>
      </c>
      <c r="R1676" s="348" t="str">
        <f t="shared" si="100"/>
        <v>DELETE</v>
      </c>
    </row>
    <row r="1677" spans="2:19" ht="36" customHeight="1" x14ac:dyDescent="0.5">
      <c r="B1677" s="316"/>
      <c r="C1677" s="450">
        <f>TrialBalance!C328</f>
        <v>0</v>
      </c>
      <c r="D1677" s="450"/>
      <c r="E1677" s="450"/>
      <c r="F1677" s="450"/>
      <c r="G1677" s="450"/>
      <c r="H1677" s="459"/>
      <c r="I1677" s="450"/>
      <c r="J1677" s="450"/>
      <c r="L1677" s="350"/>
      <c r="M1677" s="350"/>
      <c r="N1677" s="345"/>
      <c r="O1677" s="408">
        <f>TrialBalance!L328</f>
        <v>0</v>
      </c>
      <c r="R1677" s="348" t="str">
        <f t="shared" si="100"/>
        <v>DELETE</v>
      </c>
    </row>
    <row r="1678" spans="2:19" ht="36" customHeight="1" x14ac:dyDescent="0.5">
      <c r="B1678" s="316"/>
      <c r="C1678" s="450">
        <f>TrialBalance!C329</f>
        <v>0</v>
      </c>
      <c r="D1678" s="450"/>
      <c r="E1678" s="450"/>
      <c r="F1678" s="450"/>
      <c r="G1678" s="450"/>
      <c r="H1678" s="459"/>
      <c r="I1678" s="450"/>
      <c r="J1678" s="450"/>
      <c r="L1678" s="350"/>
      <c r="M1678" s="350"/>
      <c r="N1678" s="345"/>
      <c r="O1678" s="408">
        <f>TrialBalance!L329</f>
        <v>0</v>
      </c>
      <c r="R1678" s="348" t="str">
        <f t="shared" si="100"/>
        <v>DELETE</v>
      </c>
    </row>
    <row r="1679" spans="2:19" ht="36" customHeight="1" x14ac:dyDescent="0.5">
      <c r="B1679" s="316"/>
      <c r="C1679" s="450">
        <f>TrialBalance!C330</f>
        <v>0</v>
      </c>
      <c r="D1679" s="450"/>
      <c r="E1679" s="450"/>
      <c r="F1679" s="450"/>
      <c r="G1679" s="450"/>
      <c r="H1679" s="459"/>
      <c r="I1679" s="450"/>
      <c r="J1679" s="450"/>
      <c r="L1679" s="350"/>
      <c r="M1679" s="350"/>
      <c r="N1679" s="345"/>
      <c r="O1679" s="408">
        <f>TrialBalance!L330</f>
        <v>0</v>
      </c>
      <c r="R1679" s="348" t="str">
        <f t="shared" si="98"/>
        <v>DELETE</v>
      </c>
    </row>
    <row r="1680" spans="2:19" ht="36" customHeight="1" x14ac:dyDescent="0.5">
      <c r="B1680" s="316"/>
      <c r="C1680" s="450">
        <f>TrialBalance!C344</f>
        <v>0</v>
      </c>
      <c r="D1680" s="450"/>
      <c r="E1680" s="450"/>
      <c r="F1680" s="450"/>
      <c r="G1680" s="450"/>
      <c r="H1680" s="459"/>
      <c r="I1680" s="450"/>
      <c r="J1680" s="450"/>
      <c r="L1680" s="350"/>
      <c r="M1680" s="350"/>
      <c r="N1680" s="345"/>
      <c r="O1680" s="408">
        <f>TrialBalance!L344</f>
        <v>0</v>
      </c>
      <c r="R1680" s="348" t="str">
        <f t="shared" si="98"/>
        <v>DELETE</v>
      </c>
    </row>
    <row r="1681" spans="2:19" ht="36" customHeight="1" x14ac:dyDescent="0.5">
      <c r="B1681" s="316"/>
      <c r="C1681" s="450">
        <f>TrialBalance!C345</f>
        <v>0</v>
      </c>
      <c r="D1681" s="450"/>
      <c r="E1681" s="450"/>
      <c r="F1681" s="450"/>
      <c r="G1681" s="450"/>
      <c r="H1681" s="459"/>
      <c r="I1681" s="450"/>
      <c r="J1681" s="450"/>
      <c r="L1681" s="350"/>
      <c r="M1681" s="350"/>
      <c r="N1681" s="345"/>
      <c r="O1681" s="408">
        <f>TrialBalance!L345</f>
        <v>0</v>
      </c>
      <c r="R1681" s="348" t="str">
        <f t="shared" si="98"/>
        <v>DELETE</v>
      </c>
    </row>
    <row r="1682" spans="2:19" ht="36" customHeight="1" x14ac:dyDescent="0.5">
      <c r="B1682" s="316"/>
      <c r="C1682" s="450">
        <f>TrialBalance!C346</f>
        <v>0</v>
      </c>
      <c r="D1682" s="450"/>
      <c r="E1682" s="450"/>
      <c r="F1682" s="450"/>
      <c r="G1682" s="450"/>
      <c r="H1682" s="459"/>
      <c r="I1682" s="450"/>
      <c r="J1682" s="450"/>
      <c r="L1682" s="350"/>
      <c r="M1682" s="350"/>
      <c r="N1682" s="345"/>
      <c r="O1682" s="408">
        <f>TrialBalance!L346</f>
        <v>0</v>
      </c>
      <c r="R1682" s="348" t="str">
        <f t="shared" ref="R1682" si="101">IF(O1682=0,"DELETE"," ")</f>
        <v>DELETE</v>
      </c>
    </row>
    <row r="1683" spans="2:19" ht="36" customHeight="1" x14ac:dyDescent="0.5">
      <c r="B1683" s="316"/>
      <c r="C1683" s="450">
        <f>TrialBalance!C347</f>
        <v>0</v>
      </c>
      <c r="D1683" s="450"/>
      <c r="E1683" s="450"/>
      <c r="F1683" s="450"/>
      <c r="G1683" s="450"/>
      <c r="H1683" s="459"/>
      <c r="I1683" s="450"/>
      <c r="J1683" s="450"/>
      <c r="L1683" s="350"/>
      <c r="M1683" s="350"/>
      <c r="N1683" s="345"/>
      <c r="O1683" s="408">
        <f>TrialBalance!L347</f>
        <v>0</v>
      </c>
      <c r="R1683" s="348" t="str">
        <f t="shared" si="98"/>
        <v>DELETE</v>
      </c>
    </row>
    <row r="1684" spans="2:19" ht="9" customHeight="1" x14ac:dyDescent="0.5">
      <c r="B1684" s="316"/>
      <c r="C1684" s="450"/>
      <c r="D1684" s="450"/>
      <c r="E1684" s="450"/>
      <c r="F1684" s="450"/>
      <c r="G1684" s="450"/>
      <c r="H1684" s="459"/>
      <c r="I1684" s="450"/>
      <c r="J1684" s="450"/>
      <c r="L1684" s="350"/>
      <c r="M1684" s="350"/>
      <c r="N1684" s="345"/>
      <c r="O1684" s="409"/>
      <c r="R1684" s="348" t="str">
        <f>R1667</f>
        <v>DELETE</v>
      </c>
    </row>
    <row r="1685" spans="2:19" ht="9" customHeight="1" x14ac:dyDescent="0.5">
      <c r="B1685" s="316"/>
      <c r="C1685" s="450"/>
      <c r="D1685" s="450"/>
      <c r="E1685" s="450"/>
      <c r="F1685" s="450"/>
      <c r="G1685" s="450"/>
      <c r="H1685" s="459"/>
      <c r="I1685" s="450"/>
      <c r="J1685" s="450"/>
      <c r="L1685" s="350"/>
      <c r="M1685" s="350"/>
      <c r="N1685" s="345"/>
      <c r="O1685" s="296"/>
      <c r="R1685" s="348" t="str">
        <f>R1684</f>
        <v>DELETE</v>
      </c>
    </row>
    <row r="1686" spans="2:19" ht="36.75" customHeight="1" x14ac:dyDescent="0.5">
      <c r="B1686" s="316"/>
      <c r="C1686" s="450" t="str">
        <f>IF(COUNTIF(O1689:O1703,"&gt;0")&gt;1,"Interest free non-current receivables","Interest free non-current receivable")</f>
        <v>Interest free non-current receivable</v>
      </c>
      <c r="D1686" s="450"/>
      <c r="E1686" s="450"/>
      <c r="F1686" s="450"/>
      <c r="G1686" s="450"/>
      <c r="H1686" s="459"/>
      <c r="I1686" s="450"/>
      <c r="J1686" s="450"/>
      <c r="L1686" s="350"/>
      <c r="M1686" s="350"/>
      <c r="N1686" s="345"/>
      <c r="O1686" s="296">
        <f>SUM(O1688:O1704)</f>
        <v>0</v>
      </c>
      <c r="R1686" s="348" t="str">
        <f t="shared" ref="R1686" si="102">IF(O1686=0,"DELETE"," ")</f>
        <v>DELETE</v>
      </c>
      <c r="S1686" s="333">
        <f>O1686</f>
        <v>0</v>
      </c>
    </row>
    <row r="1687" spans="2:19" ht="9" customHeight="1" x14ac:dyDescent="0.5">
      <c r="B1687" s="316"/>
      <c r="C1687" s="450"/>
      <c r="D1687" s="450"/>
      <c r="E1687" s="450"/>
      <c r="F1687" s="450"/>
      <c r="G1687" s="450"/>
      <c r="H1687" s="459"/>
      <c r="I1687" s="450"/>
      <c r="J1687" s="450"/>
      <c r="L1687" s="350"/>
      <c r="M1687" s="350"/>
      <c r="N1687" s="345"/>
      <c r="O1687" s="296"/>
      <c r="R1687" s="348" t="str">
        <f>R1686</f>
        <v>DELETE</v>
      </c>
    </row>
    <row r="1688" spans="2:19" ht="9" customHeight="1" x14ac:dyDescent="0.5">
      <c r="B1688" s="316"/>
      <c r="C1688" s="450"/>
      <c r="D1688" s="450"/>
      <c r="E1688" s="450"/>
      <c r="F1688" s="450"/>
      <c r="G1688" s="450"/>
      <c r="H1688" s="459"/>
      <c r="I1688" s="450"/>
      <c r="J1688" s="450"/>
      <c r="L1688" s="350"/>
      <c r="M1688" s="350"/>
      <c r="N1688" s="345"/>
      <c r="O1688" s="407"/>
      <c r="R1688" s="348" t="str">
        <f>R1687</f>
        <v>DELETE</v>
      </c>
    </row>
    <row r="1689" spans="2:19" ht="36" customHeight="1" x14ac:dyDescent="0.5">
      <c r="B1689" s="316"/>
      <c r="C1689" s="450">
        <f>TrialBalance!C332</f>
        <v>0</v>
      </c>
      <c r="D1689" s="450"/>
      <c r="E1689" s="450"/>
      <c r="F1689" s="450"/>
      <c r="G1689" s="450"/>
      <c r="H1689" s="459"/>
      <c r="I1689" s="450"/>
      <c r="J1689" s="450"/>
      <c r="L1689" s="350"/>
      <c r="M1689" s="350"/>
      <c r="N1689" s="345"/>
      <c r="O1689" s="408">
        <f>TrialBalance!L332</f>
        <v>0</v>
      </c>
      <c r="R1689" s="348" t="str">
        <f t="shared" ref="R1689:R1703" si="103">IF(O1689=0,"DELETE"," ")</f>
        <v>DELETE</v>
      </c>
    </row>
    <row r="1690" spans="2:19" ht="36" customHeight="1" x14ac:dyDescent="0.5">
      <c r="B1690" s="316"/>
      <c r="C1690" s="450">
        <f>TrialBalance!C333</f>
        <v>0</v>
      </c>
      <c r="D1690" s="450"/>
      <c r="E1690" s="450"/>
      <c r="F1690" s="450"/>
      <c r="G1690" s="450"/>
      <c r="H1690" s="459"/>
      <c r="I1690" s="450"/>
      <c r="J1690" s="450"/>
      <c r="L1690" s="350"/>
      <c r="M1690" s="350"/>
      <c r="N1690" s="345"/>
      <c r="O1690" s="408">
        <f>TrialBalance!L333</f>
        <v>0</v>
      </c>
      <c r="R1690" s="348" t="str">
        <f t="shared" ref="R1690" si="104">IF(O1690=0,"DELETE"," ")</f>
        <v>DELETE</v>
      </c>
    </row>
    <row r="1691" spans="2:19" ht="36" customHeight="1" x14ac:dyDescent="0.5">
      <c r="B1691" s="316"/>
      <c r="C1691" s="450">
        <f>TrialBalance!C334</f>
        <v>0</v>
      </c>
      <c r="D1691" s="450"/>
      <c r="E1691" s="450"/>
      <c r="F1691" s="450"/>
      <c r="G1691" s="450"/>
      <c r="H1691" s="459"/>
      <c r="I1691" s="450"/>
      <c r="J1691" s="450"/>
      <c r="L1691" s="350"/>
      <c r="M1691" s="350"/>
      <c r="N1691" s="345"/>
      <c r="O1691" s="408">
        <f>TrialBalance!L334</f>
        <v>0</v>
      </c>
      <c r="R1691" s="348" t="str">
        <f t="shared" si="103"/>
        <v>DELETE</v>
      </c>
    </row>
    <row r="1692" spans="2:19" ht="36" customHeight="1" x14ac:dyDescent="0.5">
      <c r="B1692" s="316"/>
      <c r="C1692" s="450">
        <f>TrialBalance!C335</f>
        <v>0</v>
      </c>
      <c r="D1692" s="450"/>
      <c r="E1692" s="450"/>
      <c r="F1692" s="450"/>
      <c r="G1692" s="450"/>
      <c r="H1692" s="459"/>
      <c r="I1692" s="450"/>
      <c r="J1692" s="450"/>
      <c r="L1692" s="350"/>
      <c r="M1692" s="350"/>
      <c r="N1692" s="345"/>
      <c r="O1692" s="408">
        <f>TrialBalance!L335</f>
        <v>0</v>
      </c>
      <c r="R1692" s="348" t="str">
        <f t="shared" ref="R1692:R1697" si="105">IF(O1692=0,"DELETE"," ")</f>
        <v>DELETE</v>
      </c>
    </row>
    <row r="1693" spans="2:19" ht="36" customHeight="1" x14ac:dyDescent="0.5">
      <c r="B1693" s="316"/>
      <c r="C1693" s="450">
        <f>TrialBalance!C336</f>
        <v>0</v>
      </c>
      <c r="D1693" s="450"/>
      <c r="E1693" s="450"/>
      <c r="F1693" s="450"/>
      <c r="G1693" s="450"/>
      <c r="H1693" s="459"/>
      <c r="I1693" s="450"/>
      <c r="J1693" s="450"/>
      <c r="L1693" s="350"/>
      <c r="M1693" s="350"/>
      <c r="N1693" s="345"/>
      <c r="O1693" s="408">
        <f>TrialBalance!L336</f>
        <v>0</v>
      </c>
      <c r="R1693" s="348" t="str">
        <f t="shared" si="105"/>
        <v>DELETE</v>
      </c>
    </row>
    <row r="1694" spans="2:19" ht="36" customHeight="1" x14ac:dyDescent="0.5">
      <c r="B1694" s="316"/>
      <c r="C1694" s="450">
        <f>TrialBalance!C337</f>
        <v>0</v>
      </c>
      <c r="D1694" s="450"/>
      <c r="E1694" s="450"/>
      <c r="F1694" s="450"/>
      <c r="G1694" s="450"/>
      <c r="H1694" s="459"/>
      <c r="I1694" s="450"/>
      <c r="J1694" s="450"/>
      <c r="L1694" s="350"/>
      <c r="M1694" s="350"/>
      <c r="N1694" s="345"/>
      <c r="O1694" s="408">
        <f>TrialBalance!L337</f>
        <v>0</v>
      </c>
      <c r="R1694" s="348" t="str">
        <f t="shared" si="105"/>
        <v>DELETE</v>
      </c>
    </row>
    <row r="1695" spans="2:19" ht="36" customHeight="1" x14ac:dyDescent="0.5">
      <c r="B1695" s="316"/>
      <c r="C1695" s="450">
        <f>TrialBalance!C338</f>
        <v>0</v>
      </c>
      <c r="D1695" s="450"/>
      <c r="E1695" s="450"/>
      <c r="F1695" s="450"/>
      <c r="G1695" s="450"/>
      <c r="H1695" s="459"/>
      <c r="I1695" s="450"/>
      <c r="J1695" s="450"/>
      <c r="L1695" s="350"/>
      <c r="M1695" s="350"/>
      <c r="N1695" s="345"/>
      <c r="O1695" s="408">
        <f>TrialBalance!L338</f>
        <v>0</v>
      </c>
      <c r="R1695" s="348" t="str">
        <f t="shared" si="105"/>
        <v>DELETE</v>
      </c>
    </row>
    <row r="1696" spans="2:19" ht="36" customHeight="1" x14ac:dyDescent="0.5">
      <c r="B1696" s="316"/>
      <c r="C1696" s="450">
        <f>TrialBalance!C339</f>
        <v>0</v>
      </c>
      <c r="D1696" s="450"/>
      <c r="E1696" s="450"/>
      <c r="F1696" s="450"/>
      <c r="G1696" s="450"/>
      <c r="H1696" s="459"/>
      <c r="I1696" s="450"/>
      <c r="J1696" s="450"/>
      <c r="L1696" s="350"/>
      <c r="M1696" s="350"/>
      <c r="N1696" s="345"/>
      <c r="O1696" s="408">
        <f>TrialBalance!L339</f>
        <v>0</v>
      </c>
      <c r="R1696" s="348" t="str">
        <f t="shared" si="105"/>
        <v>DELETE</v>
      </c>
    </row>
    <row r="1697" spans="2:18" ht="36" customHeight="1" x14ac:dyDescent="0.5">
      <c r="B1697" s="316"/>
      <c r="C1697" s="450">
        <f>TrialBalance!C340</f>
        <v>0</v>
      </c>
      <c r="D1697" s="450"/>
      <c r="E1697" s="450"/>
      <c r="F1697" s="450"/>
      <c r="G1697" s="450"/>
      <c r="H1697" s="459"/>
      <c r="I1697" s="450"/>
      <c r="J1697" s="450"/>
      <c r="L1697" s="350"/>
      <c r="M1697" s="350"/>
      <c r="N1697" s="345"/>
      <c r="O1697" s="408">
        <f>TrialBalance!L340</f>
        <v>0</v>
      </c>
      <c r="R1697" s="348" t="str">
        <f t="shared" si="105"/>
        <v>DELETE</v>
      </c>
    </row>
    <row r="1698" spans="2:18" ht="36" customHeight="1" x14ac:dyDescent="0.5">
      <c r="B1698" s="316"/>
      <c r="C1698" s="450">
        <f>TrialBalance!C341</f>
        <v>0</v>
      </c>
      <c r="D1698" s="450"/>
      <c r="E1698" s="450"/>
      <c r="F1698" s="450"/>
      <c r="G1698" s="450"/>
      <c r="H1698" s="459"/>
      <c r="I1698" s="450"/>
      <c r="J1698" s="450"/>
      <c r="L1698" s="350"/>
      <c r="M1698" s="350"/>
      <c r="N1698" s="345"/>
      <c r="O1698" s="408">
        <f>TrialBalance!L341</f>
        <v>0</v>
      </c>
      <c r="R1698" s="348" t="str">
        <f t="shared" si="103"/>
        <v>DELETE</v>
      </c>
    </row>
    <row r="1699" spans="2:18" ht="36" customHeight="1" x14ac:dyDescent="0.5">
      <c r="B1699" s="316"/>
      <c r="C1699" s="450">
        <f>TrialBalance!C349</f>
        <v>0</v>
      </c>
      <c r="D1699" s="450"/>
      <c r="E1699" s="450"/>
      <c r="F1699" s="450"/>
      <c r="G1699" s="450"/>
      <c r="H1699" s="459"/>
      <c r="I1699" s="450"/>
      <c r="J1699" s="450"/>
      <c r="L1699" s="350"/>
      <c r="M1699" s="350"/>
      <c r="N1699" s="345"/>
      <c r="O1699" s="408">
        <f>TrialBalance!L349</f>
        <v>0</v>
      </c>
      <c r="R1699" s="348" t="str">
        <f t="shared" si="103"/>
        <v>DELETE</v>
      </c>
    </row>
    <row r="1700" spans="2:18" ht="36" customHeight="1" x14ac:dyDescent="0.5">
      <c r="B1700" s="316"/>
      <c r="C1700" s="450">
        <f>TrialBalance!C350</f>
        <v>0</v>
      </c>
      <c r="D1700" s="450"/>
      <c r="E1700" s="450"/>
      <c r="F1700" s="450"/>
      <c r="G1700" s="450"/>
      <c r="H1700" s="459"/>
      <c r="I1700" s="450"/>
      <c r="J1700" s="450"/>
      <c r="L1700" s="350"/>
      <c r="M1700" s="350"/>
      <c r="N1700" s="345"/>
      <c r="O1700" s="408">
        <f>TrialBalance!L350</f>
        <v>0</v>
      </c>
      <c r="R1700" s="348" t="str">
        <f t="shared" si="103"/>
        <v>DELETE</v>
      </c>
    </row>
    <row r="1701" spans="2:18" ht="36" customHeight="1" x14ac:dyDescent="0.5">
      <c r="B1701" s="316"/>
      <c r="C1701" s="450">
        <f>TrialBalance!C351</f>
        <v>0</v>
      </c>
      <c r="D1701" s="450"/>
      <c r="E1701" s="450"/>
      <c r="F1701" s="450"/>
      <c r="G1701" s="450"/>
      <c r="H1701" s="459"/>
      <c r="I1701" s="450"/>
      <c r="J1701" s="450"/>
      <c r="L1701" s="350"/>
      <c r="M1701" s="350"/>
      <c r="N1701" s="345"/>
      <c r="O1701" s="408">
        <f>TrialBalance!L351</f>
        <v>0</v>
      </c>
      <c r="R1701" s="348" t="str">
        <f t="shared" si="103"/>
        <v>DELETE</v>
      </c>
    </row>
    <row r="1702" spans="2:18" ht="36" customHeight="1" x14ac:dyDescent="0.5">
      <c r="B1702" s="316"/>
      <c r="C1702" s="450">
        <f>TrialBalance!C352</f>
        <v>0</v>
      </c>
      <c r="D1702" s="450"/>
      <c r="E1702" s="450"/>
      <c r="F1702" s="450"/>
      <c r="G1702" s="450"/>
      <c r="H1702" s="459"/>
      <c r="I1702" s="450"/>
      <c r="J1702" s="450"/>
      <c r="L1702" s="350"/>
      <c r="M1702" s="350"/>
      <c r="N1702" s="345"/>
      <c r="O1702" s="408">
        <f>TrialBalance!L352</f>
        <v>0</v>
      </c>
      <c r="R1702" s="348" t="str">
        <f t="shared" si="103"/>
        <v>DELETE</v>
      </c>
    </row>
    <row r="1703" spans="2:18" ht="36" customHeight="1" x14ac:dyDescent="0.5">
      <c r="B1703" s="316"/>
      <c r="C1703" s="450">
        <f>TrialBalance!C353</f>
        <v>0</v>
      </c>
      <c r="D1703" s="450"/>
      <c r="E1703" s="450"/>
      <c r="F1703" s="450"/>
      <c r="G1703" s="450"/>
      <c r="H1703" s="459"/>
      <c r="I1703" s="450"/>
      <c r="J1703" s="450"/>
      <c r="L1703" s="350"/>
      <c r="M1703" s="350"/>
      <c r="N1703" s="345"/>
      <c r="O1703" s="408">
        <f>TrialBalance!L353</f>
        <v>0</v>
      </c>
      <c r="R1703" s="348" t="str">
        <f t="shared" si="103"/>
        <v>DELETE</v>
      </c>
    </row>
    <row r="1704" spans="2:18" ht="9" customHeight="1" x14ac:dyDescent="0.5">
      <c r="B1704" s="316"/>
      <c r="C1704" s="456"/>
      <c r="D1704" s="450"/>
      <c r="E1704" s="450"/>
      <c r="F1704" s="450"/>
      <c r="G1704" s="450"/>
      <c r="H1704" s="450"/>
      <c r="I1704" s="450"/>
      <c r="J1704" s="450"/>
      <c r="L1704" s="350"/>
      <c r="M1704" s="350"/>
      <c r="N1704" s="345"/>
      <c r="O1704" s="409"/>
      <c r="R1704" s="348" t="str">
        <f>R1686</f>
        <v>DELETE</v>
      </c>
    </row>
    <row r="1705" spans="2:18" ht="9" customHeight="1" x14ac:dyDescent="0.5">
      <c r="B1705" s="316"/>
      <c r="C1705" s="456"/>
      <c r="D1705" s="450"/>
      <c r="E1705" s="450"/>
      <c r="F1705" s="450"/>
      <c r="G1705" s="450"/>
      <c r="H1705" s="450"/>
      <c r="I1705" s="450"/>
      <c r="J1705" s="450"/>
      <c r="L1705" s="350"/>
      <c r="M1705" s="350"/>
      <c r="N1705" s="345"/>
      <c r="O1705" s="298"/>
      <c r="R1705" s="348" t="str">
        <f t="shared" ref="R1705" si="106">R$1707</f>
        <v>DELETE</v>
      </c>
    </row>
    <row r="1706" spans="2:18" ht="9" customHeight="1" x14ac:dyDescent="0.5">
      <c r="B1706" s="316"/>
      <c r="C1706" s="456"/>
      <c r="D1706" s="450"/>
      <c r="E1706" s="450"/>
      <c r="F1706" s="450"/>
      <c r="G1706" s="450"/>
      <c r="H1706" s="450"/>
      <c r="I1706" s="450"/>
      <c r="J1706" s="450"/>
      <c r="L1706" s="350"/>
      <c r="M1706" s="350"/>
      <c r="N1706" s="345"/>
      <c r="O1706" s="296"/>
      <c r="R1706" s="348" t="str">
        <f>R$1707</f>
        <v>DELETE</v>
      </c>
    </row>
    <row r="1707" spans="2:18" ht="36.75" customHeight="1" x14ac:dyDescent="0.5">
      <c r="B1707" s="316"/>
      <c r="C1707" s="456"/>
      <c r="D1707" s="450"/>
      <c r="E1707" s="450"/>
      <c r="F1707" s="450"/>
      <c r="G1707" s="450"/>
      <c r="H1707" s="450"/>
      <c r="I1707" s="450"/>
      <c r="J1707" s="450"/>
      <c r="L1707" s="350"/>
      <c r="M1707" s="350"/>
      <c r="N1707" s="345"/>
      <c r="O1707" s="296">
        <f>SUM(S1667:S1705)</f>
        <v>0</v>
      </c>
      <c r="R1707" s="348" t="str">
        <f t="shared" ref="R1707" si="107">IF(O1707=0,"DELETE"," ")</f>
        <v>DELETE</v>
      </c>
    </row>
    <row r="1708" spans="2:18" ht="9" customHeight="1" thickBot="1" x14ac:dyDescent="0.55000000000000004">
      <c r="B1708" s="316"/>
      <c r="C1708" s="456"/>
      <c r="D1708" s="450"/>
      <c r="E1708" s="450"/>
      <c r="F1708" s="450"/>
      <c r="G1708" s="450"/>
      <c r="H1708" s="450"/>
      <c r="I1708" s="450"/>
      <c r="J1708" s="450"/>
      <c r="L1708" s="350"/>
      <c r="M1708" s="350"/>
      <c r="N1708" s="345"/>
      <c r="O1708" s="299"/>
      <c r="R1708" s="348" t="str">
        <f t="shared" ref="R1708:R1713" si="108">R$1707</f>
        <v>DELETE</v>
      </c>
    </row>
    <row r="1709" spans="2:18" ht="9" customHeight="1" thickTop="1" x14ac:dyDescent="0.5">
      <c r="B1709" s="316"/>
      <c r="C1709" s="456"/>
      <c r="D1709" s="450"/>
      <c r="E1709" s="450"/>
      <c r="F1709" s="450"/>
      <c r="G1709" s="450"/>
      <c r="H1709" s="450"/>
      <c r="I1709" s="450"/>
      <c r="J1709" s="450"/>
      <c r="L1709" s="350"/>
      <c r="M1709" s="350"/>
      <c r="N1709" s="345"/>
      <c r="O1709" s="310"/>
      <c r="R1709" s="348" t="str">
        <f t="shared" si="108"/>
        <v>DELETE</v>
      </c>
    </row>
    <row r="1710" spans="2:18" ht="36" customHeight="1" x14ac:dyDescent="0.5">
      <c r="B1710" s="316"/>
      <c r="C1710" s="456"/>
      <c r="D1710" s="450"/>
      <c r="E1710" s="450"/>
      <c r="F1710" s="450"/>
      <c r="G1710" s="450"/>
      <c r="H1710" s="450"/>
      <c r="I1710" s="450"/>
      <c r="J1710" s="450"/>
      <c r="L1710" s="350"/>
      <c r="M1710" s="350"/>
      <c r="N1710" s="345"/>
      <c r="O1710" s="296"/>
      <c r="R1710" s="348" t="str">
        <f t="shared" si="108"/>
        <v>DELETE</v>
      </c>
    </row>
    <row r="1711" spans="2:18" ht="36" customHeight="1" x14ac:dyDescent="0.5">
      <c r="B1711" s="316"/>
      <c r="C1711" s="456"/>
      <c r="D1711" s="450"/>
      <c r="E1711" s="450"/>
      <c r="F1711" s="450"/>
      <c r="G1711" s="450"/>
      <c r="H1711" s="450"/>
      <c r="I1711" s="450"/>
      <c r="J1711" s="450"/>
      <c r="M1711" s="296"/>
      <c r="N1711" s="296"/>
      <c r="O1711" s="296"/>
      <c r="R1711" s="348" t="str">
        <f t="shared" si="108"/>
        <v>DELETE</v>
      </c>
    </row>
    <row r="1712" spans="2:18" ht="36" customHeight="1" x14ac:dyDescent="0.5">
      <c r="B1712" s="316"/>
      <c r="C1712" s="456"/>
      <c r="D1712" s="450"/>
      <c r="E1712" s="450"/>
      <c r="F1712" s="450"/>
      <c r="G1712" s="450"/>
      <c r="H1712" s="450"/>
      <c r="I1712" s="450"/>
      <c r="J1712" s="450"/>
      <c r="M1712" s="310"/>
      <c r="N1712" s="310"/>
      <c r="O1712" s="310"/>
      <c r="P1712" s="356"/>
      <c r="R1712" s="348" t="str">
        <f t="shared" si="108"/>
        <v>DELETE</v>
      </c>
    </row>
    <row r="1713" spans="2:18" ht="36" customHeight="1" x14ac:dyDescent="0.5">
      <c r="B1713" s="354"/>
      <c r="C1713" s="450"/>
      <c r="D1713" s="450"/>
      <c r="E1713" s="450"/>
      <c r="F1713" s="450"/>
      <c r="G1713" s="450"/>
      <c r="H1713" s="450"/>
      <c r="I1713" s="450"/>
      <c r="J1713" s="450"/>
      <c r="M1713" s="351"/>
      <c r="N1713" s="351"/>
      <c r="O1713" s="351"/>
      <c r="R1713" s="348" t="str">
        <f t="shared" si="108"/>
        <v>DELETE</v>
      </c>
    </row>
    <row r="1714" spans="2:18" ht="36" customHeight="1" x14ac:dyDescent="0.5">
      <c r="B1714" s="354"/>
      <c r="C1714" s="450"/>
      <c r="D1714" s="450"/>
      <c r="E1714" s="450"/>
      <c r="F1714" s="450"/>
      <c r="G1714" s="450"/>
      <c r="H1714" s="450"/>
      <c r="I1714" s="450"/>
      <c r="J1714" s="450"/>
      <c r="M1714" s="351"/>
      <c r="N1714" s="351"/>
      <c r="O1714" s="296" t="s">
        <v>89</v>
      </c>
      <c r="Q1714" s="292">
        <f>MAX($Q$105:Q1713)+1</f>
        <v>45</v>
      </c>
      <c r="R1714" s="348" t="str">
        <f>R$1733</f>
        <v>DELETE</v>
      </c>
    </row>
    <row r="1715" spans="2:18" ht="36" customHeight="1" x14ac:dyDescent="0.5">
      <c r="B1715" s="354"/>
      <c r="C1715" s="450"/>
      <c r="D1715" s="456" t="str">
        <f>Criteria!E9</f>
        <v>HOLDING COMPANY 268 (PROPRIETARY) LIMITED</v>
      </c>
      <c r="E1715" s="450"/>
      <c r="F1715" s="450"/>
      <c r="G1715" s="450"/>
      <c r="H1715" s="450"/>
      <c r="I1715" s="450"/>
      <c r="J1715" s="450"/>
      <c r="M1715" s="351"/>
      <c r="N1715" s="351"/>
      <c r="O1715" s="347"/>
      <c r="R1715" s="348" t="str">
        <f>R$1733</f>
        <v>DELETE</v>
      </c>
    </row>
    <row r="1716" spans="2:18" ht="36" customHeight="1" x14ac:dyDescent="0.5">
      <c r="B1716" s="354"/>
      <c r="C1716" s="450"/>
      <c r="D1716" s="456" t="str">
        <f>Criteria!E10</f>
        <v>CONSOLIDATED FINANCIAL STATEMENTS</v>
      </c>
      <c r="E1716" s="450"/>
      <c r="F1716" s="450"/>
      <c r="G1716" s="450"/>
      <c r="H1716" s="450"/>
      <c r="I1716" s="450"/>
      <c r="J1716" s="450"/>
      <c r="M1716" s="351"/>
      <c r="N1716" s="351"/>
      <c r="O1716" s="351"/>
      <c r="R1716" s="348" t="str">
        <f>IF(R$1733="DELETE","DELETE",IF(D1716=0,"DELETE"," "))</f>
        <v>DELETE</v>
      </c>
    </row>
    <row r="1717" spans="2:18" ht="36" customHeight="1" x14ac:dyDescent="0.5">
      <c r="B1717" s="354"/>
      <c r="C1717" s="450"/>
      <c r="D1717" s="450"/>
      <c r="E1717" s="450"/>
      <c r="F1717" s="450"/>
      <c r="G1717" s="450"/>
      <c r="H1717" s="450"/>
      <c r="I1717" s="450"/>
      <c r="J1717" s="450"/>
      <c r="M1717" s="351"/>
      <c r="N1717" s="351"/>
      <c r="O1717" s="351"/>
      <c r="R1717" s="348" t="str">
        <f t="shared" ref="R1717:R1726" si="109">R$1733</f>
        <v>DELETE</v>
      </c>
    </row>
    <row r="1718" spans="2:18" ht="36" customHeight="1" x14ac:dyDescent="0.5">
      <c r="B1718" s="354"/>
      <c r="C1718" s="450"/>
      <c r="D1718" s="456" t="s">
        <v>351</v>
      </c>
      <c r="E1718" s="450"/>
      <c r="F1718" s="450"/>
      <c r="G1718" s="450"/>
      <c r="H1718" s="450"/>
      <c r="I1718" s="450"/>
      <c r="J1718" s="450"/>
      <c r="M1718" s="351"/>
      <c r="N1718" s="351"/>
      <c r="O1718" s="351"/>
      <c r="R1718" s="348" t="str">
        <f t="shared" si="109"/>
        <v>DELETE</v>
      </c>
    </row>
    <row r="1719" spans="2:18" ht="36" customHeight="1" x14ac:dyDescent="0.5">
      <c r="B1719" s="354"/>
      <c r="C1719" s="450"/>
      <c r="D1719" s="456" t="str">
        <f>Criteria!E20</f>
        <v>28 FEBRUARY 2025</v>
      </c>
      <c r="E1719" s="450"/>
      <c r="F1719" s="450"/>
      <c r="G1719" s="450"/>
      <c r="H1719" s="450"/>
      <c r="I1719" s="450"/>
      <c r="J1719" s="450" t="s">
        <v>231</v>
      </c>
      <c r="M1719" s="351"/>
      <c r="N1719" s="351"/>
      <c r="O1719" s="351"/>
      <c r="R1719" s="348" t="str">
        <f t="shared" si="109"/>
        <v>DELETE</v>
      </c>
    </row>
    <row r="1720" spans="2:18" ht="36" customHeight="1" x14ac:dyDescent="0.5">
      <c r="B1720" s="354"/>
      <c r="C1720" s="450"/>
      <c r="D1720" s="456"/>
      <c r="E1720" s="450"/>
      <c r="F1720" s="450"/>
      <c r="G1720" s="450"/>
      <c r="H1720" s="450"/>
      <c r="I1720" s="450"/>
      <c r="J1720" s="450"/>
      <c r="M1720" s="351"/>
      <c r="N1720" s="351"/>
      <c r="O1720" s="351"/>
      <c r="R1720" s="348" t="str">
        <f t="shared" si="109"/>
        <v>DELETE</v>
      </c>
    </row>
    <row r="1721" spans="2:18" ht="36" customHeight="1" x14ac:dyDescent="0.5">
      <c r="B1721" s="447"/>
      <c r="C1721" s="465"/>
      <c r="D1721" s="460"/>
      <c r="E1721" s="460"/>
      <c r="F1721" s="460"/>
      <c r="G1721" s="460"/>
      <c r="H1721" s="460"/>
      <c r="I1721" s="460"/>
      <c r="J1721" s="460"/>
      <c r="K1721" s="364"/>
      <c r="L1721" s="364"/>
      <c r="M1721" s="297"/>
      <c r="N1721" s="297"/>
      <c r="O1721" s="297"/>
      <c r="P1721" s="367"/>
      <c r="Q1721" s="364"/>
      <c r="R1721" s="348" t="str">
        <f t="shared" si="109"/>
        <v>DELETE</v>
      </c>
    </row>
    <row r="1722" spans="2:18" ht="36" customHeight="1" x14ac:dyDescent="0.5">
      <c r="B1722" s="316"/>
      <c r="C1722" s="456"/>
      <c r="D1722" s="450"/>
      <c r="E1722" s="450"/>
      <c r="F1722" s="450"/>
      <c r="G1722" s="450"/>
      <c r="H1722" s="450"/>
      <c r="I1722" s="450"/>
      <c r="J1722" s="450"/>
      <c r="L1722" s="350"/>
      <c r="M1722" s="350"/>
      <c r="N1722" s="345"/>
      <c r="O1722" s="294">
        <f>Criteria!E22</f>
        <v>2025</v>
      </c>
      <c r="R1722" s="348" t="str">
        <f t="shared" si="109"/>
        <v>DELETE</v>
      </c>
    </row>
    <row r="1723" spans="2:18" ht="36" customHeight="1" x14ac:dyDescent="0.5">
      <c r="B1723" s="316"/>
      <c r="C1723" s="456"/>
      <c r="D1723" s="450"/>
      <c r="E1723" s="450"/>
      <c r="F1723" s="450"/>
      <c r="G1723" s="450"/>
      <c r="H1723" s="450"/>
      <c r="I1723" s="450"/>
      <c r="J1723" s="450"/>
      <c r="L1723" s="350"/>
      <c r="M1723" s="350"/>
      <c r="N1723" s="345"/>
      <c r="O1723" s="296"/>
      <c r="R1723" s="348" t="str">
        <f t="shared" si="109"/>
        <v>DELETE</v>
      </c>
    </row>
    <row r="1724" spans="2:18" ht="36" customHeight="1" x14ac:dyDescent="0.5">
      <c r="B1724" s="316">
        <f>MAX(B$602:B1723)+1</f>
        <v>16</v>
      </c>
      <c r="C1724" s="456" t="s">
        <v>844</v>
      </c>
      <c r="D1724" s="450"/>
      <c r="E1724" s="450"/>
      <c r="F1724" s="450"/>
      <c r="G1724" s="450"/>
      <c r="H1724" s="450"/>
      <c r="I1724" s="450"/>
      <c r="J1724" s="450"/>
      <c r="L1724" s="350"/>
      <c r="M1724" s="350"/>
      <c r="N1724" s="345"/>
      <c r="O1724" s="296"/>
      <c r="R1724" s="348" t="str">
        <f t="shared" si="109"/>
        <v>DELETE</v>
      </c>
    </row>
    <row r="1725" spans="2:18" ht="36" customHeight="1" x14ac:dyDescent="0.5">
      <c r="B1725" s="316"/>
      <c r="C1725" s="456"/>
      <c r="D1725" s="450"/>
      <c r="E1725" s="450"/>
      <c r="F1725" s="450"/>
      <c r="G1725" s="450"/>
      <c r="H1725" s="450"/>
      <c r="I1725" s="450"/>
      <c r="J1725" s="450"/>
      <c r="L1725" s="350"/>
      <c r="M1725" s="350"/>
      <c r="N1725" s="345"/>
      <c r="O1725" s="296"/>
      <c r="R1725" s="348" t="str">
        <f t="shared" si="109"/>
        <v>DELETE</v>
      </c>
    </row>
    <row r="1726" spans="2:18" ht="36" customHeight="1" x14ac:dyDescent="0.5">
      <c r="B1726" s="316"/>
      <c r="C1726" s="450" t="s">
        <v>1099</v>
      </c>
      <c r="D1726" s="459"/>
      <c r="E1726" s="450"/>
      <c r="F1726" s="450"/>
      <c r="G1726" s="450"/>
      <c r="H1726" s="450"/>
      <c r="I1726" s="450"/>
      <c r="J1726" s="450"/>
      <c r="L1726" s="350"/>
      <c r="M1726" s="350"/>
      <c r="N1726" s="345"/>
      <c r="O1726" s="296"/>
      <c r="R1726" s="348" t="str">
        <f t="shared" si="109"/>
        <v>DELETE</v>
      </c>
    </row>
    <row r="1727" spans="2:18" ht="36" customHeight="1" x14ac:dyDescent="0.5">
      <c r="B1727" s="316"/>
      <c r="C1727" s="450" t="s">
        <v>393</v>
      </c>
      <c r="D1727" s="459"/>
      <c r="E1727" s="450"/>
      <c r="F1727" s="450"/>
      <c r="G1727" s="450"/>
      <c r="H1727" s="450"/>
      <c r="I1727" s="450"/>
      <c r="J1727" s="450"/>
      <c r="L1727" s="350"/>
      <c r="M1727" s="350"/>
      <c r="N1727" s="345"/>
      <c r="O1727" s="296">
        <f>TrialBalance!L355</f>
        <v>0</v>
      </c>
      <c r="R1727" s="348" t="str">
        <f t="shared" ref="R1727:R1730" si="110">IF(O1727=0,"DELETE"," ")</f>
        <v>DELETE</v>
      </c>
    </row>
    <row r="1728" spans="2:18" ht="36" customHeight="1" x14ac:dyDescent="0.5">
      <c r="B1728" s="316"/>
      <c r="C1728" s="450" t="s">
        <v>20</v>
      </c>
      <c r="D1728" s="459"/>
      <c r="E1728" s="450"/>
      <c r="F1728" s="450"/>
      <c r="G1728" s="450"/>
      <c r="H1728" s="450"/>
      <c r="I1728" s="450"/>
      <c r="J1728" s="450"/>
      <c r="L1728" s="350"/>
      <c r="M1728" s="350"/>
      <c r="N1728" s="345"/>
      <c r="O1728" s="296">
        <f>TrialBalance!L356</f>
        <v>0</v>
      </c>
      <c r="R1728" s="348" t="str">
        <f t="shared" si="110"/>
        <v>DELETE</v>
      </c>
    </row>
    <row r="1729" spans="2:18" ht="36" customHeight="1" x14ac:dyDescent="0.5">
      <c r="B1729" s="316"/>
      <c r="C1729" s="450" t="s">
        <v>22</v>
      </c>
      <c r="D1729" s="459"/>
      <c r="E1729" s="450"/>
      <c r="F1729" s="450"/>
      <c r="G1729" s="450"/>
      <c r="H1729" s="450"/>
      <c r="I1729" s="450"/>
      <c r="J1729" s="450"/>
      <c r="L1729" s="350"/>
      <c r="M1729" s="350"/>
      <c r="N1729" s="345"/>
      <c r="O1729" s="296">
        <f>TrialBalance!L357</f>
        <v>0</v>
      </c>
      <c r="R1729" s="348" t="str">
        <f t="shared" si="110"/>
        <v>DELETE</v>
      </c>
    </row>
    <row r="1730" spans="2:18" ht="36" customHeight="1" x14ac:dyDescent="0.5">
      <c r="B1730" s="316"/>
      <c r="C1730" s="450" t="s">
        <v>26</v>
      </c>
      <c r="D1730" s="459"/>
      <c r="E1730" s="450"/>
      <c r="F1730" s="450"/>
      <c r="G1730" s="450"/>
      <c r="H1730" s="450"/>
      <c r="I1730" s="450"/>
      <c r="J1730" s="450"/>
      <c r="L1730" s="350"/>
      <c r="M1730" s="350"/>
      <c r="N1730" s="345"/>
      <c r="O1730" s="296">
        <f>TrialBalance!L358</f>
        <v>0</v>
      </c>
      <c r="R1730" s="348" t="str">
        <f t="shared" si="110"/>
        <v>DELETE</v>
      </c>
    </row>
    <row r="1731" spans="2:18" ht="9" customHeight="1" x14ac:dyDescent="0.5">
      <c r="B1731" s="316"/>
      <c r="C1731" s="456"/>
      <c r="D1731" s="450"/>
      <c r="E1731" s="450"/>
      <c r="F1731" s="450"/>
      <c r="G1731" s="450"/>
      <c r="H1731" s="450"/>
      <c r="I1731" s="450"/>
      <c r="J1731" s="450"/>
      <c r="L1731" s="350"/>
      <c r="M1731" s="350"/>
      <c r="N1731" s="345"/>
      <c r="O1731" s="298"/>
      <c r="R1731" s="348" t="str">
        <f t="shared" ref="R1731:R1739" si="111">R$1733</f>
        <v>DELETE</v>
      </c>
    </row>
    <row r="1732" spans="2:18" ht="9" customHeight="1" x14ac:dyDescent="0.5">
      <c r="B1732" s="316"/>
      <c r="C1732" s="456"/>
      <c r="D1732" s="450"/>
      <c r="E1732" s="450"/>
      <c r="F1732" s="450"/>
      <c r="G1732" s="450"/>
      <c r="H1732" s="450"/>
      <c r="I1732" s="450"/>
      <c r="J1732" s="450"/>
      <c r="L1732" s="350"/>
      <c r="M1732" s="350"/>
      <c r="N1732" s="345"/>
      <c r="O1732" s="296"/>
      <c r="R1732" s="348" t="str">
        <f t="shared" si="111"/>
        <v>DELETE</v>
      </c>
    </row>
    <row r="1733" spans="2:18" ht="36.75" customHeight="1" x14ac:dyDescent="0.5">
      <c r="B1733" s="316"/>
      <c r="C1733" s="456"/>
      <c r="D1733" s="450"/>
      <c r="E1733" s="450"/>
      <c r="F1733" s="450"/>
      <c r="G1733" s="450"/>
      <c r="H1733" s="450"/>
      <c r="I1733" s="450"/>
      <c r="J1733" s="450"/>
      <c r="L1733" s="350"/>
      <c r="M1733" s="350"/>
      <c r="N1733" s="345"/>
      <c r="O1733" s="296">
        <f>SUM(O1727:O1732)</f>
        <v>0</v>
      </c>
      <c r="R1733" s="348" t="str">
        <f t="shared" ref="R1733" si="112">IF(O1733=0,"DELETE"," ")</f>
        <v>DELETE</v>
      </c>
    </row>
    <row r="1734" spans="2:18" ht="9" customHeight="1" thickBot="1" x14ac:dyDescent="0.55000000000000004">
      <c r="B1734" s="316"/>
      <c r="C1734" s="456"/>
      <c r="D1734" s="450"/>
      <c r="E1734" s="450"/>
      <c r="F1734" s="450"/>
      <c r="G1734" s="450"/>
      <c r="H1734" s="450"/>
      <c r="I1734" s="450"/>
      <c r="J1734" s="450"/>
      <c r="L1734" s="350"/>
      <c r="M1734" s="350"/>
      <c r="N1734" s="345"/>
      <c r="O1734" s="299"/>
      <c r="R1734" s="348" t="str">
        <f t="shared" si="111"/>
        <v>DELETE</v>
      </c>
    </row>
    <row r="1735" spans="2:18" ht="9" customHeight="1" thickTop="1" x14ac:dyDescent="0.5">
      <c r="B1735" s="316"/>
      <c r="C1735" s="456"/>
      <c r="D1735" s="450"/>
      <c r="E1735" s="450"/>
      <c r="F1735" s="450"/>
      <c r="G1735" s="450"/>
      <c r="H1735" s="450"/>
      <c r="I1735" s="450"/>
      <c r="J1735" s="450"/>
      <c r="L1735" s="350"/>
      <c r="M1735" s="350"/>
      <c r="N1735" s="345"/>
      <c r="O1735" s="310"/>
      <c r="R1735" s="348" t="str">
        <f t="shared" si="111"/>
        <v>DELETE</v>
      </c>
    </row>
    <row r="1736" spans="2:18" ht="36" customHeight="1" x14ac:dyDescent="0.5">
      <c r="B1736" s="316"/>
      <c r="C1736" s="456"/>
      <c r="D1736" s="450"/>
      <c r="E1736" s="450"/>
      <c r="F1736" s="450"/>
      <c r="G1736" s="450"/>
      <c r="H1736" s="450"/>
      <c r="I1736" s="450"/>
      <c r="J1736" s="450"/>
      <c r="L1736" s="350"/>
      <c r="M1736" s="350"/>
      <c r="N1736" s="345"/>
      <c r="O1736" s="296"/>
      <c r="R1736" s="348" t="str">
        <f t="shared" si="111"/>
        <v>DELETE</v>
      </c>
    </row>
    <row r="1737" spans="2:18" ht="36" customHeight="1" x14ac:dyDescent="0.5">
      <c r="B1737" s="316"/>
      <c r="C1737" s="456"/>
      <c r="D1737" s="450"/>
      <c r="E1737" s="450"/>
      <c r="F1737" s="450"/>
      <c r="G1737" s="450"/>
      <c r="H1737" s="450"/>
      <c r="I1737" s="450"/>
      <c r="J1737" s="450"/>
      <c r="M1737" s="296"/>
      <c r="N1737" s="296"/>
      <c r="O1737" s="296"/>
      <c r="R1737" s="348" t="str">
        <f t="shared" si="111"/>
        <v>DELETE</v>
      </c>
    </row>
    <row r="1738" spans="2:18" ht="36" customHeight="1" x14ac:dyDescent="0.5">
      <c r="B1738" s="316"/>
      <c r="C1738" s="456"/>
      <c r="D1738" s="450"/>
      <c r="E1738" s="450"/>
      <c r="F1738" s="450"/>
      <c r="G1738" s="450"/>
      <c r="H1738" s="450"/>
      <c r="I1738" s="450"/>
      <c r="J1738" s="450"/>
      <c r="M1738" s="310"/>
      <c r="N1738" s="310"/>
      <c r="O1738" s="310"/>
      <c r="P1738" s="356"/>
      <c r="R1738" s="348" t="str">
        <f t="shared" si="111"/>
        <v>DELETE</v>
      </c>
    </row>
    <row r="1739" spans="2:18" ht="36" customHeight="1" x14ac:dyDescent="0.5">
      <c r="B1739" s="316"/>
      <c r="C1739" s="456"/>
      <c r="D1739" s="450"/>
      <c r="E1739" s="450"/>
      <c r="F1739" s="450"/>
      <c r="G1739" s="450"/>
      <c r="H1739" s="450"/>
      <c r="I1739" s="450"/>
      <c r="J1739" s="450"/>
      <c r="M1739" s="296"/>
      <c r="N1739" s="296"/>
      <c r="O1739" s="296"/>
      <c r="R1739" s="348" t="str">
        <f t="shared" si="111"/>
        <v>DELETE</v>
      </c>
    </row>
    <row r="1740" spans="2:18" ht="36" customHeight="1" x14ac:dyDescent="0.5">
      <c r="B1740" s="354"/>
      <c r="C1740" s="450"/>
      <c r="D1740" s="450"/>
      <c r="E1740" s="450"/>
      <c r="F1740" s="450"/>
      <c r="G1740" s="450"/>
      <c r="H1740" s="450"/>
      <c r="I1740" s="450"/>
      <c r="J1740" s="450"/>
      <c r="M1740" s="351"/>
      <c r="N1740" s="351"/>
      <c r="O1740" s="296" t="s">
        <v>89</v>
      </c>
      <c r="Q1740" s="292">
        <f>MAX($Q$105:Q1739)+1</f>
        <v>46</v>
      </c>
      <c r="R1740" s="348" t="str">
        <f>R$1764</f>
        <v>DELETE</v>
      </c>
    </row>
    <row r="1741" spans="2:18" ht="36" customHeight="1" x14ac:dyDescent="0.5">
      <c r="B1741" s="354"/>
      <c r="C1741" s="450"/>
      <c r="D1741" s="456" t="str">
        <f>Criteria!E9</f>
        <v>HOLDING COMPANY 268 (PROPRIETARY) LIMITED</v>
      </c>
      <c r="E1741" s="450"/>
      <c r="F1741" s="450"/>
      <c r="G1741" s="450"/>
      <c r="H1741" s="450"/>
      <c r="I1741" s="450"/>
      <c r="J1741" s="450"/>
      <c r="M1741" s="351"/>
      <c r="N1741" s="351"/>
      <c r="O1741" s="347"/>
      <c r="R1741" s="348" t="str">
        <f t="shared" ref="R1741:R1751" si="113">R$1764</f>
        <v>DELETE</v>
      </c>
    </row>
    <row r="1742" spans="2:18" ht="36" customHeight="1" x14ac:dyDescent="0.5">
      <c r="B1742" s="354"/>
      <c r="C1742" s="450"/>
      <c r="D1742" s="456" t="str">
        <f>Criteria!E10</f>
        <v>CONSOLIDATED FINANCIAL STATEMENTS</v>
      </c>
      <c r="E1742" s="450"/>
      <c r="F1742" s="450"/>
      <c r="G1742" s="450"/>
      <c r="H1742" s="450"/>
      <c r="I1742" s="450"/>
      <c r="J1742" s="450"/>
      <c r="M1742" s="351"/>
      <c r="N1742" s="351"/>
      <c r="O1742" s="351"/>
      <c r="R1742" s="348" t="str">
        <f>IF(R$1764="DELETE","DELETE",IF(D1742=0,"DELETE"," "))</f>
        <v>DELETE</v>
      </c>
    </row>
    <row r="1743" spans="2:18" ht="36" customHeight="1" x14ac:dyDescent="0.5">
      <c r="B1743" s="354"/>
      <c r="C1743" s="450"/>
      <c r="D1743" s="450"/>
      <c r="E1743" s="450"/>
      <c r="F1743" s="450"/>
      <c r="G1743" s="450"/>
      <c r="H1743" s="450"/>
      <c r="I1743" s="450"/>
      <c r="J1743" s="450"/>
      <c r="M1743" s="351"/>
      <c r="N1743" s="351"/>
      <c r="O1743" s="351"/>
      <c r="R1743" s="348" t="str">
        <f t="shared" si="113"/>
        <v>DELETE</v>
      </c>
    </row>
    <row r="1744" spans="2:18" ht="36" customHeight="1" x14ac:dyDescent="0.5">
      <c r="B1744" s="354"/>
      <c r="C1744" s="450"/>
      <c r="D1744" s="456" t="s">
        <v>351</v>
      </c>
      <c r="E1744" s="450"/>
      <c r="F1744" s="450"/>
      <c r="G1744" s="450"/>
      <c r="H1744" s="450"/>
      <c r="I1744" s="450"/>
      <c r="J1744" s="450"/>
      <c r="M1744" s="351"/>
      <c r="N1744" s="351"/>
      <c r="O1744" s="351"/>
      <c r="R1744" s="348" t="str">
        <f t="shared" si="113"/>
        <v>DELETE</v>
      </c>
    </row>
    <row r="1745" spans="2:22" ht="36" customHeight="1" x14ac:dyDescent="0.5">
      <c r="B1745" s="354"/>
      <c r="C1745" s="450"/>
      <c r="D1745" s="456" t="str">
        <f>Criteria!E20</f>
        <v>28 FEBRUARY 2025</v>
      </c>
      <c r="E1745" s="450"/>
      <c r="F1745" s="450"/>
      <c r="G1745" s="450"/>
      <c r="H1745" s="450"/>
      <c r="I1745" s="450"/>
      <c r="J1745" s="450" t="s">
        <v>231</v>
      </c>
      <c r="M1745" s="351"/>
      <c r="N1745" s="351"/>
      <c r="O1745" s="351"/>
      <c r="R1745" s="348" t="str">
        <f t="shared" si="113"/>
        <v>DELETE</v>
      </c>
    </row>
    <row r="1746" spans="2:22" ht="36" customHeight="1" x14ac:dyDescent="0.5">
      <c r="B1746" s="354"/>
      <c r="C1746" s="450"/>
      <c r="D1746" s="450"/>
      <c r="E1746" s="450"/>
      <c r="F1746" s="450"/>
      <c r="G1746" s="450"/>
      <c r="H1746" s="450"/>
      <c r="I1746" s="450"/>
      <c r="J1746" s="450"/>
      <c r="M1746" s="372"/>
      <c r="N1746" s="372"/>
      <c r="O1746" s="372"/>
      <c r="R1746" s="348" t="str">
        <f t="shared" si="113"/>
        <v>DELETE</v>
      </c>
    </row>
    <row r="1747" spans="2:22" ht="36" customHeight="1" x14ac:dyDescent="0.5">
      <c r="B1747" s="368"/>
      <c r="C1747" s="460"/>
      <c r="D1747" s="460"/>
      <c r="E1747" s="460"/>
      <c r="F1747" s="460"/>
      <c r="G1747" s="460"/>
      <c r="H1747" s="460"/>
      <c r="I1747" s="460"/>
      <c r="J1747" s="460"/>
      <c r="K1747" s="364"/>
      <c r="L1747" s="364"/>
      <c r="M1747" s="378"/>
      <c r="N1747" s="378"/>
      <c r="O1747" s="378"/>
      <c r="P1747" s="367"/>
      <c r="Q1747" s="364"/>
      <c r="R1747" s="348" t="str">
        <f t="shared" si="113"/>
        <v>DELETE</v>
      </c>
    </row>
    <row r="1748" spans="2:22" ht="36" customHeight="1" x14ac:dyDescent="0.5">
      <c r="B1748" s="354"/>
      <c r="C1748" s="450"/>
      <c r="D1748" s="450"/>
      <c r="E1748" s="450"/>
      <c r="F1748" s="450"/>
      <c r="G1748" s="450"/>
      <c r="H1748" s="450"/>
      <c r="I1748" s="450"/>
      <c r="J1748" s="450"/>
      <c r="L1748" s="350"/>
      <c r="M1748" s="350"/>
      <c r="N1748" s="345"/>
      <c r="O1748" s="294">
        <f>Criteria!E22</f>
        <v>2025</v>
      </c>
      <c r="R1748" s="348" t="str">
        <f t="shared" si="113"/>
        <v>DELETE</v>
      </c>
    </row>
    <row r="1749" spans="2:22" ht="36" customHeight="1" x14ac:dyDescent="0.5">
      <c r="B1749" s="316"/>
      <c r="C1749" s="456"/>
      <c r="D1749" s="450"/>
      <c r="E1749" s="450"/>
      <c r="F1749" s="450"/>
      <c r="G1749" s="450"/>
      <c r="H1749" s="450"/>
      <c r="I1749" s="450"/>
      <c r="J1749" s="450"/>
      <c r="L1749" s="350"/>
      <c r="M1749" s="350"/>
      <c r="N1749" s="345"/>
      <c r="O1749" s="296"/>
      <c r="R1749" s="348" t="str">
        <f t="shared" si="113"/>
        <v>DELETE</v>
      </c>
    </row>
    <row r="1750" spans="2:22" ht="36" customHeight="1" x14ac:dyDescent="0.5">
      <c r="B1750" s="316">
        <f>MAX(B$602:B1749)+1</f>
        <v>17</v>
      </c>
      <c r="C1750" s="456" t="s">
        <v>677</v>
      </c>
      <c r="D1750" s="450"/>
      <c r="E1750" s="450"/>
      <c r="F1750" s="450"/>
      <c r="G1750" s="450"/>
      <c r="H1750" s="450"/>
      <c r="I1750" s="450"/>
      <c r="J1750" s="450"/>
      <c r="L1750" s="350"/>
      <c r="M1750" s="350"/>
      <c r="N1750" s="345"/>
      <c r="O1750" s="296"/>
      <c r="R1750" s="348" t="str">
        <f t="shared" si="113"/>
        <v>DELETE</v>
      </c>
    </row>
    <row r="1751" spans="2:22" ht="36" customHeight="1" x14ac:dyDescent="0.5">
      <c r="B1751" s="316"/>
      <c r="C1751" s="456"/>
      <c r="D1751" s="450"/>
      <c r="E1751" s="450"/>
      <c r="F1751" s="450"/>
      <c r="G1751" s="450"/>
      <c r="H1751" s="450"/>
      <c r="I1751" s="450"/>
      <c r="J1751" s="450"/>
      <c r="L1751" s="350"/>
      <c r="M1751" s="350"/>
      <c r="N1751" s="345"/>
      <c r="O1751" s="296"/>
      <c r="R1751" s="348" t="str">
        <f t="shared" si="113"/>
        <v>DELETE</v>
      </c>
    </row>
    <row r="1752" spans="2:22" ht="36" customHeight="1" x14ac:dyDescent="0.5">
      <c r="B1752" s="316"/>
      <c r="C1752" s="450" t="s">
        <v>521</v>
      </c>
      <c r="D1752" s="459"/>
      <c r="E1752" s="450"/>
      <c r="F1752" s="450"/>
      <c r="G1752" s="450"/>
      <c r="H1752" s="450"/>
      <c r="I1752" s="450"/>
      <c r="J1752" s="450"/>
      <c r="L1752" s="350"/>
      <c r="M1752" s="350"/>
      <c r="N1752" s="345"/>
      <c r="O1752" s="296">
        <f>TrialBalance!L360</f>
        <v>0</v>
      </c>
      <c r="R1752" s="348" t="str">
        <f t="shared" ref="R1752:R1753" si="114">IF(O1752=0,"DELETE"," ")</f>
        <v>DELETE</v>
      </c>
      <c r="S1752" s="336">
        <f>O1752</f>
        <v>0</v>
      </c>
      <c r="T1752" s="336"/>
      <c r="U1752" s="336"/>
      <c r="V1752" s="336"/>
    </row>
    <row r="1753" spans="2:22" ht="36" customHeight="1" x14ac:dyDescent="0.5">
      <c r="B1753" s="316"/>
      <c r="C1753" s="450" t="s">
        <v>614</v>
      </c>
      <c r="D1753" s="459"/>
      <c r="E1753" s="450"/>
      <c r="F1753" s="450"/>
      <c r="G1753" s="450"/>
      <c r="H1753" s="450"/>
      <c r="I1753" s="450"/>
      <c r="J1753" s="450"/>
      <c r="L1753" s="350"/>
      <c r="M1753" s="350"/>
      <c r="N1753" s="345"/>
      <c r="O1753" s="296">
        <f>TrialBalance!L361</f>
        <v>0</v>
      </c>
      <c r="R1753" s="348" t="str">
        <f t="shared" si="114"/>
        <v>DELETE</v>
      </c>
      <c r="S1753" s="336">
        <f>O1753</f>
        <v>0</v>
      </c>
      <c r="T1753" s="336"/>
      <c r="U1753" s="336"/>
      <c r="V1753" s="336"/>
    </row>
    <row r="1754" spans="2:22" ht="9" customHeight="1" x14ac:dyDescent="0.5">
      <c r="B1754" s="316"/>
      <c r="C1754" s="450"/>
      <c r="D1754" s="459"/>
      <c r="E1754" s="450"/>
      <c r="F1754" s="450"/>
      <c r="G1754" s="450"/>
      <c r="H1754" s="450"/>
      <c r="I1754" s="450"/>
      <c r="J1754" s="450"/>
      <c r="L1754" s="350"/>
      <c r="M1754" s="350"/>
      <c r="N1754" s="345"/>
      <c r="O1754" s="298"/>
      <c r="R1754" s="348" t="str">
        <f>R$1756</f>
        <v>DELETE</v>
      </c>
    </row>
    <row r="1755" spans="2:22" ht="9" customHeight="1" x14ac:dyDescent="0.5">
      <c r="B1755" s="316"/>
      <c r="C1755" s="450"/>
      <c r="D1755" s="459"/>
      <c r="E1755" s="450"/>
      <c r="F1755" s="450"/>
      <c r="G1755" s="450"/>
      <c r="H1755" s="450"/>
      <c r="I1755" s="450"/>
      <c r="J1755" s="450"/>
      <c r="L1755" s="350"/>
      <c r="M1755" s="350"/>
      <c r="N1755" s="345"/>
      <c r="O1755" s="296"/>
      <c r="R1755" s="348" t="str">
        <f>R$1756</f>
        <v>DELETE</v>
      </c>
    </row>
    <row r="1756" spans="2:22" ht="36" customHeight="1" x14ac:dyDescent="0.5">
      <c r="B1756" s="316"/>
      <c r="C1756" s="450"/>
      <c r="D1756" s="459"/>
      <c r="E1756" s="450"/>
      <c r="F1756" s="450"/>
      <c r="G1756" s="450"/>
      <c r="H1756" s="450"/>
      <c r="I1756" s="450"/>
      <c r="J1756" s="450"/>
      <c r="L1756" s="350"/>
      <c r="M1756" s="350"/>
      <c r="N1756" s="345"/>
      <c r="O1756" s="296">
        <f>SUM(O1752:O1755)</f>
        <v>0</v>
      </c>
      <c r="R1756" s="348" t="str">
        <f>IF(R1764="DELETE","DELETE",IF(O1753=0,"DELETE",IF(O1756=0,"DELETE",IF(O1756=O1764,"DELETE"," "))))</f>
        <v>DELETE</v>
      </c>
    </row>
    <row r="1757" spans="2:22" ht="36" customHeight="1" x14ac:dyDescent="0.5">
      <c r="B1757" s="316"/>
      <c r="C1757" s="450" t="s">
        <v>307</v>
      </c>
      <c r="D1757" s="459"/>
      <c r="E1757" s="450"/>
      <c r="F1757" s="450"/>
      <c r="G1757" s="450"/>
      <c r="H1757" s="450"/>
      <c r="I1757" s="450"/>
      <c r="J1757" s="450"/>
      <c r="L1757" s="350"/>
      <c r="M1757" s="350"/>
      <c r="N1757" s="345"/>
      <c r="O1757" s="296">
        <f>TrialBalance!L362</f>
        <v>0</v>
      </c>
      <c r="R1757" s="348" t="str">
        <f t="shared" ref="R1757:R1761" si="115">IF(O1757=0,"DELETE"," ")</f>
        <v>DELETE</v>
      </c>
      <c r="S1757" s="336">
        <f>O1757</f>
        <v>0</v>
      </c>
      <c r="T1757" s="336"/>
      <c r="U1757" s="336"/>
      <c r="V1757" s="336"/>
    </row>
    <row r="1758" spans="2:22" ht="36" customHeight="1" x14ac:dyDescent="0.5">
      <c r="B1758" s="316"/>
      <c r="C1758" s="450" t="s">
        <v>273</v>
      </c>
      <c r="D1758" s="459"/>
      <c r="E1758" s="450"/>
      <c r="F1758" s="450"/>
      <c r="G1758" s="450"/>
      <c r="H1758" s="450"/>
      <c r="I1758" s="450"/>
      <c r="J1758" s="450"/>
      <c r="L1758" s="350"/>
      <c r="M1758" s="350"/>
      <c r="N1758" s="345"/>
      <c r="O1758" s="296">
        <f>TrialBalance!L363</f>
        <v>0</v>
      </c>
      <c r="R1758" s="348" t="str">
        <f t="shared" si="115"/>
        <v>DELETE</v>
      </c>
      <c r="S1758" s="336">
        <f>O1758</f>
        <v>0</v>
      </c>
      <c r="T1758" s="336"/>
      <c r="U1758" s="336"/>
      <c r="V1758" s="336"/>
    </row>
    <row r="1759" spans="2:22" ht="36" customHeight="1" x14ac:dyDescent="0.5">
      <c r="B1759" s="316"/>
      <c r="C1759" s="450" t="s">
        <v>350</v>
      </c>
      <c r="D1759" s="459"/>
      <c r="E1759" s="450"/>
      <c r="F1759" s="450"/>
      <c r="G1759" s="450"/>
      <c r="H1759" s="450"/>
      <c r="I1759" s="450"/>
      <c r="J1759" s="450"/>
      <c r="L1759" s="350"/>
      <c r="M1759" s="350"/>
      <c r="N1759" s="345"/>
      <c r="O1759" s="296">
        <f>TrialBalance!L364</f>
        <v>0</v>
      </c>
      <c r="R1759" s="348" t="str">
        <f t="shared" si="115"/>
        <v>DELETE</v>
      </c>
      <c r="S1759" s="336">
        <f>O1759</f>
        <v>0</v>
      </c>
      <c r="T1759" s="336"/>
      <c r="U1759" s="336"/>
      <c r="V1759" s="336"/>
    </row>
    <row r="1760" spans="2:22" ht="36" customHeight="1" x14ac:dyDescent="0.5">
      <c r="B1760" s="316"/>
      <c r="C1760" s="450" t="s">
        <v>523</v>
      </c>
      <c r="D1760" s="459"/>
      <c r="E1760" s="450"/>
      <c r="F1760" s="450"/>
      <c r="G1760" s="450"/>
      <c r="H1760" s="450"/>
      <c r="I1760" s="450"/>
      <c r="J1760" s="450"/>
      <c r="L1760" s="350"/>
      <c r="M1760" s="350"/>
      <c r="N1760" s="345"/>
      <c r="O1760" s="296">
        <f>TrialBalance!L365</f>
        <v>0</v>
      </c>
      <c r="R1760" s="348" t="str">
        <f t="shared" si="115"/>
        <v>DELETE</v>
      </c>
      <c r="S1760" s="336">
        <f>O1760</f>
        <v>0</v>
      </c>
      <c r="T1760" s="336"/>
      <c r="U1760" s="336"/>
      <c r="V1760" s="336"/>
    </row>
    <row r="1761" spans="2:22" ht="36" customHeight="1" x14ac:dyDescent="0.5">
      <c r="B1761" s="316"/>
      <c r="C1761" s="450" t="s">
        <v>522</v>
      </c>
      <c r="D1761" s="459"/>
      <c r="E1761" s="450"/>
      <c r="F1761" s="450"/>
      <c r="G1761" s="450"/>
      <c r="H1761" s="450"/>
      <c r="I1761" s="450"/>
      <c r="J1761" s="450"/>
      <c r="L1761" s="350"/>
      <c r="M1761" s="350"/>
      <c r="N1761" s="345"/>
      <c r="O1761" s="296">
        <f>IF(TrialBalance!L399&gt;0,TrialBalance!L399,0)+IF(TrialBalance!L398&gt;0,TrialBalance!L398,0)</f>
        <v>0</v>
      </c>
      <c r="R1761" s="348" t="str">
        <f t="shared" si="115"/>
        <v>DELETE</v>
      </c>
      <c r="S1761" s="336">
        <f>O1761</f>
        <v>0</v>
      </c>
      <c r="T1761" s="336"/>
      <c r="U1761" s="336"/>
      <c r="V1761" s="336"/>
    </row>
    <row r="1762" spans="2:22" ht="9" customHeight="1" x14ac:dyDescent="0.5">
      <c r="B1762" s="316"/>
      <c r="C1762" s="456"/>
      <c r="D1762" s="450"/>
      <c r="E1762" s="450"/>
      <c r="F1762" s="450"/>
      <c r="G1762" s="450"/>
      <c r="H1762" s="450"/>
      <c r="I1762" s="450"/>
      <c r="J1762" s="450"/>
      <c r="L1762" s="350"/>
      <c r="M1762" s="350"/>
      <c r="N1762" s="345"/>
      <c r="O1762" s="298"/>
      <c r="R1762" s="348" t="str">
        <f t="shared" ref="R1762:R1771" si="116">R$1764</f>
        <v>DELETE</v>
      </c>
    </row>
    <row r="1763" spans="2:22" ht="9" customHeight="1" x14ac:dyDescent="0.5">
      <c r="B1763" s="316"/>
      <c r="C1763" s="456"/>
      <c r="D1763" s="450"/>
      <c r="E1763" s="450"/>
      <c r="F1763" s="450"/>
      <c r="G1763" s="450"/>
      <c r="H1763" s="450"/>
      <c r="I1763" s="450"/>
      <c r="J1763" s="450"/>
      <c r="L1763" s="350"/>
      <c r="M1763" s="350"/>
      <c r="N1763" s="345"/>
      <c r="O1763" s="296"/>
      <c r="R1763" s="348" t="str">
        <f t="shared" si="116"/>
        <v>DELETE</v>
      </c>
    </row>
    <row r="1764" spans="2:22" ht="36.75" customHeight="1" x14ac:dyDescent="0.5">
      <c r="B1764" s="316"/>
      <c r="C1764" s="456"/>
      <c r="D1764" s="450"/>
      <c r="E1764" s="450"/>
      <c r="F1764" s="450"/>
      <c r="G1764" s="450"/>
      <c r="H1764" s="450"/>
      <c r="I1764" s="450"/>
      <c r="J1764" s="450"/>
      <c r="L1764" s="350"/>
      <c r="M1764" s="350"/>
      <c r="N1764" s="345"/>
      <c r="O1764" s="296">
        <f>SUM(S1752:S1761)</f>
        <v>0</v>
      </c>
      <c r="R1764" s="348" t="str">
        <f t="shared" ref="R1764" si="117">IF(O1764=0,"DELETE"," ")</f>
        <v>DELETE</v>
      </c>
      <c r="S1764" s="333"/>
      <c r="T1764" s="333"/>
    </row>
    <row r="1765" spans="2:22" ht="9" customHeight="1" thickBot="1" x14ac:dyDescent="0.55000000000000004">
      <c r="B1765" s="316"/>
      <c r="C1765" s="456"/>
      <c r="D1765" s="450"/>
      <c r="E1765" s="450"/>
      <c r="F1765" s="450"/>
      <c r="G1765" s="450"/>
      <c r="H1765" s="450"/>
      <c r="I1765" s="450"/>
      <c r="J1765" s="450"/>
      <c r="L1765" s="350"/>
      <c r="M1765" s="350"/>
      <c r="N1765" s="345"/>
      <c r="O1765" s="299"/>
      <c r="R1765" s="348" t="str">
        <f t="shared" si="116"/>
        <v>DELETE</v>
      </c>
    </row>
    <row r="1766" spans="2:22" ht="9" customHeight="1" thickTop="1" x14ac:dyDescent="0.5">
      <c r="B1766" s="316"/>
      <c r="C1766" s="456"/>
      <c r="D1766" s="450"/>
      <c r="E1766" s="450"/>
      <c r="F1766" s="450"/>
      <c r="G1766" s="450"/>
      <c r="H1766" s="450"/>
      <c r="I1766" s="450"/>
      <c r="J1766" s="450"/>
      <c r="L1766" s="350"/>
      <c r="M1766" s="350"/>
      <c r="N1766" s="345"/>
      <c r="O1766" s="310"/>
      <c r="R1766" s="348" t="str">
        <f t="shared" si="116"/>
        <v>DELETE</v>
      </c>
    </row>
    <row r="1767" spans="2:22" ht="36" customHeight="1" x14ac:dyDescent="0.5">
      <c r="B1767" s="316"/>
      <c r="C1767" s="450" t="str">
        <f>IF(Criteria!G270="Yes",Criteria!G272," ")</f>
        <v xml:space="preserve"> </v>
      </c>
      <c r="D1767" s="450"/>
      <c r="E1767" s="450"/>
      <c r="F1767" s="450"/>
      <c r="G1767" s="450"/>
      <c r="H1767" s="450"/>
      <c r="I1767" s="450"/>
      <c r="J1767" s="450"/>
      <c r="L1767" s="350"/>
      <c r="M1767" s="350"/>
      <c r="N1767" s="345"/>
      <c r="O1767" s="296"/>
      <c r="R1767" s="348" t="str">
        <f>IF(C1767=" ","DELETE",IF(C1767=0,"DELETE"," "))</f>
        <v>DELETE</v>
      </c>
    </row>
    <row r="1768" spans="2:22" ht="36" customHeight="1" x14ac:dyDescent="0.5">
      <c r="B1768" s="316"/>
      <c r="C1768" s="450" t="str">
        <f>IF(Criteria!G270="Yes",Criteria!G273," ")</f>
        <v xml:space="preserve"> </v>
      </c>
      <c r="D1768" s="450"/>
      <c r="E1768" s="450"/>
      <c r="F1768" s="450"/>
      <c r="G1768" s="450"/>
      <c r="H1768" s="450"/>
      <c r="I1768" s="450"/>
      <c r="J1768" s="450"/>
      <c r="M1768" s="296"/>
      <c r="N1768" s="296"/>
      <c r="O1768" s="296"/>
      <c r="R1768" s="348" t="str">
        <f>IF(C1768=" ","DELETE",IF(C1768=0,"DELETE"," "))</f>
        <v>DELETE</v>
      </c>
    </row>
    <row r="1769" spans="2:22" ht="36" customHeight="1" x14ac:dyDescent="0.5">
      <c r="B1769" s="316"/>
      <c r="C1769" s="456"/>
      <c r="D1769" s="450"/>
      <c r="E1769" s="450"/>
      <c r="F1769" s="450"/>
      <c r="G1769" s="450"/>
      <c r="H1769" s="450"/>
      <c r="I1769" s="450"/>
      <c r="J1769" s="450"/>
      <c r="M1769" s="296"/>
      <c r="N1769" s="296"/>
      <c r="O1769" s="296"/>
      <c r="R1769" s="348" t="str">
        <f t="shared" si="116"/>
        <v>DELETE</v>
      </c>
    </row>
    <row r="1770" spans="2:22" ht="36" customHeight="1" x14ac:dyDescent="0.5">
      <c r="B1770" s="316"/>
      <c r="C1770" s="456"/>
      <c r="D1770" s="450"/>
      <c r="E1770" s="450"/>
      <c r="F1770" s="450"/>
      <c r="G1770" s="450"/>
      <c r="H1770" s="450"/>
      <c r="I1770" s="450"/>
      <c r="J1770" s="450"/>
      <c r="M1770" s="310"/>
      <c r="N1770" s="310"/>
      <c r="O1770" s="310"/>
      <c r="P1770" s="356"/>
      <c r="R1770" s="348" t="str">
        <f t="shared" si="116"/>
        <v>DELETE</v>
      </c>
    </row>
    <row r="1771" spans="2:22" ht="36" customHeight="1" x14ac:dyDescent="0.5">
      <c r="B1771" s="354"/>
      <c r="C1771" s="450"/>
      <c r="D1771" s="450"/>
      <c r="E1771" s="450"/>
      <c r="F1771" s="450"/>
      <c r="G1771" s="450"/>
      <c r="H1771" s="450"/>
      <c r="I1771" s="450"/>
      <c r="J1771" s="450"/>
      <c r="M1771" s="351"/>
      <c r="N1771" s="351"/>
      <c r="O1771" s="351"/>
      <c r="R1771" s="348" t="str">
        <f t="shared" si="116"/>
        <v>DELETE</v>
      </c>
    </row>
    <row r="1772" spans="2:22" ht="36" customHeight="1" x14ac:dyDescent="0.5">
      <c r="B1772" s="354"/>
      <c r="C1772" s="450"/>
      <c r="D1772" s="450"/>
      <c r="E1772" s="450"/>
      <c r="F1772" s="450"/>
      <c r="G1772" s="450"/>
      <c r="H1772" s="450"/>
      <c r="I1772" s="450"/>
      <c r="J1772" s="450"/>
      <c r="M1772" s="351"/>
      <c r="N1772" s="351"/>
      <c r="O1772" s="296" t="s">
        <v>89</v>
      </c>
      <c r="Q1772" s="292">
        <f>MAX($Q$105:Q1771)+1</f>
        <v>47</v>
      </c>
      <c r="R1772" s="348" t="str">
        <f>R$1793</f>
        <v>DELETE</v>
      </c>
    </row>
    <row r="1773" spans="2:22" ht="36" customHeight="1" x14ac:dyDescent="0.5">
      <c r="B1773" s="354"/>
      <c r="C1773" s="450"/>
      <c r="D1773" s="456" t="str">
        <f>Criteria!E9</f>
        <v>HOLDING COMPANY 268 (PROPRIETARY) LIMITED</v>
      </c>
      <c r="E1773" s="450"/>
      <c r="F1773" s="450"/>
      <c r="G1773" s="450"/>
      <c r="H1773" s="450"/>
      <c r="I1773" s="450"/>
      <c r="J1773" s="450"/>
      <c r="M1773" s="351"/>
      <c r="N1773" s="351"/>
      <c r="O1773" s="347"/>
      <c r="R1773" s="348" t="str">
        <f t="shared" ref="R1773:R1783" si="118">R$1793</f>
        <v>DELETE</v>
      </c>
    </row>
    <row r="1774" spans="2:22" ht="36" customHeight="1" x14ac:dyDescent="0.5">
      <c r="B1774" s="354"/>
      <c r="C1774" s="450"/>
      <c r="D1774" s="456" t="str">
        <f>Criteria!E10</f>
        <v>CONSOLIDATED FINANCIAL STATEMENTS</v>
      </c>
      <c r="E1774" s="450"/>
      <c r="F1774" s="450"/>
      <c r="G1774" s="450"/>
      <c r="H1774" s="450"/>
      <c r="I1774" s="450"/>
      <c r="J1774" s="450"/>
      <c r="M1774" s="351"/>
      <c r="N1774" s="351"/>
      <c r="O1774" s="351"/>
      <c r="R1774" s="348" t="str">
        <f>IF(R$1793="DELETE","DELETE",IF(D1774=0,"DELETE"," "))</f>
        <v>DELETE</v>
      </c>
    </row>
    <row r="1775" spans="2:22" ht="36" customHeight="1" x14ac:dyDescent="0.5">
      <c r="B1775" s="354"/>
      <c r="C1775" s="450"/>
      <c r="D1775" s="450"/>
      <c r="E1775" s="450"/>
      <c r="F1775" s="450"/>
      <c r="G1775" s="450"/>
      <c r="H1775" s="450"/>
      <c r="I1775" s="450"/>
      <c r="J1775" s="450"/>
      <c r="M1775" s="351"/>
      <c r="N1775" s="351"/>
      <c r="O1775" s="351"/>
      <c r="R1775" s="348" t="str">
        <f t="shared" si="118"/>
        <v>DELETE</v>
      </c>
    </row>
    <row r="1776" spans="2:22" ht="36" customHeight="1" x14ac:dyDescent="0.5">
      <c r="B1776" s="354"/>
      <c r="C1776" s="450"/>
      <c r="D1776" s="456" t="s">
        <v>351</v>
      </c>
      <c r="E1776" s="450"/>
      <c r="F1776" s="450"/>
      <c r="G1776" s="450"/>
      <c r="H1776" s="450"/>
      <c r="I1776" s="450"/>
      <c r="J1776" s="450"/>
      <c r="M1776" s="351"/>
      <c r="N1776" s="351"/>
      <c r="O1776" s="351"/>
      <c r="R1776" s="348" t="str">
        <f t="shared" si="118"/>
        <v>DELETE</v>
      </c>
    </row>
    <row r="1777" spans="2:18" ht="36" customHeight="1" x14ac:dyDescent="0.5">
      <c r="B1777" s="354"/>
      <c r="C1777" s="450"/>
      <c r="D1777" s="456" t="str">
        <f>Criteria!E20</f>
        <v>28 FEBRUARY 2025</v>
      </c>
      <c r="E1777" s="450"/>
      <c r="F1777" s="450"/>
      <c r="G1777" s="450"/>
      <c r="H1777" s="450"/>
      <c r="I1777" s="450"/>
      <c r="J1777" s="450" t="s">
        <v>231</v>
      </c>
      <c r="M1777" s="351"/>
      <c r="N1777" s="351"/>
      <c r="O1777" s="351"/>
      <c r="R1777" s="348" t="str">
        <f t="shared" si="118"/>
        <v>DELETE</v>
      </c>
    </row>
    <row r="1778" spans="2:18" ht="36" customHeight="1" x14ac:dyDescent="0.5">
      <c r="B1778" s="354"/>
      <c r="C1778" s="450"/>
      <c r="D1778" s="456"/>
      <c r="E1778" s="450"/>
      <c r="F1778" s="450"/>
      <c r="G1778" s="450"/>
      <c r="H1778" s="450"/>
      <c r="I1778" s="450"/>
      <c r="J1778" s="450"/>
      <c r="M1778" s="351"/>
      <c r="N1778" s="351"/>
      <c r="O1778" s="351"/>
      <c r="R1778" s="348" t="str">
        <f t="shared" si="118"/>
        <v>DELETE</v>
      </c>
    </row>
    <row r="1779" spans="2:18" ht="36" customHeight="1" x14ac:dyDescent="0.5">
      <c r="B1779" s="447"/>
      <c r="C1779" s="465"/>
      <c r="D1779" s="460"/>
      <c r="E1779" s="460"/>
      <c r="F1779" s="460"/>
      <c r="G1779" s="460"/>
      <c r="H1779" s="460"/>
      <c r="I1779" s="460"/>
      <c r="J1779" s="460"/>
      <c r="K1779" s="364"/>
      <c r="L1779" s="364"/>
      <c r="M1779" s="297"/>
      <c r="N1779" s="297"/>
      <c r="O1779" s="297"/>
      <c r="P1779" s="367"/>
      <c r="Q1779" s="364"/>
      <c r="R1779" s="348" t="str">
        <f t="shared" si="118"/>
        <v>DELETE</v>
      </c>
    </row>
    <row r="1780" spans="2:18" ht="36" customHeight="1" x14ac:dyDescent="0.5">
      <c r="B1780" s="316"/>
      <c r="C1780" s="456"/>
      <c r="D1780" s="450"/>
      <c r="E1780" s="450"/>
      <c r="F1780" s="450"/>
      <c r="G1780" s="450"/>
      <c r="H1780" s="450"/>
      <c r="I1780" s="450"/>
      <c r="J1780" s="450"/>
      <c r="L1780" s="350"/>
      <c r="M1780" s="350"/>
      <c r="N1780" s="345"/>
      <c r="O1780" s="294">
        <f>Criteria!E22</f>
        <v>2025</v>
      </c>
      <c r="R1780" s="348" t="str">
        <f t="shared" si="118"/>
        <v>DELETE</v>
      </c>
    </row>
    <row r="1781" spans="2:18" ht="36" customHeight="1" x14ac:dyDescent="0.5">
      <c r="B1781" s="316"/>
      <c r="C1781" s="456"/>
      <c r="D1781" s="450"/>
      <c r="E1781" s="450"/>
      <c r="F1781" s="450"/>
      <c r="G1781" s="450"/>
      <c r="H1781" s="450"/>
      <c r="I1781" s="450"/>
      <c r="J1781" s="450"/>
      <c r="L1781" s="350"/>
      <c r="M1781" s="350"/>
      <c r="N1781" s="345"/>
      <c r="O1781" s="296"/>
      <c r="R1781" s="348" t="str">
        <f t="shared" si="118"/>
        <v>DELETE</v>
      </c>
    </row>
    <row r="1782" spans="2:18" ht="36" customHeight="1" x14ac:dyDescent="0.5">
      <c r="B1782" s="316">
        <f>MAX(B$602:B1781)+1</f>
        <v>18</v>
      </c>
      <c r="C1782" s="456" t="s">
        <v>643</v>
      </c>
      <c r="D1782" s="450"/>
      <c r="E1782" s="450"/>
      <c r="F1782" s="450"/>
      <c r="G1782" s="450"/>
      <c r="H1782" s="450"/>
      <c r="I1782" s="450"/>
      <c r="J1782" s="450"/>
      <c r="L1782" s="350"/>
      <c r="M1782" s="350"/>
      <c r="N1782" s="345"/>
      <c r="O1782" s="296"/>
      <c r="R1782" s="348" t="str">
        <f t="shared" si="118"/>
        <v>DELETE</v>
      </c>
    </row>
    <row r="1783" spans="2:18" ht="36" customHeight="1" x14ac:dyDescent="0.5">
      <c r="B1783" s="316"/>
      <c r="C1783" s="456"/>
      <c r="D1783" s="450"/>
      <c r="E1783" s="450"/>
      <c r="F1783" s="450"/>
      <c r="G1783" s="450"/>
      <c r="H1783" s="450"/>
      <c r="I1783" s="450"/>
      <c r="J1783" s="450"/>
      <c r="L1783" s="350"/>
      <c r="M1783" s="350"/>
      <c r="N1783" s="345"/>
      <c r="O1783" s="296"/>
      <c r="R1783" s="348" t="str">
        <f t="shared" si="118"/>
        <v>DELETE</v>
      </c>
    </row>
    <row r="1784" spans="2:18" ht="36" customHeight="1" x14ac:dyDescent="0.5">
      <c r="B1784" s="316"/>
      <c r="C1784" s="450">
        <f>TrialBalance!C367</f>
        <v>0</v>
      </c>
      <c r="D1784" s="459"/>
      <c r="E1784" s="450"/>
      <c r="F1784" s="450"/>
      <c r="G1784" s="450"/>
      <c r="H1784" s="450"/>
      <c r="I1784" s="450"/>
      <c r="J1784" s="450"/>
      <c r="L1784" s="350"/>
      <c r="M1784" s="350"/>
      <c r="N1784" s="345"/>
      <c r="O1784" s="296">
        <f>IF(TrialBalance!L367&gt;0,TrialBalance!L367,0)</f>
        <v>0</v>
      </c>
      <c r="R1784" s="348" t="str">
        <f t="shared" ref="R1784:R1790" si="119">IF(O1784=0,"DELETE"," ")</f>
        <v>DELETE</v>
      </c>
    </row>
    <row r="1785" spans="2:18" ht="36" customHeight="1" x14ac:dyDescent="0.5">
      <c r="B1785" s="316"/>
      <c r="C1785" s="450">
        <f>TrialBalance!C368</f>
        <v>0</v>
      </c>
      <c r="D1785" s="459"/>
      <c r="E1785" s="450"/>
      <c r="F1785" s="450"/>
      <c r="G1785" s="450"/>
      <c r="H1785" s="450"/>
      <c r="I1785" s="450"/>
      <c r="J1785" s="450"/>
      <c r="L1785" s="350"/>
      <c r="M1785" s="350"/>
      <c r="N1785" s="345"/>
      <c r="O1785" s="296">
        <f>IF(TrialBalance!L368&gt;0,TrialBalance!L368,0)</f>
        <v>0</v>
      </c>
      <c r="R1785" s="348" t="str">
        <f t="shared" si="119"/>
        <v>DELETE</v>
      </c>
    </row>
    <row r="1786" spans="2:18" ht="36" customHeight="1" x14ac:dyDescent="0.5">
      <c r="B1786" s="316"/>
      <c r="C1786" s="450">
        <f>TrialBalance!C369</f>
        <v>0</v>
      </c>
      <c r="D1786" s="459"/>
      <c r="E1786" s="450"/>
      <c r="F1786" s="450"/>
      <c r="G1786" s="450"/>
      <c r="H1786" s="450"/>
      <c r="I1786" s="450"/>
      <c r="J1786" s="450"/>
      <c r="L1786" s="350"/>
      <c r="M1786" s="350"/>
      <c r="N1786" s="345"/>
      <c r="O1786" s="296">
        <f>IF(TrialBalance!L369&gt;0,TrialBalance!L369,0)</f>
        <v>0</v>
      </c>
      <c r="R1786" s="348" t="str">
        <f t="shared" si="119"/>
        <v>DELETE</v>
      </c>
    </row>
    <row r="1787" spans="2:18" ht="36" customHeight="1" x14ac:dyDescent="0.5">
      <c r="B1787" s="316"/>
      <c r="C1787" s="450">
        <f>TrialBalance!C370</f>
        <v>0</v>
      </c>
      <c r="D1787" s="459"/>
      <c r="E1787" s="450"/>
      <c r="F1787" s="450"/>
      <c r="G1787" s="450"/>
      <c r="H1787" s="450"/>
      <c r="I1787" s="450"/>
      <c r="J1787" s="450"/>
      <c r="L1787" s="350"/>
      <c r="M1787" s="350"/>
      <c r="N1787" s="345"/>
      <c r="O1787" s="296">
        <f>IF(TrialBalance!L370&gt;0,TrialBalance!L370,0)</f>
        <v>0</v>
      </c>
      <c r="R1787" s="348" t="str">
        <f t="shared" si="119"/>
        <v>DELETE</v>
      </c>
    </row>
    <row r="1788" spans="2:18" ht="36" customHeight="1" x14ac:dyDescent="0.5">
      <c r="B1788" s="316"/>
      <c r="C1788" s="450">
        <f>TrialBalance!C371</f>
        <v>0</v>
      </c>
      <c r="D1788" s="459"/>
      <c r="E1788" s="450"/>
      <c r="F1788" s="450"/>
      <c r="G1788" s="450"/>
      <c r="H1788" s="450"/>
      <c r="I1788" s="450"/>
      <c r="J1788" s="450"/>
      <c r="L1788" s="350"/>
      <c r="M1788" s="350"/>
      <c r="N1788" s="345"/>
      <c r="O1788" s="296">
        <f>IF(TrialBalance!L371&gt;0,TrialBalance!L371,0)</f>
        <v>0</v>
      </c>
      <c r="R1788" s="348" t="str">
        <f t="shared" si="119"/>
        <v>DELETE</v>
      </c>
    </row>
    <row r="1789" spans="2:18" ht="36" customHeight="1" x14ac:dyDescent="0.5">
      <c r="B1789" s="316"/>
      <c r="C1789" s="450">
        <f>TrialBalance!C372</f>
        <v>0</v>
      </c>
      <c r="D1789" s="459"/>
      <c r="E1789" s="450"/>
      <c r="F1789" s="450"/>
      <c r="G1789" s="450"/>
      <c r="H1789" s="450"/>
      <c r="I1789" s="450"/>
      <c r="J1789" s="450"/>
      <c r="L1789" s="350"/>
      <c r="M1789" s="350"/>
      <c r="N1789" s="345"/>
      <c r="O1789" s="296">
        <f>IF(TrialBalance!L372&gt;0,TrialBalance!L372,0)</f>
        <v>0</v>
      </c>
      <c r="R1789" s="348" t="str">
        <f t="shared" si="119"/>
        <v>DELETE</v>
      </c>
    </row>
    <row r="1790" spans="2:18" ht="36" customHeight="1" x14ac:dyDescent="0.5">
      <c r="B1790" s="316"/>
      <c r="C1790" s="450" t="s">
        <v>399</v>
      </c>
      <c r="D1790" s="459"/>
      <c r="E1790" s="450"/>
      <c r="F1790" s="450"/>
      <c r="G1790" s="450"/>
      <c r="H1790" s="450"/>
      <c r="I1790" s="450"/>
      <c r="J1790" s="450"/>
      <c r="L1790" s="350"/>
      <c r="M1790" s="350"/>
      <c r="N1790" s="345"/>
      <c r="O1790" s="296">
        <f>TrialBalance!L373</f>
        <v>0</v>
      </c>
      <c r="R1790" s="348" t="str">
        <f t="shared" si="119"/>
        <v>DELETE</v>
      </c>
    </row>
    <row r="1791" spans="2:18" ht="9" customHeight="1" x14ac:dyDescent="0.5">
      <c r="B1791" s="316"/>
      <c r="C1791" s="456"/>
      <c r="D1791" s="450"/>
      <c r="E1791" s="450"/>
      <c r="F1791" s="450"/>
      <c r="G1791" s="450"/>
      <c r="H1791" s="450"/>
      <c r="I1791" s="450"/>
      <c r="J1791" s="450"/>
      <c r="L1791" s="350"/>
      <c r="M1791" s="350"/>
      <c r="N1791" s="345"/>
      <c r="O1791" s="298"/>
      <c r="R1791" s="348" t="str">
        <f t="shared" ref="R1791:R1799" si="120">R$1793</f>
        <v>DELETE</v>
      </c>
    </row>
    <row r="1792" spans="2:18" ht="9" customHeight="1" x14ac:dyDescent="0.5">
      <c r="B1792" s="316"/>
      <c r="C1792" s="456"/>
      <c r="D1792" s="450"/>
      <c r="E1792" s="450"/>
      <c r="F1792" s="450"/>
      <c r="G1792" s="450"/>
      <c r="H1792" s="450"/>
      <c r="I1792" s="450"/>
      <c r="J1792" s="450"/>
      <c r="L1792" s="350"/>
      <c r="M1792" s="350"/>
      <c r="N1792" s="345"/>
      <c r="O1792" s="296"/>
      <c r="R1792" s="348" t="str">
        <f t="shared" si="120"/>
        <v>DELETE</v>
      </c>
    </row>
    <row r="1793" spans="2:21" ht="36.75" customHeight="1" x14ac:dyDescent="0.5">
      <c r="B1793" s="316"/>
      <c r="C1793" s="456"/>
      <c r="D1793" s="450"/>
      <c r="E1793" s="450"/>
      <c r="F1793" s="450"/>
      <c r="G1793" s="450"/>
      <c r="H1793" s="450"/>
      <c r="I1793" s="450"/>
      <c r="J1793" s="450"/>
      <c r="L1793" s="350"/>
      <c r="M1793" s="350"/>
      <c r="N1793" s="345"/>
      <c r="O1793" s="296">
        <f>SUM(O1784:O1792)</f>
        <v>0</v>
      </c>
      <c r="R1793" s="348" t="str">
        <f t="shared" ref="R1793" si="121">IF(O1793=0,"DELETE"," ")</f>
        <v>DELETE</v>
      </c>
      <c r="U1793" s="336"/>
    </row>
    <row r="1794" spans="2:21" ht="9" customHeight="1" thickBot="1" x14ac:dyDescent="0.55000000000000004">
      <c r="B1794" s="316"/>
      <c r="C1794" s="456"/>
      <c r="D1794" s="450"/>
      <c r="E1794" s="450"/>
      <c r="F1794" s="450"/>
      <c r="G1794" s="450"/>
      <c r="H1794" s="450"/>
      <c r="I1794" s="450"/>
      <c r="J1794" s="450"/>
      <c r="L1794" s="350"/>
      <c r="M1794" s="350"/>
      <c r="N1794" s="345"/>
      <c r="O1794" s="299"/>
      <c r="R1794" s="348" t="str">
        <f t="shared" si="120"/>
        <v>DELETE</v>
      </c>
    </row>
    <row r="1795" spans="2:21" ht="9" customHeight="1" thickTop="1" x14ac:dyDescent="0.5">
      <c r="B1795" s="316"/>
      <c r="C1795" s="456"/>
      <c r="D1795" s="450"/>
      <c r="E1795" s="450"/>
      <c r="F1795" s="450"/>
      <c r="G1795" s="450"/>
      <c r="H1795" s="450"/>
      <c r="I1795" s="450"/>
      <c r="J1795" s="450"/>
      <c r="L1795" s="350"/>
      <c r="M1795" s="350"/>
      <c r="N1795" s="345"/>
      <c r="O1795" s="310"/>
      <c r="R1795" s="348" t="str">
        <f t="shared" si="120"/>
        <v>DELETE</v>
      </c>
    </row>
    <row r="1796" spans="2:21" ht="36" customHeight="1" x14ac:dyDescent="0.5">
      <c r="B1796" s="316"/>
      <c r="C1796" s="456"/>
      <c r="D1796" s="450"/>
      <c r="E1796" s="450"/>
      <c r="F1796" s="450"/>
      <c r="G1796" s="450"/>
      <c r="H1796" s="450"/>
      <c r="I1796" s="450"/>
      <c r="J1796" s="450"/>
      <c r="L1796" s="350"/>
      <c r="M1796" s="350"/>
      <c r="N1796" s="345"/>
      <c r="O1796" s="296"/>
      <c r="R1796" s="348" t="str">
        <f t="shared" si="120"/>
        <v>DELETE</v>
      </c>
    </row>
    <row r="1797" spans="2:21" ht="36" customHeight="1" x14ac:dyDescent="0.5">
      <c r="B1797" s="316"/>
      <c r="C1797" s="456"/>
      <c r="D1797" s="450"/>
      <c r="E1797" s="450"/>
      <c r="F1797" s="450"/>
      <c r="G1797" s="450"/>
      <c r="H1797" s="450"/>
      <c r="I1797" s="450"/>
      <c r="J1797" s="450"/>
      <c r="M1797" s="296"/>
      <c r="N1797" s="296"/>
      <c r="O1797" s="296"/>
      <c r="R1797" s="348" t="str">
        <f t="shared" si="120"/>
        <v>DELETE</v>
      </c>
    </row>
    <row r="1798" spans="2:21" ht="36" customHeight="1" x14ac:dyDescent="0.5">
      <c r="B1798" s="316"/>
      <c r="C1798" s="456"/>
      <c r="D1798" s="450"/>
      <c r="E1798" s="450"/>
      <c r="F1798" s="450"/>
      <c r="G1798" s="450"/>
      <c r="H1798" s="450"/>
      <c r="I1798" s="450"/>
      <c r="J1798" s="450"/>
      <c r="M1798" s="310"/>
      <c r="N1798" s="310"/>
      <c r="O1798" s="310"/>
      <c r="P1798" s="356"/>
      <c r="R1798" s="348" t="str">
        <f t="shared" si="120"/>
        <v>DELETE</v>
      </c>
    </row>
    <row r="1799" spans="2:21" ht="36" customHeight="1" x14ac:dyDescent="0.5">
      <c r="B1799" s="316"/>
      <c r="C1799" s="456"/>
      <c r="D1799" s="450"/>
      <c r="E1799" s="450"/>
      <c r="F1799" s="450"/>
      <c r="G1799" s="450"/>
      <c r="H1799" s="450"/>
      <c r="I1799" s="450"/>
      <c r="J1799" s="450"/>
      <c r="M1799" s="296"/>
      <c r="N1799" s="296"/>
      <c r="O1799" s="296"/>
      <c r="R1799" s="348" t="str">
        <f t="shared" si="120"/>
        <v>DELETE</v>
      </c>
    </row>
    <row r="1800" spans="2:21" ht="36" customHeight="1" x14ac:dyDescent="0.5">
      <c r="B1800" s="316"/>
      <c r="C1800" s="456"/>
      <c r="D1800" s="450"/>
      <c r="E1800" s="450"/>
      <c r="F1800" s="450"/>
      <c r="G1800" s="450"/>
      <c r="H1800" s="450"/>
      <c r="I1800" s="450"/>
      <c r="J1800" s="450"/>
      <c r="M1800" s="296"/>
      <c r="N1800" s="296"/>
      <c r="O1800" s="296" t="s">
        <v>89</v>
      </c>
      <c r="Q1800" s="292">
        <f>MAX($Q$105:Q1799)+1</f>
        <v>48</v>
      </c>
    </row>
    <row r="1801" spans="2:21" ht="36" customHeight="1" x14ac:dyDescent="0.5">
      <c r="B1801" s="354"/>
      <c r="C1801" s="450"/>
      <c r="D1801" s="456" t="str">
        <f>Criteria!E9</f>
        <v>HOLDING COMPANY 268 (PROPRIETARY) LIMITED</v>
      </c>
      <c r="E1801" s="450"/>
      <c r="F1801" s="450"/>
      <c r="G1801" s="450"/>
      <c r="H1801" s="450"/>
      <c r="I1801" s="450"/>
      <c r="J1801" s="450"/>
      <c r="M1801" s="351"/>
      <c r="N1801" s="351"/>
      <c r="O1801" s="347"/>
    </row>
    <row r="1802" spans="2:21" ht="36" customHeight="1" x14ac:dyDescent="0.5">
      <c r="B1802" s="354"/>
      <c r="C1802" s="450"/>
      <c r="D1802" s="456" t="str">
        <f>Criteria!E10</f>
        <v>CONSOLIDATED FINANCIAL STATEMENTS</v>
      </c>
      <c r="E1802" s="450"/>
      <c r="F1802" s="450"/>
      <c r="G1802" s="450"/>
      <c r="H1802" s="450"/>
      <c r="I1802" s="450"/>
      <c r="J1802" s="450"/>
      <c r="M1802" s="351"/>
      <c r="N1802" s="351"/>
      <c r="O1802" s="351"/>
      <c r="R1802" s="348" t="str">
        <f>IF(D1802=0,"DELETE"," ")</f>
        <v xml:space="preserve"> </v>
      </c>
    </row>
    <row r="1803" spans="2:21" ht="36" customHeight="1" x14ac:dyDescent="0.5">
      <c r="B1803" s="354"/>
      <c r="C1803" s="450"/>
      <c r="D1803" s="450"/>
      <c r="E1803" s="450"/>
      <c r="F1803" s="450"/>
      <c r="G1803" s="450"/>
      <c r="H1803" s="450"/>
      <c r="I1803" s="450"/>
      <c r="J1803" s="450"/>
      <c r="M1803" s="351"/>
      <c r="N1803" s="351"/>
      <c r="O1803" s="351"/>
    </row>
    <row r="1804" spans="2:21" ht="36" customHeight="1" x14ac:dyDescent="0.5">
      <c r="B1804" s="354"/>
      <c r="C1804" s="450"/>
      <c r="D1804" s="456" t="s">
        <v>351</v>
      </c>
      <c r="E1804" s="450"/>
      <c r="F1804" s="450"/>
      <c r="G1804" s="450"/>
      <c r="H1804" s="450"/>
      <c r="I1804" s="450"/>
      <c r="J1804" s="450"/>
      <c r="M1804" s="351"/>
      <c r="N1804" s="351"/>
      <c r="O1804" s="351"/>
    </row>
    <row r="1805" spans="2:21" ht="36" customHeight="1" x14ac:dyDescent="0.5">
      <c r="B1805" s="354"/>
      <c r="C1805" s="450"/>
      <c r="D1805" s="456" t="str">
        <f>Criteria!E20</f>
        <v>28 FEBRUARY 2025</v>
      </c>
      <c r="E1805" s="450"/>
      <c r="F1805" s="450"/>
      <c r="G1805" s="450"/>
      <c r="H1805" s="450"/>
      <c r="I1805" s="450"/>
      <c r="J1805" s="450" t="s">
        <v>231</v>
      </c>
      <c r="M1805" s="351"/>
      <c r="N1805" s="351"/>
      <c r="O1805" s="351"/>
    </row>
    <row r="1806" spans="2:21" ht="36" customHeight="1" x14ac:dyDescent="0.5">
      <c r="B1806" s="354"/>
      <c r="C1806" s="450"/>
      <c r="D1806" s="456"/>
      <c r="E1806" s="450"/>
      <c r="F1806" s="450"/>
      <c r="G1806" s="450"/>
      <c r="H1806" s="450"/>
      <c r="I1806" s="450"/>
      <c r="J1806" s="450"/>
      <c r="M1806" s="351"/>
      <c r="N1806" s="351"/>
      <c r="O1806" s="351"/>
    </row>
    <row r="1807" spans="2:21" ht="36" customHeight="1" x14ac:dyDescent="0.5">
      <c r="B1807" s="447"/>
      <c r="C1807" s="465"/>
      <c r="D1807" s="460"/>
      <c r="E1807" s="460"/>
      <c r="F1807" s="460"/>
      <c r="G1807" s="460"/>
      <c r="H1807" s="460"/>
      <c r="I1807" s="460"/>
      <c r="J1807" s="460"/>
      <c r="K1807" s="364"/>
      <c r="L1807" s="364"/>
      <c r="M1807" s="297"/>
      <c r="N1807" s="297"/>
      <c r="O1807" s="297"/>
      <c r="P1807" s="367"/>
      <c r="Q1807" s="364"/>
    </row>
    <row r="1808" spans="2:21" ht="36" customHeight="1" x14ac:dyDescent="0.5">
      <c r="B1808" s="316"/>
      <c r="C1808" s="456"/>
      <c r="D1808" s="450"/>
      <c r="E1808" s="450"/>
      <c r="F1808" s="450"/>
      <c r="G1808" s="450"/>
      <c r="H1808" s="450"/>
      <c r="I1808" s="450"/>
      <c r="J1808" s="450"/>
      <c r="L1808" s="350"/>
      <c r="M1808" s="350"/>
      <c r="N1808" s="345"/>
      <c r="O1808" s="294">
        <f>Criteria!E22</f>
        <v>2025</v>
      </c>
    </row>
    <row r="1809" spans="2:18" ht="36" customHeight="1" x14ac:dyDescent="0.5">
      <c r="B1809" s="316"/>
      <c r="C1809" s="456"/>
      <c r="D1809" s="450"/>
      <c r="E1809" s="450"/>
      <c r="F1809" s="450"/>
      <c r="G1809" s="450"/>
      <c r="H1809" s="450"/>
      <c r="I1809" s="450"/>
      <c r="J1809" s="450"/>
      <c r="L1809" s="350"/>
      <c r="M1809" s="350"/>
      <c r="N1809" s="345"/>
      <c r="O1809" s="296"/>
    </row>
    <row r="1810" spans="2:18" ht="36" customHeight="1" x14ac:dyDescent="0.5">
      <c r="B1810" s="316">
        <f>MAX(B$602:B1809)+1</f>
        <v>19</v>
      </c>
      <c r="C1810" s="456" t="s">
        <v>515</v>
      </c>
      <c r="D1810" s="450"/>
      <c r="E1810" s="450"/>
      <c r="F1810" s="450"/>
      <c r="G1810" s="450"/>
      <c r="H1810" s="450"/>
      <c r="I1810" s="450"/>
      <c r="J1810" s="450"/>
      <c r="L1810" s="350"/>
      <c r="M1810" s="350"/>
      <c r="N1810" s="345"/>
      <c r="O1810" s="296"/>
    </row>
    <row r="1811" spans="2:18" ht="36" customHeight="1" x14ac:dyDescent="0.5">
      <c r="B1811" s="316"/>
      <c r="C1811" s="456"/>
      <c r="D1811" s="450"/>
      <c r="E1811" s="450"/>
      <c r="F1811" s="450"/>
      <c r="G1811" s="450"/>
      <c r="H1811" s="450"/>
      <c r="I1811" s="450"/>
      <c r="J1811" s="450"/>
      <c r="L1811" s="350"/>
      <c r="M1811" s="350"/>
      <c r="N1811" s="345"/>
      <c r="O1811" s="296"/>
    </row>
    <row r="1812" spans="2:18" ht="36" customHeight="1" x14ac:dyDescent="0.5">
      <c r="B1812" s="316"/>
      <c r="C1812" s="450" t="s">
        <v>880</v>
      </c>
      <c r="D1812" s="459"/>
      <c r="E1812" s="450"/>
      <c r="F1812" s="450"/>
      <c r="G1812" s="450"/>
      <c r="H1812" s="450"/>
      <c r="I1812" s="450"/>
      <c r="J1812" s="450"/>
      <c r="K1812" s="292"/>
      <c r="L1812" s="350"/>
      <c r="M1812" s="350"/>
      <c r="N1812" s="345"/>
      <c r="O1812" s="292"/>
    </row>
    <row r="1813" spans="2:18" ht="36" customHeight="1" x14ac:dyDescent="0.5">
      <c r="B1813" s="316"/>
      <c r="C1813" s="450" t="str">
        <f>Criteria!G111</f>
        <v>1000 Ordinary shares of R1 each</v>
      </c>
      <c r="D1813" s="459"/>
      <c r="E1813" s="450"/>
      <c r="F1813" s="450"/>
      <c r="G1813" s="450"/>
      <c r="H1813" s="464"/>
      <c r="I1813" s="450"/>
      <c r="J1813" s="464"/>
      <c r="K1813" s="311"/>
      <c r="L1813" s="350"/>
      <c r="M1813" s="350"/>
      <c r="N1813" s="345"/>
      <c r="O1813" s="300">
        <f>Criteria!E111*Criteria!E112</f>
        <v>1000</v>
      </c>
    </row>
    <row r="1814" spans="2:18" ht="9" customHeight="1" thickBot="1" x14ac:dyDescent="0.55000000000000004">
      <c r="B1814" s="316"/>
      <c r="C1814" s="450"/>
      <c r="D1814" s="459"/>
      <c r="E1814" s="450"/>
      <c r="F1814" s="450"/>
      <c r="G1814" s="450"/>
      <c r="H1814" s="467"/>
      <c r="I1814" s="450"/>
      <c r="J1814" s="467"/>
      <c r="K1814" s="380"/>
      <c r="L1814" s="350"/>
      <c r="M1814" s="350"/>
      <c r="N1814" s="345"/>
      <c r="O1814" s="308"/>
    </row>
    <row r="1815" spans="2:18" ht="36" customHeight="1" thickTop="1" x14ac:dyDescent="0.5">
      <c r="B1815" s="316"/>
      <c r="C1815" s="450"/>
      <c r="D1815" s="459"/>
      <c r="E1815" s="450"/>
      <c r="F1815" s="450"/>
      <c r="G1815" s="450"/>
      <c r="H1815" s="450"/>
      <c r="I1815" s="450"/>
      <c r="J1815" s="450"/>
      <c r="L1815" s="350"/>
      <c r="M1815" s="350"/>
      <c r="N1815" s="345"/>
      <c r="O1815" s="296"/>
    </row>
    <row r="1816" spans="2:18" ht="36" customHeight="1" x14ac:dyDescent="0.5">
      <c r="B1816" s="316"/>
      <c r="C1816" s="450" t="s">
        <v>709</v>
      </c>
      <c r="D1816" s="459"/>
      <c r="E1816" s="450"/>
      <c r="F1816" s="450"/>
      <c r="G1816" s="450"/>
      <c r="H1816" s="450"/>
      <c r="I1816" s="450"/>
      <c r="J1816" s="450"/>
      <c r="L1816" s="350"/>
      <c r="M1816" s="350"/>
      <c r="N1816" s="345"/>
      <c r="O1816" s="350"/>
    </row>
    <row r="1817" spans="2:18" ht="36" customHeight="1" x14ac:dyDescent="0.5">
      <c r="B1817" s="316"/>
      <c r="C1817" s="450" t="str">
        <f>Criteria!G114</f>
        <v>100 Ordinary shares of R1 each</v>
      </c>
      <c r="D1817" s="459"/>
      <c r="E1817" s="450"/>
      <c r="F1817" s="450"/>
      <c r="G1817" s="450"/>
      <c r="H1817" s="468"/>
      <c r="I1817" s="450"/>
      <c r="J1817" s="467"/>
      <c r="K1817" s="380"/>
      <c r="L1817" s="350"/>
      <c r="M1817" s="350"/>
      <c r="N1817" s="380"/>
      <c r="O1817" s="380">
        <f>-TrialBalance!L170-TrialBalance!L171</f>
        <v>0</v>
      </c>
      <c r="P1817" s="351"/>
    </row>
    <row r="1818" spans="2:18" ht="9" customHeight="1" thickBot="1" x14ac:dyDescent="0.55000000000000004">
      <c r="B1818" s="316"/>
      <c r="C1818" s="456"/>
      <c r="D1818" s="450"/>
      <c r="E1818" s="450"/>
      <c r="F1818" s="450"/>
      <c r="G1818" s="450"/>
      <c r="H1818" s="450"/>
      <c r="I1818" s="450"/>
      <c r="J1818" s="467"/>
      <c r="K1818" s="380"/>
      <c r="L1818" s="350"/>
      <c r="M1818" s="350"/>
      <c r="N1818" s="380"/>
      <c r="O1818" s="308"/>
      <c r="P1818" s="351"/>
    </row>
    <row r="1819" spans="2:18" ht="36" customHeight="1" thickTop="1" x14ac:dyDescent="0.5">
      <c r="B1819" s="316"/>
      <c r="C1819" s="456"/>
      <c r="D1819" s="450"/>
      <c r="E1819" s="450"/>
      <c r="F1819" s="450"/>
      <c r="G1819" s="450"/>
      <c r="H1819" s="468"/>
      <c r="I1819" s="450"/>
      <c r="J1819" s="467"/>
      <c r="K1819" s="380"/>
      <c r="L1819" s="350"/>
      <c r="M1819" s="350"/>
      <c r="N1819" s="380"/>
      <c r="O1819" s="296"/>
      <c r="P1819" s="351"/>
    </row>
    <row r="1820" spans="2:18" ht="36" customHeight="1" x14ac:dyDescent="0.5">
      <c r="B1820" s="316"/>
      <c r="C1820" s="456"/>
      <c r="D1820" s="450"/>
      <c r="E1820" s="450"/>
      <c r="F1820" s="450"/>
      <c r="G1820" s="450"/>
      <c r="H1820" s="468"/>
      <c r="I1820" s="450"/>
      <c r="J1820" s="467"/>
      <c r="K1820" s="380"/>
      <c r="L1820" s="350"/>
      <c r="M1820" s="350"/>
      <c r="N1820" s="380"/>
      <c r="O1820" s="296"/>
      <c r="P1820" s="351"/>
    </row>
    <row r="1821" spans="2:18" ht="36" customHeight="1" x14ac:dyDescent="0.5">
      <c r="B1821" s="316"/>
      <c r="C1821" s="456"/>
      <c r="D1821" s="450"/>
      <c r="E1821" s="450"/>
      <c r="F1821" s="450"/>
      <c r="G1821" s="450"/>
      <c r="H1821" s="469"/>
      <c r="I1821" s="450"/>
      <c r="J1821" s="467"/>
      <c r="K1821" s="380"/>
      <c r="L1821" s="380"/>
      <c r="M1821" s="310"/>
      <c r="N1821" s="310"/>
      <c r="O1821" s="310"/>
      <c r="P1821" s="371"/>
    </row>
    <row r="1822" spans="2:18" ht="36" customHeight="1" x14ac:dyDescent="0.5">
      <c r="B1822" s="316"/>
      <c r="C1822" s="456"/>
      <c r="D1822" s="450"/>
      <c r="E1822" s="450"/>
      <c r="F1822" s="450"/>
      <c r="G1822" s="450"/>
      <c r="H1822" s="450"/>
      <c r="I1822" s="450"/>
      <c r="J1822" s="450"/>
      <c r="M1822" s="296"/>
      <c r="N1822" s="296"/>
      <c r="O1822" s="296"/>
    </row>
    <row r="1823" spans="2:18" ht="36" customHeight="1" x14ac:dyDescent="0.5">
      <c r="B1823" s="316"/>
      <c r="C1823" s="456"/>
      <c r="D1823" s="450"/>
      <c r="E1823" s="450"/>
      <c r="F1823" s="450"/>
      <c r="G1823" s="450"/>
      <c r="H1823" s="450"/>
      <c r="I1823" s="450"/>
      <c r="J1823" s="450"/>
      <c r="M1823" s="296"/>
      <c r="N1823" s="296"/>
      <c r="O1823" s="296" t="s">
        <v>89</v>
      </c>
      <c r="Q1823" s="292">
        <f>MAX($Q$105:Q1822)+1</f>
        <v>49</v>
      </c>
      <c r="R1823" s="348" t="str">
        <f>R$1840</f>
        <v>DELETE</v>
      </c>
    </row>
    <row r="1824" spans="2:18" ht="36" customHeight="1" x14ac:dyDescent="0.5">
      <c r="B1824" s="354"/>
      <c r="C1824" s="450"/>
      <c r="D1824" s="456" t="str">
        <f>Criteria!E9</f>
        <v>HOLDING COMPANY 268 (PROPRIETARY) LIMITED</v>
      </c>
      <c r="E1824" s="450"/>
      <c r="F1824" s="450"/>
      <c r="G1824" s="450"/>
      <c r="H1824" s="450"/>
      <c r="I1824" s="450"/>
      <c r="J1824" s="450"/>
      <c r="M1824" s="351"/>
      <c r="N1824" s="351"/>
      <c r="O1824" s="347"/>
      <c r="R1824" s="348" t="str">
        <f t="shared" ref="R1824:R1834" si="122">R$1840</f>
        <v>DELETE</v>
      </c>
    </row>
    <row r="1825" spans="2:18" ht="36" customHeight="1" x14ac:dyDescent="0.5">
      <c r="B1825" s="354"/>
      <c r="C1825" s="450"/>
      <c r="D1825" s="456" t="str">
        <f>Criteria!E10</f>
        <v>CONSOLIDATED FINANCIAL STATEMENTS</v>
      </c>
      <c r="E1825" s="450"/>
      <c r="F1825" s="450"/>
      <c r="G1825" s="450"/>
      <c r="H1825" s="450"/>
      <c r="I1825" s="450"/>
      <c r="J1825" s="450"/>
      <c r="M1825" s="351"/>
      <c r="N1825" s="351"/>
      <c r="O1825" s="351"/>
      <c r="R1825" s="348" t="str">
        <f>IF(R$1840="DELETE","DELETE",IF(D1825=0,"DELETE"," "))</f>
        <v>DELETE</v>
      </c>
    </row>
    <row r="1826" spans="2:18" ht="36" customHeight="1" x14ac:dyDescent="0.5">
      <c r="B1826" s="354"/>
      <c r="C1826" s="450"/>
      <c r="D1826" s="450"/>
      <c r="E1826" s="450"/>
      <c r="F1826" s="450"/>
      <c r="G1826" s="450"/>
      <c r="H1826" s="450"/>
      <c r="I1826" s="450"/>
      <c r="J1826" s="450"/>
      <c r="M1826" s="351"/>
      <c r="N1826" s="351"/>
      <c r="O1826" s="351"/>
      <c r="R1826" s="348" t="str">
        <f t="shared" si="122"/>
        <v>DELETE</v>
      </c>
    </row>
    <row r="1827" spans="2:18" ht="36" customHeight="1" x14ac:dyDescent="0.5">
      <c r="B1827" s="354"/>
      <c r="C1827" s="450"/>
      <c r="D1827" s="456" t="s">
        <v>351</v>
      </c>
      <c r="E1827" s="450"/>
      <c r="F1827" s="450"/>
      <c r="G1827" s="450"/>
      <c r="H1827" s="450"/>
      <c r="I1827" s="450"/>
      <c r="J1827" s="450"/>
      <c r="M1827" s="351"/>
      <c r="N1827" s="351"/>
      <c r="O1827" s="351"/>
      <c r="R1827" s="348" t="str">
        <f t="shared" si="122"/>
        <v>DELETE</v>
      </c>
    </row>
    <row r="1828" spans="2:18" ht="36" customHeight="1" x14ac:dyDescent="0.5">
      <c r="B1828" s="354"/>
      <c r="C1828" s="450"/>
      <c r="D1828" s="456" t="str">
        <f>Criteria!E20</f>
        <v>28 FEBRUARY 2025</v>
      </c>
      <c r="E1828" s="450"/>
      <c r="F1828" s="450"/>
      <c r="G1828" s="450"/>
      <c r="H1828" s="450"/>
      <c r="I1828" s="450"/>
      <c r="J1828" s="450" t="s">
        <v>231</v>
      </c>
      <c r="M1828" s="351"/>
      <c r="N1828" s="351"/>
      <c r="O1828" s="351"/>
      <c r="R1828" s="348" t="str">
        <f t="shared" si="122"/>
        <v>DELETE</v>
      </c>
    </row>
    <row r="1829" spans="2:18" ht="36" customHeight="1" x14ac:dyDescent="0.5">
      <c r="B1829" s="354"/>
      <c r="C1829" s="450"/>
      <c r="D1829" s="456"/>
      <c r="E1829" s="450"/>
      <c r="F1829" s="450"/>
      <c r="G1829" s="450"/>
      <c r="H1829" s="450"/>
      <c r="I1829" s="450"/>
      <c r="J1829" s="450"/>
      <c r="M1829" s="351"/>
      <c r="N1829" s="351"/>
      <c r="O1829" s="351"/>
      <c r="R1829" s="348" t="str">
        <f t="shared" si="122"/>
        <v>DELETE</v>
      </c>
    </row>
    <row r="1830" spans="2:18" ht="36" customHeight="1" x14ac:dyDescent="0.5">
      <c r="B1830" s="447"/>
      <c r="C1830" s="465"/>
      <c r="D1830" s="460"/>
      <c r="E1830" s="460"/>
      <c r="F1830" s="460"/>
      <c r="G1830" s="460"/>
      <c r="H1830" s="470"/>
      <c r="I1830" s="460"/>
      <c r="J1830" s="471"/>
      <c r="K1830" s="384"/>
      <c r="L1830" s="384"/>
      <c r="M1830" s="297"/>
      <c r="N1830" s="297"/>
      <c r="O1830" s="297"/>
      <c r="P1830" s="378"/>
      <c r="Q1830" s="364"/>
      <c r="R1830" s="348" t="str">
        <f t="shared" si="122"/>
        <v>DELETE</v>
      </c>
    </row>
    <row r="1831" spans="2:18" ht="36" customHeight="1" x14ac:dyDescent="0.5">
      <c r="B1831" s="316"/>
      <c r="C1831" s="456"/>
      <c r="D1831" s="450"/>
      <c r="E1831" s="450"/>
      <c r="F1831" s="450"/>
      <c r="G1831" s="450"/>
      <c r="H1831" s="468"/>
      <c r="I1831" s="450"/>
      <c r="J1831" s="467"/>
      <c r="K1831" s="380"/>
      <c r="L1831" s="350"/>
      <c r="M1831" s="350"/>
      <c r="N1831" s="380"/>
      <c r="O1831" s="294">
        <f>Criteria!E22</f>
        <v>2025</v>
      </c>
      <c r="P1831" s="351"/>
      <c r="R1831" s="348" t="str">
        <f t="shared" si="122"/>
        <v>DELETE</v>
      </c>
    </row>
    <row r="1832" spans="2:18" ht="36" customHeight="1" x14ac:dyDescent="0.5">
      <c r="B1832" s="316"/>
      <c r="C1832" s="456"/>
      <c r="D1832" s="450"/>
      <c r="E1832" s="450"/>
      <c r="F1832" s="450"/>
      <c r="G1832" s="450"/>
      <c r="H1832" s="468"/>
      <c r="I1832" s="450"/>
      <c r="J1832" s="467"/>
      <c r="K1832" s="380"/>
      <c r="L1832" s="350"/>
      <c r="M1832" s="350"/>
      <c r="N1832" s="380"/>
      <c r="O1832" s="296"/>
      <c r="P1832" s="351"/>
      <c r="R1832" s="348" t="str">
        <f t="shared" si="122"/>
        <v>DELETE</v>
      </c>
    </row>
    <row r="1833" spans="2:18" ht="36" customHeight="1" x14ac:dyDescent="0.5">
      <c r="B1833" s="316">
        <f>MAX(B$602:B1832)+1</f>
        <v>20</v>
      </c>
      <c r="C1833" s="456" t="s">
        <v>516</v>
      </c>
      <c r="D1833" s="450"/>
      <c r="E1833" s="450"/>
      <c r="F1833" s="450"/>
      <c r="G1833" s="450"/>
      <c r="H1833" s="468"/>
      <c r="I1833" s="450"/>
      <c r="J1833" s="467"/>
      <c r="K1833" s="380"/>
      <c r="L1833" s="350"/>
      <c r="M1833" s="350"/>
      <c r="N1833" s="380"/>
      <c r="O1833" s="296"/>
      <c r="P1833" s="351"/>
      <c r="R1833" s="348" t="str">
        <f t="shared" si="122"/>
        <v>DELETE</v>
      </c>
    </row>
    <row r="1834" spans="2:18" ht="36" customHeight="1" x14ac:dyDescent="0.5">
      <c r="B1834" s="316"/>
      <c r="C1834" s="456"/>
      <c r="D1834" s="450"/>
      <c r="E1834" s="450"/>
      <c r="F1834" s="450"/>
      <c r="G1834" s="450"/>
      <c r="H1834" s="468"/>
      <c r="I1834" s="450"/>
      <c r="J1834" s="467"/>
      <c r="K1834" s="380"/>
      <c r="L1834" s="350"/>
      <c r="M1834" s="350"/>
      <c r="N1834" s="380"/>
      <c r="O1834" s="296"/>
      <c r="P1834" s="351"/>
      <c r="R1834" s="348" t="str">
        <f t="shared" si="122"/>
        <v>DELETE</v>
      </c>
    </row>
    <row r="1835" spans="2:18" ht="36" customHeight="1" x14ac:dyDescent="0.5">
      <c r="B1835" s="316"/>
      <c r="C1835" s="450" t="s">
        <v>105</v>
      </c>
      <c r="D1835" s="459"/>
      <c r="E1835" s="450"/>
      <c r="F1835" s="450"/>
      <c r="G1835" s="450"/>
      <c r="H1835" s="468"/>
      <c r="I1835" s="450"/>
      <c r="J1835" s="467"/>
      <c r="K1835" s="380"/>
      <c r="L1835" s="350"/>
      <c r="M1835" s="350"/>
      <c r="N1835" s="380"/>
      <c r="O1835" s="296">
        <f>-TrialBalance!L173</f>
        <v>0</v>
      </c>
      <c r="P1835" s="351"/>
      <c r="R1835" s="348" t="str">
        <f>R1840</f>
        <v>DELETE</v>
      </c>
    </row>
    <row r="1836" spans="2:18" ht="36" customHeight="1" x14ac:dyDescent="0.5">
      <c r="B1836" s="316"/>
      <c r="C1836" s="450" t="s">
        <v>467</v>
      </c>
      <c r="D1836" s="459"/>
      <c r="E1836" s="450"/>
      <c r="F1836" s="450"/>
      <c r="G1836" s="450"/>
      <c r="H1836" s="468"/>
      <c r="I1836" s="450"/>
      <c r="J1836" s="467"/>
      <c r="K1836" s="380"/>
      <c r="L1836" s="350"/>
      <c r="M1836" s="350"/>
      <c r="N1836" s="380"/>
      <c r="O1836" s="296">
        <f>-TrialBalance!L174</f>
        <v>0</v>
      </c>
      <c r="P1836" s="351"/>
      <c r="R1836" s="348" t="str">
        <f t="shared" ref="R1836:R1837" si="123">IF(O1836=0,"DELETE"," ")</f>
        <v>DELETE</v>
      </c>
    </row>
    <row r="1837" spans="2:18" ht="36" customHeight="1" x14ac:dyDescent="0.5">
      <c r="B1837" s="316"/>
      <c r="C1837" s="450" t="s">
        <v>468</v>
      </c>
      <c r="D1837" s="459"/>
      <c r="E1837" s="450"/>
      <c r="F1837" s="450"/>
      <c r="G1837" s="450"/>
      <c r="H1837" s="468"/>
      <c r="I1837" s="450"/>
      <c r="J1837" s="467"/>
      <c r="K1837" s="380"/>
      <c r="L1837" s="350"/>
      <c r="M1837" s="350"/>
      <c r="N1837" s="380"/>
      <c r="O1837" s="296">
        <f>-TrialBalance!L175</f>
        <v>0</v>
      </c>
      <c r="P1837" s="351"/>
      <c r="R1837" s="348" t="str">
        <f t="shared" si="123"/>
        <v>DELETE</v>
      </c>
    </row>
    <row r="1838" spans="2:18" ht="9" customHeight="1" x14ac:dyDescent="0.5">
      <c r="B1838" s="316"/>
      <c r="C1838" s="456"/>
      <c r="D1838" s="450"/>
      <c r="E1838" s="450"/>
      <c r="F1838" s="450"/>
      <c r="G1838" s="450"/>
      <c r="H1838" s="468"/>
      <c r="I1838" s="450"/>
      <c r="J1838" s="467"/>
      <c r="K1838" s="380"/>
      <c r="L1838" s="350"/>
      <c r="M1838" s="350"/>
      <c r="N1838" s="380"/>
      <c r="O1838" s="298"/>
      <c r="P1838" s="351"/>
      <c r="R1838" s="348" t="str">
        <f t="shared" ref="R1838:R1846" si="124">R$1840</f>
        <v>DELETE</v>
      </c>
    </row>
    <row r="1839" spans="2:18" ht="9" customHeight="1" x14ac:dyDescent="0.5">
      <c r="B1839" s="316"/>
      <c r="C1839" s="456"/>
      <c r="D1839" s="450"/>
      <c r="E1839" s="450"/>
      <c r="F1839" s="450"/>
      <c r="G1839" s="450"/>
      <c r="H1839" s="468"/>
      <c r="I1839" s="450"/>
      <c r="J1839" s="467"/>
      <c r="K1839" s="380"/>
      <c r="L1839" s="350"/>
      <c r="M1839" s="350"/>
      <c r="N1839" s="380"/>
      <c r="O1839" s="296"/>
      <c r="P1839" s="351"/>
      <c r="R1839" s="348" t="str">
        <f t="shared" si="124"/>
        <v>DELETE</v>
      </c>
    </row>
    <row r="1840" spans="2:18" ht="36.75" customHeight="1" x14ac:dyDescent="0.5">
      <c r="B1840" s="316"/>
      <c r="C1840" s="456"/>
      <c r="D1840" s="450"/>
      <c r="E1840" s="450"/>
      <c r="F1840" s="450"/>
      <c r="G1840" s="450"/>
      <c r="H1840" s="468"/>
      <c r="I1840" s="450"/>
      <c r="J1840" s="467"/>
      <c r="K1840" s="380"/>
      <c r="L1840" s="350"/>
      <c r="M1840" s="350"/>
      <c r="N1840" s="380"/>
      <c r="O1840" s="296">
        <f>SUM(O1835:O1839)</f>
        <v>0</v>
      </c>
      <c r="P1840" s="351"/>
      <c r="R1840" s="348" t="str">
        <f>IF(COUNTIF(O1835:O1837,"&gt;0")&gt;0," ","DELETE")</f>
        <v>DELETE</v>
      </c>
    </row>
    <row r="1841" spans="2:18" ht="9" customHeight="1" thickBot="1" x14ac:dyDescent="0.55000000000000004">
      <c r="B1841" s="316"/>
      <c r="C1841" s="456"/>
      <c r="D1841" s="450"/>
      <c r="E1841" s="450"/>
      <c r="F1841" s="450"/>
      <c r="G1841" s="450"/>
      <c r="H1841" s="468"/>
      <c r="I1841" s="450"/>
      <c r="J1841" s="467"/>
      <c r="K1841" s="380"/>
      <c r="L1841" s="350"/>
      <c r="M1841" s="350"/>
      <c r="N1841" s="380"/>
      <c r="O1841" s="299"/>
      <c r="P1841" s="351"/>
      <c r="R1841" s="348" t="str">
        <f t="shared" si="124"/>
        <v>DELETE</v>
      </c>
    </row>
    <row r="1842" spans="2:18" ht="9" customHeight="1" thickTop="1" x14ac:dyDescent="0.5">
      <c r="B1842" s="316"/>
      <c r="C1842" s="456"/>
      <c r="D1842" s="450"/>
      <c r="E1842" s="450"/>
      <c r="F1842" s="450"/>
      <c r="G1842" s="450"/>
      <c r="H1842" s="468"/>
      <c r="I1842" s="450"/>
      <c r="J1842" s="467"/>
      <c r="K1842" s="380"/>
      <c r="L1842" s="350"/>
      <c r="M1842" s="350"/>
      <c r="N1842" s="380"/>
      <c r="O1842" s="310"/>
      <c r="P1842" s="351"/>
      <c r="R1842" s="348" t="str">
        <f t="shared" si="124"/>
        <v>DELETE</v>
      </c>
    </row>
    <row r="1843" spans="2:18" ht="36" customHeight="1" x14ac:dyDescent="0.5">
      <c r="B1843" s="316"/>
      <c r="C1843" s="456"/>
      <c r="D1843" s="450"/>
      <c r="E1843" s="450"/>
      <c r="F1843" s="450"/>
      <c r="G1843" s="450"/>
      <c r="H1843" s="450"/>
      <c r="I1843" s="450"/>
      <c r="J1843" s="467"/>
      <c r="K1843" s="380"/>
      <c r="L1843" s="350"/>
      <c r="M1843" s="350"/>
      <c r="N1843" s="380"/>
      <c r="O1843" s="296"/>
      <c r="P1843" s="351"/>
      <c r="R1843" s="348" t="str">
        <f t="shared" si="124"/>
        <v>DELETE</v>
      </c>
    </row>
    <row r="1844" spans="2:18" ht="36" customHeight="1" x14ac:dyDescent="0.5">
      <c r="B1844" s="316"/>
      <c r="C1844" s="456"/>
      <c r="D1844" s="450"/>
      <c r="E1844" s="450"/>
      <c r="F1844" s="450"/>
      <c r="G1844" s="450"/>
      <c r="H1844" s="450"/>
      <c r="I1844" s="450"/>
      <c r="J1844" s="467"/>
      <c r="K1844" s="380"/>
      <c r="L1844" s="380"/>
      <c r="M1844" s="296"/>
      <c r="N1844" s="296"/>
      <c r="O1844" s="296"/>
      <c r="P1844" s="351"/>
      <c r="R1844" s="348" t="str">
        <f t="shared" si="124"/>
        <v>DELETE</v>
      </c>
    </row>
    <row r="1845" spans="2:18" ht="36" customHeight="1" x14ac:dyDescent="0.5">
      <c r="B1845" s="316"/>
      <c r="C1845" s="456"/>
      <c r="D1845" s="450"/>
      <c r="E1845" s="450"/>
      <c r="F1845" s="450"/>
      <c r="G1845" s="450"/>
      <c r="H1845" s="450"/>
      <c r="I1845" s="450"/>
      <c r="J1845" s="467"/>
      <c r="K1845" s="380"/>
      <c r="L1845" s="380"/>
      <c r="M1845" s="310"/>
      <c r="N1845" s="310"/>
      <c r="O1845" s="310"/>
      <c r="P1845" s="371"/>
      <c r="R1845" s="348" t="str">
        <f t="shared" si="124"/>
        <v>DELETE</v>
      </c>
    </row>
    <row r="1846" spans="2:18" ht="36" customHeight="1" x14ac:dyDescent="0.5">
      <c r="B1846" s="316"/>
      <c r="C1846" s="456"/>
      <c r="D1846" s="450"/>
      <c r="E1846" s="450"/>
      <c r="F1846" s="450"/>
      <c r="G1846" s="450"/>
      <c r="H1846" s="450"/>
      <c r="I1846" s="450"/>
      <c r="J1846" s="450"/>
      <c r="M1846" s="296"/>
      <c r="N1846" s="296"/>
      <c r="O1846" s="296"/>
      <c r="R1846" s="348" t="str">
        <f t="shared" si="124"/>
        <v>DELETE</v>
      </c>
    </row>
    <row r="1847" spans="2:18" ht="36" customHeight="1" x14ac:dyDescent="0.5">
      <c r="B1847" s="316"/>
      <c r="C1847" s="456"/>
      <c r="D1847" s="450"/>
      <c r="E1847" s="450"/>
      <c r="F1847" s="450"/>
      <c r="G1847" s="450"/>
      <c r="H1847" s="450"/>
      <c r="I1847" s="450"/>
      <c r="J1847" s="450"/>
      <c r="M1847" s="296"/>
      <c r="N1847" s="296"/>
      <c r="O1847" s="296" t="s">
        <v>89</v>
      </c>
      <c r="Q1847" s="292">
        <f>MAX($Q$105:Q1846)+1</f>
        <v>50</v>
      </c>
      <c r="R1847" s="348" t="str">
        <f>R$1876</f>
        <v>DELETE</v>
      </c>
    </row>
    <row r="1848" spans="2:18" ht="36" customHeight="1" x14ac:dyDescent="0.5">
      <c r="B1848" s="354"/>
      <c r="C1848" s="450"/>
      <c r="D1848" s="456" t="str">
        <f>Criteria!E9</f>
        <v>HOLDING COMPANY 268 (PROPRIETARY) LIMITED</v>
      </c>
      <c r="E1848" s="450"/>
      <c r="F1848" s="450"/>
      <c r="G1848" s="450"/>
      <c r="H1848" s="450"/>
      <c r="I1848" s="450"/>
      <c r="J1848" s="450"/>
      <c r="M1848" s="351"/>
      <c r="N1848" s="351"/>
      <c r="O1848" s="347"/>
      <c r="R1848" s="348" t="str">
        <f t="shared" ref="R1848:R1858" si="125">R$1876</f>
        <v>DELETE</v>
      </c>
    </row>
    <row r="1849" spans="2:18" ht="36" customHeight="1" x14ac:dyDescent="0.5">
      <c r="B1849" s="354"/>
      <c r="C1849" s="450"/>
      <c r="D1849" s="456" t="str">
        <f>Criteria!E10</f>
        <v>CONSOLIDATED FINANCIAL STATEMENTS</v>
      </c>
      <c r="E1849" s="450"/>
      <c r="F1849" s="450"/>
      <c r="G1849" s="450"/>
      <c r="H1849" s="450"/>
      <c r="I1849" s="450"/>
      <c r="J1849" s="450"/>
      <c r="M1849" s="351"/>
      <c r="N1849" s="351"/>
      <c r="O1849" s="351"/>
      <c r="R1849" s="348" t="str">
        <f>IF(R$1876="DELETE","DELETE",IF(D1849=0,"DELETE"," "))</f>
        <v>DELETE</v>
      </c>
    </row>
    <row r="1850" spans="2:18" ht="36" customHeight="1" x14ac:dyDescent="0.5">
      <c r="B1850" s="354"/>
      <c r="C1850" s="450"/>
      <c r="D1850" s="450"/>
      <c r="E1850" s="450"/>
      <c r="F1850" s="450"/>
      <c r="G1850" s="450"/>
      <c r="H1850" s="450"/>
      <c r="I1850" s="450"/>
      <c r="J1850" s="450"/>
      <c r="M1850" s="351"/>
      <c r="N1850" s="351"/>
      <c r="O1850" s="351"/>
      <c r="R1850" s="348" t="str">
        <f t="shared" si="125"/>
        <v>DELETE</v>
      </c>
    </row>
    <row r="1851" spans="2:18" ht="36" customHeight="1" x14ac:dyDescent="0.5">
      <c r="B1851" s="354"/>
      <c r="C1851" s="450"/>
      <c r="D1851" s="456" t="s">
        <v>351</v>
      </c>
      <c r="E1851" s="450"/>
      <c r="F1851" s="450"/>
      <c r="G1851" s="450"/>
      <c r="H1851" s="450"/>
      <c r="I1851" s="450"/>
      <c r="J1851" s="450"/>
      <c r="M1851" s="351"/>
      <c r="N1851" s="351"/>
      <c r="O1851" s="351"/>
      <c r="R1851" s="348" t="str">
        <f t="shared" si="125"/>
        <v>DELETE</v>
      </c>
    </row>
    <row r="1852" spans="2:18" ht="36" customHeight="1" x14ac:dyDescent="0.5">
      <c r="B1852" s="354"/>
      <c r="C1852" s="450"/>
      <c r="D1852" s="456" t="str">
        <f>Criteria!E20</f>
        <v>28 FEBRUARY 2025</v>
      </c>
      <c r="E1852" s="450"/>
      <c r="F1852" s="450"/>
      <c r="G1852" s="450"/>
      <c r="H1852" s="450"/>
      <c r="I1852" s="450"/>
      <c r="J1852" s="450" t="s">
        <v>231</v>
      </c>
      <c r="M1852" s="351"/>
      <c r="N1852" s="351"/>
      <c r="O1852" s="351"/>
      <c r="R1852" s="348" t="str">
        <f t="shared" si="125"/>
        <v>DELETE</v>
      </c>
    </row>
    <row r="1853" spans="2:18" ht="36" customHeight="1" x14ac:dyDescent="0.5">
      <c r="B1853" s="354"/>
      <c r="C1853" s="450"/>
      <c r="D1853" s="456"/>
      <c r="E1853" s="450"/>
      <c r="F1853" s="450"/>
      <c r="G1853" s="450"/>
      <c r="H1853" s="450"/>
      <c r="I1853" s="450"/>
      <c r="J1853" s="450"/>
      <c r="M1853" s="351"/>
      <c r="N1853" s="351"/>
      <c r="O1853" s="351"/>
      <c r="R1853" s="348" t="str">
        <f t="shared" si="125"/>
        <v>DELETE</v>
      </c>
    </row>
    <row r="1854" spans="2:18" ht="36" customHeight="1" x14ac:dyDescent="0.5">
      <c r="B1854" s="447"/>
      <c r="C1854" s="465"/>
      <c r="D1854" s="460"/>
      <c r="E1854" s="460"/>
      <c r="F1854" s="460"/>
      <c r="G1854" s="460"/>
      <c r="H1854" s="460"/>
      <c r="I1854" s="460"/>
      <c r="J1854" s="471"/>
      <c r="K1854" s="384"/>
      <c r="L1854" s="384"/>
      <c r="M1854" s="297"/>
      <c r="N1854" s="297"/>
      <c r="O1854" s="297"/>
      <c r="P1854" s="378"/>
      <c r="Q1854" s="364"/>
      <c r="R1854" s="348" t="str">
        <f t="shared" si="125"/>
        <v>DELETE</v>
      </c>
    </row>
    <row r="1855" spans="2:18" ht="36" customHeight="1" x14ac:dyDescent="0.5">
      <c r="B1855" s="316"/>
      <c r="C1855" s="456"/>
      <c r="D1855" s="450"/>
      <c r="E1855" s="450"/>
      <c r="F1855" s="450"/>
      <c r="G1855" s="450"/>
      <c r="H1855" s="450"/>
      <c r="I1855" s="450"/>
      <c r="J1855" s="467"/>
      <c r="K1855" s="380"/>
      <c r="L1855" s="350"/>
      <c r="M1855" s="350"/>
      <c r="N1855" s="380"/>
      <c r="O1855" s="294">
        <f>Criteria!E22</f>
        <v>2025</v>
      </c>
      <c r="P1855" s="351"/>
      <c r="R1855" s="348" t="str">
        <f t="shared" si="125"/>
        <v>DELETE</v>
      </c>
    </row>
    <row r="1856" spans="2:18" ht="36" customHeight="1" x14ac:dyDescent="0.5">
      <c r="B1856" s="316"/>
      <c r="C1856" s="456"/>
      <c r="D1856" s="450"/>
      <c r="E1856" s="450"/>
      <c r="F1856" s="450"/>
      <c r="G1856" s="450"/>
      <c r="H1856" s="450"/>
      <c r="I1856" s="450"/>
      <c r="J1856" s="467"/>
      <c r="K1856" s="380"/>
      <c r="L1856" s="350"/>
      <c r="M1856" s="350"/>
      <c r="N1856" s="380"/>
      <c r="O1856" s="296"/>
      <c r="P1856" s="351"/>
      <c r="R1856" s="348" t="str">
        <f t="shared" si="125"/>
        <v>DELETE</v>
      </c>
    </row>
    <row r="1857" spans="2:22" ht="36" customHeight="1" x14ac:dyDescent="0.5">
      <c r="B1857" s="316">
        <f>MAX(B$602:B1856)+1</f>
        <v>21</v>
      </c>
      <c r="C1857" s="456" t="s">
        <v>13</v>
      </c>
      <c r="D1857" s="450"/>
      <c r="E1857" s="450"/>
      <c r="F1857" s="450"/>
      <c r="G1857" s="450"/>
      <c r="H1857" s="450"/>
      <c r="I1857" s="450"/>
      <c r="J1857" s="450"/>
      <c r="L1857" s="350"/>
      <c r="M1857" s="350"/>
      <c r="N1857" s="345"/>
      <c r="O1857" s="296"/>
      <c r="R1857" s="348" t="str">
        <f t="shared" si="125"/>
        <v>DELETE</v>
      </c>
    </row>
    <row r="1858" spans="2:22" ht="36" customHeight="1" x14ac:dyDescent="0.5">
      <c r="B1858" s="316"/>
      <c r="C1858" s="456"/>
      <c r="D1858" s="450"/>
      <c r="E1858" s="450"/>
      <c r="F1858" s="450"/>
      <c r="G1858" s="450"/>
      <c r="H1858" s="450"/>
      <c r="I1858" s="450"/>
      <c r="J1858" s="450"/>
      <c r="L1858" s="350"/>
      <c r="M1858" s="350"/>
      <c r="N1858" s="345"/>
      <c r="O1858" s="296"/>
      <c r="R1858" s="348" t="str">
        <f t="shared" si="125"/>
        <v>DELETE</v>
      </c>
    </row>
    <row r="1859" spans="2:22" ht="36" customHeight="1" x14ac:dyDescent="0.5">
      <c r="B1859" s="316"/>
      <c r="C1859" s="450" t="s">
        <v>1066</v>
      </c>
      <c r="D1859" s="459"/>
      <c r="E1859" s="450"/>
      <c r="F1859" s="450"/>
      <c r="G1859" s="450"/>
      <c r="H1859" s="450"/>
      <c r="I1859" s="450"/>
      <c r="J1859" s="450"/>
      <c r="L1859" s="350"/>
      <c r="M1859" s="350"/>
      <c r="N1859" s="345"/>
      <c r="O1859" s="296">
        <f>SUM(O1862:O1864)</f>
        <v>0</v>
      </c>
      <c r="R1859" s="348" t="str">
        <f>IF(COUNTIF(O1862:O1864,"&gt;0")&gt;0," ","DELETE")</f>
        <v>DELETE</v>
      </c>
      <c r="S1859" s="333">
        <f>O1859</f>
        <v>0</v>
      </c>
      <c r="T1859" s="333"/>
      <c r="U1859" s="333"/>
      <c r="V1859" s="333"/>
    </row>
    <row r="1860" spans="2:22" ht="9" customHeight="1" x14ac:dyDescent="0.5">
      <c r="B1860" s="316"/>
      <c r="C1860" s="450"/>
      <c r="D1860" s="459"/>
      <c r="E1860" s="450"/>
      <c r="F1860" s="450"/>
      <c r="G1860" s="450"/>
      <c r="H1860" s="450"/>
      <c r="I1860" s="450"/>
      <c r="J1860" s="450"/>
      <c r="L1860" s="350"/>
      <c r="M1860" s="350"/>
      <c r="N1860" s="345"/>
      <c r="O1860" s="296"/>
      <c r="R1860" s="348" t="str">
        <f t="shared" ref="R1860" si="126">R1859</f>
        <v>DELETE</v>
      </c>
    </row>
    <row r="1861" spans="2:22" ht="9" customHeight="1" x14ac:dyDescent="0.5">
      <c r="B1861" s="316"/>
      <c r="C1861" s="450"/>
      <c r="D1861" s="459"/>
      <c r="E1861" s="450"/>
      <c r="F1861" s="450"/>
      <c r="G1861" s="450"/>
      <c r="H1861" s="450"/>
      <c r="I1861" s="450"/>
      <c r="J1861" s="450"/>
      <c r="L1861" s="350"/>
      <c r="M1861" s="350"/>
      <c r="N1861" s="345"/>
      <c r="O1861" s="407"/>
      <c r="R1861" s="348" t="str">
        <f>R1859</f>
        <v>DELETE</v>
      </c>
    </row>
    <row r="1862" spans="2:22" ht="36" customHeight="1" x14ac:dyDescent="0.5">
      <c r="B1862" s="316"/>
      <c r="C1862" s="450" t="s">
        <v>105</v>
      </c>
      <c r="D1862" s="459"/>
      <c r="E1862" s="450"/>
      <c r="F1862" s="450"/>
      <c r="G1862" s="450"/>
      <c r="H1862" s="450"/>
      <c r="I1862" s="450"/>
      <c r="J1862" s="450"/>
      <c r="L1862" s="350"/>
      <c r="M1862" s="350"/>
      <c r="N1862" s="345"/>
      <c r="O1862" s="408">
        <f>-TrialBalance!L177</f>
        <v>0</v>
      </c>
      <c r="R1862" s="348" t="str">
        <f>R1859</f>
        <v>DELETE</v>
      </c>
    </row>
    <row r="1863" spans="2:22" ht="36" customHeight="1" x14ac:dyDescent="0.5">
      <c r="B1863" s="316"/>
      <c r="C1863" s="450" t="s">
        <v>956</v>
      </c>
      <c r="D1863" s="459"/>
      <c r="E1863" s="450"/>
      <c r="F1863" s="450"/>
      <c r="G1863" s="450"/>
      <c r="H1863" s="450"/>
      <c r="I1863" s="450"/>
      <c r="J1863" s="450"/>
      <c r="L1863" s="350"/>
      <c r="M1863" s="350"/>
      <c r="N1863" s="345"/>
      <c r="O1863" s="408">
        <f>-TrialBalance!L178</f>
        <v>0</v>
      </c>
      <c r="R1863" s="348" t="str">
        <f t="shared" ref="R1863:R1864" si="127">IF(O1863=0,"DELETE"," ")</f>
        <v>DELETE</v>
      </c>
    </row>
    <row r="1864" spans="2:22" ht="36" customHeight="1" x14ac:dyDescent="0.5">
      <c r="B1864" s="316"/>
      <c r="C1864" s="450" t="s">
        <v>957</v>
      </c>
      <c r="D1864" s="459"/>
      <c r="E1864" s="450"/>
      <c r="F1864" s="450"/>
      <c r="G1864" s="450"/>
      <c r="H1864" s="450"/>
      <c r="I1864" s="450"/>
      <c r="J1864" s="450"/>
      <c r="L1864" s="350"/>
      <c r="M1864" s="350"/>
      <c r="N1864" s="345"/>
      <c r="O1864" s="408">
        <f>-TrialBalance!L179</f>
        <v>0</v>
      </c>
      <c r="R1864" s="348" t="str">
        <f t="shared" si="127"/>
        <v>DELETE</v>
      </c>
    </row>
    <row r="1865" spans="2:22" ht="9" customHeight="1" x14ac:dyDescent="0.5">
      <c r="B1865" s="316"/>
      <c r="C1865" s="450"/>
      <c r="D1865" s="459"/>
      <c r="E1865" s="450"/>
      <c r="F1865" s="450"/>
      <c r="G1865" s="450"/>
      <c r="H1865" s="450"/>
      <c r="I1865" s="450"/>
      <c r="J1865" s="450"/>
      <c r="L1865" s="350"/>
      <c r="M1865" s="350"/>
      <c r="N1865" s="345"/>
      <c r="O1865" s="409"/>
      <c r="R1865" s="348" t="str">
        <f>R1859</f>
        <v>DELETE</v>
      </c>
    </row>
    <row r="1866" spans="2:22" ht="9" customHeight="1" x14ac:dyDescent="0.5">
      <c r="B1866" s="316"/>
      <c r="C1866" s="450"/>
      <c r="D1866" s="459"/>
      <c r="E1866" s="450"/>
      <c r="F1866" s="450"/>
      <c r="G1866" s="450"/>
      <c r="H1866" s="450"/>
      <c r="I1866" s="450"/>
      <c r="J1866" s="450"/>
      <c r="L1866" s="350"/>
      <c r="M1866" s="350"/>
      <c r="N1866" s="345"/>
      <c r="O1866" s="296"/>
      <c r="R1866" s="348" t="str">
        <f>R1859</f>
        <v>DELETE</v>
      </c>
    </row>
    <row r="1867" spans="2:22" ht="36.75" customHeight="1" x14ac:dyDescent="0.5">
      <c r="B1867" s="316"/>
      <c r="C1867" s="450" t="s">
        <v>1067</v>
      </c>
      <c r="D1867" s="459"/>
      <c r="E1867" s="450"/>
      <c r="F1867" s="450"/>
      <c r="G1867" s="450"/>
      <c r="H1867" s="450"/>
      <c r="I1867" s="450"/>
      <c r="J1867" s="450"/>
      <c r="L1867" s="350"/>
      <c r="M1867" s="350"/>
      <c r="N1867" s="345"/>
      <c r="O1867" s="296">
        <f>SUM(O1870:O1872)</f>
        <v>0</v>
      </c>
      <c r="R1867" s="348" t="str">
        <f>IF(COUNTIF(O1870:O1872,"&gt;0")&gt;0," ","DELETE")</f>
        <v>DELETE</v>
      </c>
      <c r="S1867" s="333">
        <f>O1867</f>
        <v>0</v>
      </c>
      <c r="T1867" s="333"/>
      <c r="U1867" s="333"/>
      <c r="V1867" s="333"/>
    </row>
    <row r="1868" spans="2:22" ht="9" customHeight="1" x14ac:dyDescent="0.5">
      <c r="B1868" s="316"/>
      <c r="C1868" s="450"/>
      <c r="D1868" s="459"/>
      <c r="E1868" s="450"/>
      <c r="F1868" s="450"/>
      <c r="G1868" s="450"/>
      <c r="H1868" s="450"/>
      <c r="I1868" s="450"/>
      <c r="J1868" s="450"/>
      <c r="L1868" s="350"/>
      <c r="M1868" s="350"/>
      <c r="N1868" s="345"/>
      <c r="O1868" s="296"/>
      <c r="R1868" s="348" t="str">
        <f>R1867</f>
        <v>DELETE</v>
      </c>
    </row>
    <row r="1869" spans="2:22" ht="9" customHeight="1" x14ac:dyDescent="0.5">
      <c r="B1869" s="316"/>
      <c r="C1869" s="450"/>
      <c r="D1869" s="459"/>
      <c r="E1869" s="450"/>
      <c r="F1869" s="450"/>
      <c r="G1869" s="450"/>
      <c r="H1869" s="450"/>
      <c r="I1869" s="450"/>
      <c r="J1869" s="450"/>
      <c r="L1869" s="350"/>
      <c r="M1869" s="350"/>
      <c r="N1869" s="345"/>
      <c r="O1869" s="407"/>
      <c r="R1869" s="348" t="str">
        <f>R1867</f>
        <v>DELETE</v>
      </c>
    </row>
    <row r="1870" spans="2:22" ht="36" customHeight="1" x14ac:dyDescent="0.5">
      <c r="B1870" s="316"/>
      <c r="C1870" s="450" t="s">
        <v>105</v>
      </c>
      <c r="D1870" s="459"/>
      <c r="E1870" s="450"/>
      <c r="F1870" s="450"/>
      <c r="G1870" s="450"/>
      <c r="H1870" s="450"/>
      <c r="I1870" s="450"/>
      <c r="J1870" s="450"/>
      <c r="L1870" s="350"/>
      <c r="M1870" s="350"/>
      <c r="N1870" s="345"/>
      <c r="O1870" s="408">
        <f>-TrialBalance!L181</f>
        <v>0</v>
      </c>
      <c r="R1870" s="348" t="str">
        <f>R1867</f>
        <v>DELETE</v>
      </c>
    </row>
    <row r="1871" spans="2:22" ht="36" customHeight="1" x14ac:dyDescent="0.5">
      <c r="B1871" s="316"/>
      <c r="C1871" s="450" t="s">
        <v>958</v>
      </c>
      <c r="D1871" s="459"/>
      <c r="E1871" s="450"/>
      <c r="F1871" s="450"/>
      <c r="G1871" s="450"/>
      <c r="H1871" s="450"/>
      <c r="I1871" s="450"/>
      <c r="J1871" s="450"/>
      <c r="L1871" s="350"/>
      <c r="M1871" s="350"/>
      <c r="N1871" s="345"/>
      <c r="O1871" s="408">
        <f>-TrialBalance!L182</f>
        <v>0</v>
      </c>
      <c r="R1871" s="348" t="str">
        <f t="shared" ref="R1871:R1872" si="128">IF(O1871=0,"DELETE"," ")</f>
        <v>DELETE</v>
      </c>
    </row>
    <row r="1872" spans="2:22" ht="36" customHeight="1" x14ac:dyDescent="0.5">
      <c r="B1872" s="316"/>
      <c r="C1872" s="450" t="s">
        <v>959</v>
      </c>
      <c r="D1872" s="459"/>
      <c r="E1872" s="450"/>
      <c r="F1872" s="450"/>
      <c r="G1872" s="450"/>
      <c r="H1872" s="450"/>
      <c r="I1872" s="450"/>
      <c r="J1872" s="450"/>
      <c r="L1872" s="350"/>
      <c r="M1872" s="350"/>
      <c r="N1872" s="345"/>
      <c r="O1872" s="408">
        <f>-TrialBalance!L183</f>
        <v>0</v>
      </c>
      <c r="R1872" s="348" t="str">
        <f t="shared" si="128"/>
        <v>DELETE</v>
      </c>
    </row>
    <row r="1873" spans="2:18" ht="9" customHeight="1" x14ac:dyDescent="0.5">
      <c r="B1873" s="316"/>
      <c r="C1873" s="456"/>
      <c r="D1873" s="450"/>
      <c r="E1873" s="450"/>
      <c r="F1873" s="450"/>
      <c r="G1873" s="450"/>
      <c r="H1873" s="450"/>
      <c r="I1873" s="450"/>
      <c r="J1873" s="450"/>
      <c r="L1873" s="350"/>
      <c r="M1873" s="350"/>
      <c r="N1873" s="345"/>
      <c r="O1873" s="409"/>
      <c r="R1873" s="348" t="str">
        <f>R1867</f>
        <v>DELETE</v>
      </c>
    </row>
    <row r="1874" spans="2:18" ht="9" customHeight="1" x14ac:dyDescent="0.5">
      <c r="B1874" s="316"/>
      <c r="C1874" s="456"/>
      <c r="D1874" s="450"/>
      <c r="E1874" s="450"/>
      <c r="F1874" s="450"/>
      <c r="G1874" s="450"/>
      <c r="H1874" s="450"/>
      <c r="I1874" s="450"/>
      <c r="J1874" s="450"/>
      <c r="L1874" s="350"/>
      <c r="M1874" s="350"/>
      <c r="N1874" s="345"/>
      <c r="O1874" s="298"/>
      <c r="R1874" s="348" t="str">
        <f>R1876</f>
        <v>DELETE</v>
      </c>
    </row>
    <row r="1875" spans="2:18" ht="9" customHeight="1" x14ac:dyDescent="0.5">
      <c r="B1875" s="316"/>
      <c r="C1875" s="456"/>
      <c r="D1875" s="450"/>
      <c r="E1875" s="450"/>
      <c r="F1875" s="450"/>
      <c r="G1875" s="450"/>
      <c r="H1875" s="450"/>
      <c r="I1875" s="450"/>
      <c r="J1875" s="450"/>
      <c r="L1875" s="350"/>
      <c r="M1875" s="350"/>
      <c r="N1875" s="345"/>
      <c r="O1875" s="296"/>
      <c r="R1875" s="348" t="str">
        <f>R1876</f>
        <v>DELETE</v>
      </c>
    </row>
    <row r="1876" spans="2:18" ht="36.75" customHeight="1" x14ac:dyDescent="0.5">
      <c r="B1876" s="316"/>
      <c r="C1876" s="456"/>
      <c r="D1876" s="450"/>
      <c r="E1876" s="450"/>
      <c r="F1876" s="450"/>
      <c r="G1876" s="450"/>
      <c r="H1876" s="450"/>
      <c r="I1876" s="450"/>
      <c r="J1876" s="450"/>
      <c r="L1876" s="350"/>
      <c r="M1876" s="350"/>
      <c r="N1876" s="345"/>
      <c r="O1876" s="296">
        <f>SUM(S1859:S1874)</f>
        <v>0</v>
      </c>
      <c r="R1876" s="348" t="str">
        <f>IF(R1859=" "," ",IF(R1867=" "," ","DELETE"))</f>
        <v>DELETE</v>
      </c>
    </row>
    <row r="1877" spans="2:18" ht="9" customHeight="1" thickBot="1" x14ac:dyDescent="0.55000000000000004">
      <c r="B1877" s="316"/>
      <c r="C1877" s="456"/>
      <c r="D1877" s="450"/>
      <c r="E1877" s="450"/>
      <c r="F1877" s="450"/>
      <c r="G1877" s="450"/>
      <c r="H1877" s="450"/>
      <c r="I1877" s="450"/>
      <c r="J1877" s="450"/>
      <c r="L1877" s="350"/>
      <c r="M1877" s="350"/>
      <c r="N1877" s="345"/>
      <c r="O1877" s="299"/>
      <c r="R1877" s="348" t="str">
        <f>R1876</f>
        <v>DELETE</v>
      </c>
    </row>
    <row r="1878" spans="2:18" ht="9" customHeight="1" thickTop="1" x14ac:dyDescent="0.5">
      <c r="B1878" s="316"/>
      <c r="C1878" s="456"/>
      <c r="D1878" s="450"/>
      <c r="E1878" s="450"/>
      <c r="F1878" s="450"/>
      <c r="G1878" s="450"/>
      <c r="H1878" s="450"/>
      <c r="I1878" s="450"/>
      <c r="J1878" s="450"/>
      <c r="L1878" s="350"/>
      <c r="M1878" s="350"/>
      <c r="N1878" s="345"/>
      <c r="O1878" s="296"/>
      <c r="R1878" s="348" t="str">
        <f>R1876</f>
        <v>DELETE</v>
      </c>
    </row>
    <row r="1879" spans="2:18" ht="36" customHeight="1" x14ac:dyDescent="0.5">
      <c r="B1879" s="316"/>
      <c r="C1879" s="456"/>
      <c r="D1879" s="450"/>
      <c r="E1879" s="450"/>
      <c r="F1879" s="450"/>
      <c r="G1879" s="450"/>
      <c r="H1879" s="450"/>
      <c r="I1879" s="450"/>
      <c r="J1879" s="450"/>
      <c r="L1879" s="350"/>
      <c r="M1879" s="350"/>
      <c r="N1879" s="345"/>
      <c r="O1879" s="296"/>
      <c r="R1879" s="348" t="str">
        <f>R$1876</f>
        <v>DELETE</v>
      </c>
    </row>
    <row r="1880" spans="2:18" ht="36" customHeight="1" x14ac:dyDescent="0.5">
      <c r="B1880" s="316"/>
      <c r="C1880" s="456"/>
      <c r="D1880" s="450"/>
      <c r="E1880" s="450"/>
      <c r="F1880" s="450"/>
      <c r="G1880" s="450"/>
      <c r="H1880" s="450"/>
      <c r="I1880" s="450"/>
      <c r="J1880" s="450"/>
      <c r="M1880" s="296"/>
      <c r="N1880" s="296"/>
      <c r="O1880" s="296"/>
      <c r="R1880" s="348" t="str">
        <f>R$1876</f>
        <v>DELETE</v>
      </c>
    </row>
    <row r="1881" spans="2:18" ht="36" customHeight="1" x14ac:dyDescent="0.5">
      <c r="B1881" s="354"/>
      <c r="C1881" s="450"/>
      <c r="D1881" s="450"/>
      <c r="E1881" s="450"/>
      <c r="F1881" s="450"/>
      <c r="G1881" s="450"/>
      <c r="H1881" s="450"/>
      <c r="I1881" s="450"/>
      <c r="J1881" s="450"/>
      <c r="M1881" s="371"/>
      <c r="N1881" s="371"/>
      <c r="O1881" s="371"/>
      <c r="P1881" s="356"/>
      <c r="R1881" s="348" t="str">
        <f>R$1876</f>
        <v>DELETE</v>
      </c>
    </row>
    <row r="1882" spans="2:18" ht="36" customHeight="1" x14ac:dyDescent="0.5">
      <c r="B1882" s="354"/>
      <c r="C1882" s="450"/>
      <c r="D1882" s="450"/>
      <c r="E1882" s="450"/>
      <c r="F1882" s="450"/>
      <c r="G1882" s="450"/>
      <c r="H1882" s="450"/>
      <c r="I1882" s="450"/>
      <c r="J1882" s="450"/>
      <c r="M1882" s="351"/>
      <c r="N1882" s="351"/>
      <c r="O1882" s="351"/>
      <c r="R1882" s="348" t="str">
        <f>R$1876</f>
        <v>DELETE</v>
      </c>
    </row>
    <row r="1883" spans="2:18" ht="36" customHeight="1" x14ac:dyDescent="0.5">
      <c r="B1883" s="354"/>
      <c r="C1883" s="450"/>
      <c r="D1883" s="450"/>
      <c r="E1883" s="450"/>
      <c r="F1883" s="450"/>
      <c r="G1883" s="450"/>
      <c r="H1883" s="450"/>
      <c r="I1883" s="450"/>
      <c r="J1883" s="450"/>
      <c r="M1883" s="351"/>
      <c r="N1883" s="351"/>
      <c r="O1883" s="296" t="s">
        <v>89</v>
      </c>
      <c r="Q1883" s="292">
        <f>MAX($Q$105:Q1882)+1</f>
        <v>51</v>
      </c>
      <c r="R1883" s="348" t="str">
        <f>R$1916</f>
        <v>DELETE</v>
      </c>
    </row>
    <row r="1884" spans="2:18" ht="36" customHeight="1" x14ac:dyDescent="0.5">
      <c r="B1884" s="354"/>
      <c r="C1884" s="450"/>
      <c r="D1884" s="456" t="str">
        <f>Criteria!E9</f>
        <v>HOLDING COMPANY 268 (PROPRIETARY) LIMITED</v>
      </c>
      <c r="E1884" s="450"/>
      <c r="F1884" s="450"/>
      <c r="G1884" s="450"/>
      <c r="H1884" s="450"/>
      <c r="I1884" s="450"/>
      <c r="J1884" s="450"/>
      <c r="M1884" s="351"/>
      <c r="N1884" s="351"/>
      <c r="O1884" s="347"/>
      <c r="R1884" s="348" t="str">
        <f>R$1916</f>
        <v>DELETE</v>
      </c>
    </row>
    <row r="1885" spans="2:18" ht="36" customHeight="1" x14ac:dyDescent="0.5">
      <c r="B1885" s="354"/>
      <c r="C1885" s="450"/>
      <c r="D1885" s="456" t="str">
        <f>Criteria!E10</f>
        <v>CONSOLIDATED FINANCIAL STATEMENTS</v>
      </c>
      <c r="E1885" s="450"/>
      <c r="F1885" s="450"/>
      <c r="G1885" s="450"/>
      <c r="H1885" s="450"/>
      <c r="I1885" s="450"/>
      <c r="J1885" s="450"/>
      <c r="M1885" s="351"/>
      <c r="N1885" s="351"/>
      <c r="O1885" s="351"/>
      <c r="R1885" s="348" t="str">
        <f>IF(R$1916="DELETE","DELETE",IF(D1885=0,"DELETE"," "))</f>
        <v>DELETE</v>
      </c>
    </row>
    <row r="1886" spans="2:18" ht="36" customHeight="1" x14ac:dyDescent="0.5">
      <c r="B1886" s="354"/>
      <c r="C1886" s="450"/>
      <c r="D1886" s="450"/>
      <c r="E1886" s="450"/>
      <c r="F1886" s="450"/>
      <c r="G1886" s="450"/>
      <c r="H1886" s="450"/>
      <c r="I1886" s="450"/>
      <c r="J1886" s="450"/>
      <c r="M1886" s="351"/>
      <c r="N1886" s="351"/>
      <c r="O1886" s="351"/>
      <c r="R1886" s="348" t="str">
        <f t="shared" ref="R1886:R1894" si="129">R$1916</f>
        <v>DELETE</v>
      </c>
    </row>
    <row r="1887" spans="2:18" ht="36" customHeight="1" x14ac:dyDescent="0.5">
      <c r="B1887" s="354"/>
      <c r="C1887" s="450"/>
      <c r="D1887" s="456" t="s">
        <v>351</v>
      </c>
      <c r="E1887" s="450"/>
      <c r="F1887" s="450"/>
      <c r="G1887" s="450"/>
      <c r="H1887" s="450"/>
      <c r="I1887" s="450"/>
      <c r="J1887" s="450"/>
      <c r="M1887" s="351"/>
      <c r="N1887" s="351"/>
      <c r="O1887" s="351"/>
      <c r="R1887" s="348" t="str">
        <f t="shared" si="129"/>
        <v>DELETE</v>
      </c>
    </row>
    <row r="1888" spans="2:18" ht="36" customHeight="1" x14ac:dyDescent="0.5">
      <c r="B1888" s="354"/>
      <c r="C1888" s="450"/>
      <c r="D1888" s="456" t="str">
        <f>Criteria!E20</f>
        <v>28 FEBRUARY 2025</v>
      </c>
      <c r="E1888" s="450"/>
      <c r="F1888" s="450"/>
      <c r="G1888" s="450"/>
      <c r="H1888" s="450"/>
      <c r="I1888" s="450"/>
      <c r="J1888" s="450" t="s">
        <v>231</v>
      </c>
      <c r="M1888" s="351"/>
      <c r="N1888" s="351"/>
      <c r="O1888" s="351"/>
      <c r="R1888" s="348" t="str">
        <f t="shared" si="129"/>
        <v>DELETE</v>
      </c>
    </row>
    <row r="1889" spans="2:20" ht="36" customHeight="1" x14ac:dyDescent="0.5">
      <c r="B1889" s="354"/>
      <c r="C1889" s="450"/>
      <c r="D1889" s="450"/>
      <c r="E1889" s="450"/>
      <c r="F1889" s="450"/>
      <c r="G1889" s="450"/>
      <c r="H1889" s="450"/>
      <c r="I1889" s="450"/>
      <c r="J1889" s="450"/>
      <c r="M1889" s="372"/>
      <c r="N1889" s="372"/>
      <c r="O1889" s="372"/>
      <c r="R1889" s="348" t="str">
        <f t="shared" si="129"/>
        <v>DELETE</v>
      </c>
    </row>
    <row r="1890" spans="2:20" ht="36" customHeight="1" x14ac:dyDescent="0.5">
      <c r="B1890" s="368"/>
      <c r="C1890" s="460"/>
      <c r="D1890" s="460"/>
      <c r="E1890" s="460"/>
      <c r="F1890" s="460"/>
      <c r="G1890" s="460"/>
      <c r="H1890" s="460"/>
      <c r="I1890" s="460"/>
      <c r="J1890" s="460"/>
      <c r="K1890" s="364"/>
      <c r="L1890" s="364"/>
      <c r="M1890" s="378"/>
      <c r="N1890" s="378"/>
      <c r="O1890" s="378"/>
      <c r="P1890" s="367"/>
      <c r="Q1890" s="364"/>
      <c r="R1890" s="348" t="str">
        <f t="shared" si="129"/>
        <v>DELETE</v>
      </c>
    </row>
    <row r="1891" spans="2:20" ht="36" customHeight="1" x14ac:dyDescent="0.5">
      <c r="B1891" s="354"/>
      <c r="C1891" s="450"/>
      <c r="D1891" s="450"/>
      <c r="E1891" s="450"/>
      <c r="F1891" s="450"/>
      <c r="G1891" s="450"/>
      <c r="H1891" s="450"/>
      <c r="I1891" s="450"/>
      <c r="J1891" s="450"/>
      <c r="L1891" s="350"/>
      <c r="M1891" s="350"/>
      <c r="N1891" s="345"/>
      <c r="O1891" s="294">
        <f>Criteria!E22</f>
        <v>2025</v>
      </c>
      <c r="R1891" s="348" t="str">
        <f t="shared" si="129"/>
        <v>DELETE</v>
      </c>
    </row>
    <row r="1892" spans="2:20" ht="36" customHeight="1" x14ac:dyDescent="0.5">
      <c r="B1892" s="316"/>
      <c r="C1892" s="456"/>
      <c r="D1892" s="450"/>
      <c r="E1892" s="450"/>
      <c r="F1892" s="450"/>
      <c r="G1892" s="450"/>
      <c r="H1892" s="450"/>
      <c r="I1892" s="450"/>
      <c r="J1892" s="450"/>
      <c r="L1892" s="350"/>
      <c r="M1892" s="350"/>
      <c r="N1892" s="345"/>
      <c r="O1892" s="296"/>
      <c r="R1892" s="348" t="str">
        <f t="shared" si="129"/>
        <v>DELETE</v>
      </c>
    </row>
    <row r="1893" spans="2:20" ht="36" customHeight="1" x14ac:dyDescent="0.5">
      <c r="B1893" s="316">
        <f>MAX(B$602:B1892)+1</f>
        <v>22</v>
      </c>
      <c r="C1893" s="456" t="str">
        <f>IF(COUNTIF(TrialBalance!L186:L200,"&lt;0")&gt;1,"Interest bearing borrowings","Interest bearing borrowing")</f>
        <v>Interest bearing borrowing</v>
      </c>
      <c r="D1893" s="450"/>
      <c r="E1893" s="450"/>
      <c r="F1893" s="450"/>
      <c r="G1893" s="450"/>
      <c r="H1893" s="450"/>
      <c r="I1893" s="450"/>
      <c r="J1893" s="450"/>
      <c r="L1893" s="350"/>
      <c r="M1893" s="350"/>
      <c r="N1893" s="345"/>
      <c r="O1893" s="296"/>
      <c r="R1893" s="348" t="str">
        <f t="shared" si="129"/>
        <v>DELETE</v>
      </c>
      <c r="S1893" s="333">
        <f>SUM(O1895:O1910)</f>
        <v>0</v>
      </c>
      <c r="T1893" s="333"/>
    </row>
    <row r="1894" spans="2:20" ht="36" customHeight="1" x14ac:dyDescent="0.5">
      <c r="B1894" s="316"/>
      <c r="C1894" s="456"/>
      <c r="D1894" s="450"/>
      <c r="E1894" s="450"/>
      <c r="F1894" s="450"/>
      <c r="G1894" s="450"/>
      <c r="H1894" s="450"/>
      <c r="I1894" s="450"/>
      <c r="J1894" s="450"/>
      <c r="L1894" s="350"/>
      <c r="M1894" s="350"/>
      <c r="N1894" s="345"/>
      <c r="O1894" s="296"/>
      <c r="R1894" s="348" t="str">
        <f t="shared" si="129"/>
        <v>DELETE</v>
      </c>
      <c r="S1894" s="333"/>
      <c r="T1894" s="333"/>
    </row>
    <row r="1895" spans="2:20" ht="36" customHeight="1" x14ac:dyDescent="0.5">
      <c r="B1895" s="316"/>
      <c r="C1895" s="450">
        <f>TrialBalance!C186</f>
        <v>0</v>
      </c>
      <c r="D1895" s="459"/>
      <c r="E1895" s="450"/>
      <c r="F1895" s="450"/>
      <c r="G1895" s="450"/>
      <c r="H1895" s="450"/>
      <c r="I1895" s="450"/>
      <c r="J1895" s="450"/>
      <c r="L1895" s="350"/>
      <c r="M1895" s="350"/>
      <c r="N1895" s="345"/>
      <c r="O1895" s="296">
        <f>-TrialBalance!L186</f>
        <v>0</v>
      </c>
      <c r="R1895" s="348" t="str">
        <f t="shared" ref="R1895" si="130">IF(O1895=0,"DELETE"," ")</f>
        <v>DELETE</v>
      </c>
    </row>
    <row r="1896" spans="2:20" ht="36" customHeight="1" x14ac:dyDescent="0.5">
      <c r="B1896" s="316"/>
      <c r="C1896" s="450">
        <f>TrialBalance!C187</f>
        <v>0</v>
      </c>
      <c r="D1896" s="459"/>
      <c r="E1896" s="450"/>
      <c r="F1896" s="450"/>
      <c r="G1896" s="450"/>
      <c r="H1896" s="450"/>
      <c r="I1896" s="450"/>
      <c r="J1896" s="450"/>
      <c r="L1896" s="350"/>
      <c r="M1896" s="350"/>
      <c r="N1896" s="345"/>
      <c r="O1896" s="296">
        <f>-TrialBalance!L187</f>
        <v>0</v>
      </c>
      <c r="R1896" s="348" t="str">
        <f t="shared" ref="R1896" si="131">IF(O1896=0,"DELETE"," ")</f>
        <v>DELETE</v>
      </c>
    </row>
    <row r="1897" spans="2:20" ht="36" customHeight="1" x14ac:dyDescent="0.5">
      <c r="B1897" s="316"/>
      <c r="C1897" s="450">
        <f>TrialBalance!C188</f>
        <v>0</v>
      </c>
      <c r="D1897" s="459"/>
      <c r="E1897" s="450"/>
      <c r="F1897" s="450"/>
      <c r="G1897" s="450"/>
      <c r="H1897" s="450"/>
      <c r="I1897" s="450"/>
      <c r="J1897" s="450"/>
      <c r="L1897" s="350"/>
      <c r="M1897" s="350"/>
      <c r="N1897" s="345"/>
      <c r="O1897" s="296">
        <f>-TrialBalance!L188</f>
        <v>0</v>
      </c>
      <c r="R1897" s="348" t="str">
        <f t="shared" ref="R1897" si="132">IF(O1897=0,"DELETE"," ")</f>
        <v>DELETE</v>
      </c>
    </row>
    <row r="1898" spans="2:20" ht="36" customHeight="1" x14ac:dyDescent="0.5">
      <c r="B1898" s="316"/>
      <c r="C1898" s="450">
        <f>TrialBalance!C189</f>
        <v>0</v>
      </c>
      <c r="D1898" s="459"/>
      <c r="E1898" s="450"/>
      <c r="F1898" s="450"/>
      <c r="G1898" s="450"/>
      <c r="H1898" s="450"/>
      <c r="I1898" s="450"/>
      <c r="J1898" s="450"/>
      <c r="L1898" s="350"/>
      <c r="M1898" s="350"/>
      <c r="N1898" s="345"/>
      <c r="O1898" s="296">
        <f>-TrialBalance!L189</f>
        <v>0</v>
      </c>
      <c r="R1898" s="348" t="str">
        <f t="shared" ref="R1898" si="133">IF(O1898=0,"DELETE"," ")</f>
        <v>DELETE</v>
      </c>
    </row>
    <row r="1899" spans="2:20" ht="36" customHeight="1" x14ac:dyDescent="0.5">
      <c r="B1899" s="316"/>
      <c r="C1899" s="450">
        <f>TrialBalance!C190</f>
        <v>0</v>
      </c>
      <c r="D1899" s="459"/>
      <c r="E1899" s="450"/>
      <c r="F1899" s="450"/>
      <c r="G1899" s="450"/>
      <c r="H1899" s="450"/>
      <c r="I1899" s="450"/>
      <c r="J1899" s="450"/>
      <c r="L1899" s="350"/>
      <c r="M1899" s="350"/>
      <c r="N1899" s="345"/>
      <c r="O1899" s="296">
        <f>-TrialBalance!L190</f>
        <v>0</v>
      </c>
      <c r="R1899" s="348" t="str">
        <f t="shared" ref="R1899" si="134">IF(O1899=0,"DELETE"," ")</f>
        <v>DELETE</v>
      </c>
    </row>
    <row r="1900" spans="2:20" ht="36" customHeight="1" x14ac:dyDescent="0.5">
      <c r="B1900" s="316"/>
      <c r="C1900" s="450">
        <f>TrialBalance!C191</f>
        <v>0</v>
      </c>
      <c r="D1900" s="459"/>
      <c r="E1900" s="450"/>
      <c r="F1900" s="450"/>
      <c r="G1900" s="450"/>
      <c r="H1900" s="450"/>
      <c r="I1900" s="450"/>
      <c r="J1900" s="450"/>
      <c r="L1900" s="350"/>
      <c r="M1900" s="350"/>
      <c r="N1900" s="345"/>
      <c r="O1900" s="296">
        <f>-TrialBalance!L191</f>
        <v>0</v>
      </c>
      <c r="R1900" s="348" t="str">
        <f t="shared" ref="R1900:R1909" si="135">IF(O1900=0,"DELETE"," ")</f>
        <v>DELETE</v>
      </c>
    </row>
    <row r="1901" spans="2:20" ht="36" customHeight="1" x14ac:dyDescent="0.5">
      <c r="B1901" s="316"/>
      <c r="C1901" s="450">
        <f>TrialBalance!C192</f>
        <v>0</v>
      </c>
      <c r="D1901" s="459"/>
      <c r="E1901" s="450"/>
      <c r="F1901" s="450"/>
      <c r="G1901" s="450"/>
      <c r="H1901" s="450"/>
      <c r="I1901" s="450"/>
      <c r="J1901" s="450"/>
      <c r="L1901" s="350"/>
      <c r="M1901" s="350"/>
      <c r="N1901" s="345"/>
      <c r="O1901" s="296">
        <f>-TrialBalance!L192</f>
        <v>0</v>
      </c>
      <c r="R1901" s="348" t="str">
        <f t="shared" si="135"/>
        <v>DELETE</v>
      </c>
    </row>
    <row r="1902" spans="2:20" ht="36" customHeight="1" x14ac:dyDescent="0.5">
      <c r="B1902" s="316"/>
      <c r="C1902" s="450">
        <f>TrialBalance!C193</f>
        <v>0</v>
      </c>
      <c r="D1902" s="459"/>
      <c r="E1902" s="450"/>
      <c r="F1902" s="450"/>
      <c r="G1902" s="450"/>
      <c r="H1902" s="450"/>
      <c r="I1902" s="450"/>
      <c r="J1902" s="450"/>
      <c r="L1902" s="350"/>
      <c r="M1902" s="350"/>
      <c r="N1902" s="345"/>
      <c r="O1902" s="296">
        <f>-TrialBalance!L193</f>
        <v>0</v>
      </c>
      <c r="R1902" s="348" t="str">
        <f t="shared" si="135"/>
        <v>DELETE</v>
      </c>
    </row>
    <row r="1903" spans="2:20" ht="36" customHeight="1" x14ac:dyDescent="0.5">
      <c r="B1903" s="316"/>
      <c r="C1903" s="450">
        <f>TrialBalance!C194</f>
        <v>0</v>
      </c>
      <c r="D1903" s="459"/>
      <c r="E1903" s="450"/>
      <c r="F1903" s="450"/>
      <c r="G1903" s="450"/>
      <c r="H1903" s="450"/>
      <c r="I1903" s="450"/>
      <c r="J1903" s="450"/>
      <c r="L1903" s="350"/>
      <c r="M1903" s="350"/>
      <c r="N1903" s="345"/>
      <c r="O1903" s="296">
        <f>-TrialBalance!L194</f>
        <v>0</v>
      </c>
      <c r="R1903" s="348" t="str">
        <f t="shared" si="135"/>
        <v>DELETE</v>
      </c>
    </row>
    <row r="1904" spans="2:20" ht="36" customHeight="1" x14ac:dyDescent="0.5">
      <c r="B1904" s="316"/>
      <c r="C1904" s="450">
        <f>TrialBalance!C195</f>
        <v>0</v>
      </c>
      <c r="D1904" s="459"/>
      <c r="E1904" s="450"/>
      <c r="F1904" s="450"/>
      <c r="G1904" s="450"/>
      <c r="H1904" s="450"/>
      <c r="I1904" s="450"/>
      <c r="J1904" s="450"/>
      <c r="L1904" s="350"/>
      <c r="M1904" s="350"/>
      <c r="N1904" s="345"/>
      <c r="O1904" s="296">
        <f>-TrialBalance!L195</f>
        <v>0</v>
      </c>
      <c r="R1904" s="348" t="str">
        <f t="shared" si="135"/>
        <v>DELETE</v>
      </c>
    </row>
    <row r="1905" spans="2:22" ht="36" customHeight="1" x14ac:dyDescent="0.5">
      <c r="B1905" s="316"/>
      <c r="C1905" s="450">
        <f>TrialBalance!C196</f>
        <v>0</v>
      </c>
      <c r="D1905" s="459"/>
      <c r="E1905" s="450"/>
      <c r="F1905" s="450"/>
      <c r="G1905" s="450"/>
      <c r="H1905" s="450"/>
      <c r="I1905" s="450"/>
      <c r="J1905" s="450"/>
      <c r="L1905" s="350"/>
      <c r="M1905" s="350"/>
      <c r="N1905" s="345"/>
      <c r="O1905" s="296">
        <f>-TrialBalance!L196</f>
        <v>0</v>
      </c>
      <c r="R1905" s="348" t="str">
        <f t="shared" si="135"/>
        <v>DELETE</v>
      </c>
    </row>
    <row r="1906" spans="2:22" ht="36" customHeight="1" x14ac:dyDescent="0.5">
      <c r="B1906" s="316"/>
      <c r="C1906" s="450">
        <f>TrialBalance!C197</f>
        <v>0</v>
      </c>
      <c r="D1906" s="459"/>
      <c r="E1906" s="450"/>
      <c r="F1906" s="450"/>
      <c r="G1906" s="450"/>
      <c r="H1906" s="450"/>
      <c r="I1906" s="450"/>
      <c r="J1906" s="450"/>
      <c r="L1906" s="350"/>
      <c r="M1906" s="350"/>
      <c r="N1906" s="345"/>
      <c r="O1906" s="296">
        <f>-TrialBalance!L197</f>
        <v>0</v>
      </c>
      <c r="R1906" s="348" t="str">
        <f t="shared" si="135"/>
        <v>DELETE</v>
      </c>
    </row>
    <row r="1907" spans="2:22" ht="36" customHeight="1" x14ac:dyDescent="0.5">
      <c r="B1907" s="316"/>
      <c r="C1907" s="450">
        <f>TrialBalance!C198</f>
        <v>0</v>
      </c>
      <c r="D1907" s="459"/>
      <c r="E1907" s="450"/>
      <c r="F1907" s="450"/>
      <c r="G1907" s="450"/>
      <c r="H1907" s="450"/>
      <c r="I1907" s="450"/>
      <c r="J1907" s="450"/>
      <c r="L1907" s="350"/>
      <c r="M1907" s="350"/>
      <c r="N1907" s="345"/>
      <c r="O1907" s="296">
        <f>-TrialBalance!L198</f>
        <v>0</v>
      </c>
      <c r="R1907" s="348" t="str">
        <f t="shared" si="135"/>
        <v>DELETE</v>
      </c>
    </row>
    <row r="1908" spans="2:22" ht="36" customHeight="1" x14ac:dyDescent="0.5">
      <c r="B1908" s="316"/>
      <c r="C1908" s="450">
        <f>TrialBalance!C199</f>
        <v>0</v>
      </c>
      <c r="D1908" s="459"/>
      <c r="E1908" s="450"/>
      <c r="F1908" s="450"/>
      <c r="G1908" s="450"/>
      <c r="H1908" s="450"/>
      <c r="I1908" s="450"/>
      <c r="J1908" s="450"/>
      <c r="L1908" s="350"/>
      <c r="M1908" s="350"/>
      <c r="N1908" s="345"/>
      <c r="O1908" s="296">
        <f>-TrialBalance!L199</f>
        <v>0</v>
      </c>
      <c r="R1908" s="348" t="str">
        <f t="shared" si="135"/>
        <v>DELETE</v>
      </c>
    </row>
    <row r="1909" spans="2:22" ht="36" customHeight="1" x14ac:dyDescent="0.5">
      <c r="B1909" s="316"/>
      <c r="C1909" s="450">
        <f>TrialBalance!C200</f>
        <v>0</v>
      </c>
      <c r="D1909" s="459"/>
      <c r="E1909" s="450"/>
      <c r="F1909" s="450"/>
      <c r="G1909" s="450"/>
      <c r="H1909" s="450"/>
      <c r="I1909" s="450"/>
      <c r="J1909" s="450"/>
      <c r="L1909" s="350"/>
      <c r="M1909" s="350"/>
      <c r="N1909" s="345"/>
      <c r="O1909" s="296">
        <f>-TrialBalance!L200</f>
        <v>0</v>
      </c>
      <c r="R1909" s="348" t="str">
        <f t="shared" si="135"/>
        <v>DELETE</v>
      </c>
    </row>
    <row r="1910" spans="2:22" ht="9" customHeight="1" x14ac:dyDescent="0.5">
      <c r="B1910" s="316"/>
      <c r="C1910" s="450"/>
      <c r="D1910" s="459"/>
      <c r="E1910" s="450"/>
      <c r="F1910" s="450"/>
      <c r="G1910" s="450"/>
      <c r="H1910" s="450"/>
      <c r="I1910" s="450"/>
      <c r="J1910" s="450"/>
      <c r="L1910" s="350"/>
      <c r="M1910" s="350"/>
      <c r="N1910" s="345"/>
      <c r="O1910" s="298"/>
      <c r="R1910" s="348" t="str">
        <f>R1913</f>
        <v>DELETE</v>
      </c>
    </row>
    <row r="1911" spans="2:22" ht="9" customHeight="1" x14ac:dyDescent="0.5">
      <c r="B1911" s="316"/>
      <c r="C1911" s="450"/>
      <c r="D1911" s="459"/>
      <c r="E1911" s="450"/>
      <c r="F1911" s="450"/>
      <c r="G1911" s="450"/>
      <c r="H1911" s="450"/>
      <c r="I1911" s="450"/>
      <c r="J1911" s="450"/>
      <c r="L1911" s="350"/>
      <c r="M1911" s="350"/>
      <c r="N1911" s="345"/>
      <c r="O1911" s="296"/>
      <c r="R1911" s="348" t="str">
        <f>R1913</f>
        <v>DELETE</v>
      </c>
    </row>
    <row r="1912" spans="2:22" ht="36" customHeight="1" x14ac:dyDescent="0.5">
      <c r="B1912" s="316"/>
      <c r="C1912" s="450"/>
      <c r="D1912" s="459"/>
      <c r="E1912" s="450"/>
      <c r="F1912" s="450"/>
      <c r="G1912" s="450"/>
      <c r="H1912" s="450"/>
      <c r="I1912" s="450"/>
      <c r="J1912" s="450"/>
      <c r="L1912" s="350"/>
      <c r="M1912" s="350"/>
      <c r="N1912" s="345"/>
      <c r="O1912" s="296">
        <f>SUM(O1895:O1910)</f>
        <v>0</v>
      </c>
      <c r="R1912" s="348" t="str">
        <f>R1913</f>
        <v>DELETE</v>
      </c>
      <c r="S1912" s="336"/>
      <c r="T1912" s="336"/>
      <c r="U1912" s="336"/>
      <c r="V1912" s="336"/>
    </row>
    <row r="1913" spans="2:22" ht="36" customHeight="1" x14ac:dyDescent="0.5">
      <c r="B1913" s="316"/>
      <c r="C1913" s="450" t="s">
        <v>1098</v>
      </c>
      <c r="D1913" s="459"/>
      <c r="E1913" s="450"/>
      <c r="F1913" s="450"/>
      <c r="G1913" s="450"/>
      <c r="H1913" s="450"/>
      <c r="I1913" s="450"/>
      <c r="J1913" s="450"/>
      <c r="L1913" s="350"/>
      <c r="M1913" s="350"/>
      <c r="N1913" s="345"/>
      <c r="O1913" s="296">
        <f>TrialBalance!L201</f>
        <v>0</v>
      </c>
      <c r="R1913" s="348" t="str">
        <f t="shared" ref="R1913" si="136">IF(O1913=0,"DELETE"," ")</f>
        <v>DELETE</v>
      </c>
      <c r="S1913" s="336">
        <f>-O1913</f>
        <v>0</v>
      </c>
      <c r="T1913" s="336"/>
      <c r="U1913" s="336"/>
      <c r="V1913" s="336"/>
    </row>
    <row r="1914" spans="2:22" ht="9" customHeight="1" x14ac:dyDescent="0.5">
      <c r="B1914" s="316"/>
      <c r="C1914" s="456"/>
      <c r="D1914" s="450"/>
      <c r="E1914" s="450"/>
      <c r="F1914" s="450"/>
      <c r="G1914" s="450"/>
      <c r="H1914" s="450"/>
      <c r="I1914" s="450"/>
      <c r="J1914" s="450"/>
      <c r="L1914" s="350"/>
      <c r="M1914" s="350"/>
      <c r="N1914" s="345"/>
      <c r="O1914" s="298"/>
      <c r="R1914" s="348" t="str">
        <f>R$1916</f>
        <v>DELETE</v>
      </c>
    </row>
    <row r="1915" spans="2:22" ht="9" customHeight="1" x14ac:dyDescent="0.5">
      <c r="B1915" s="316"/>
      <c r="C1915" s="456"/>
      <c r="D1915" s="450"/>
      <c r="E1915" s="450"/>
      <c r="F1915" s="450"/>
      <c r="G1915" s="450"/>
      <c r="H1915" s="450"/>
      <c r="I1915" s="450"/>
      <c r="J1915" s="450"/>
      <c r="L1915" s="350"/>
      <c r="M1915" s="350"/>
      <c r="N1915" s="345"/>
      <c r="O1915" s="296"/>
      <c r="R1915" s="348" t="str">
        <f>R$1916</f>
        <v>DELETE</v>
      </c>
    </row>
    <row r="1916" spans="2:22" ht="36.75" customHeight="1" x14ac:dyDescent="0.5">
      <c r="B1916" s="316"/>
      <c r="C1916" s="456"/>
      <c r="D1916" s="450"/>
      <c r="E1916" s="450"/>
      <c r="F1916" s="450"/>
      <c r="G1916" s="450"/>
      <c r="H1916" s="450"/>
      <c r="I1916" s="450"/>
      <c r="J1916" s="450"/>
      <c r="L1916" s="350"/>
      <c r="M1916" s="350"/>
      <c r="N1916" s="345"/>
      <c r="O1916" s="296">
        <f>SUM(S1893:S1914)</f>
        <v>0</v>
      </c>
      <c r="R1916" s="348" t="str">
        <f>IF(SUM(O1895:O1909)&gt;0," ","DELETE")</f>
        <v>DELETE</v>
      </c>
    </row>
    <row r="1917" spans="2:22" ht="9" customHeight="1" thickBot="1" x14ac:dyDescent="0.55000000000000004">
      <c r="B1917" s="316"/>
      <c r="C1917" s="456"/>
      <c r="D1917" s="450"/>
      <c r="E1917" s="450"/>
      <c r="F1917" s="450"/>
      <c r="G1917" s="450"/>
      <c r="H1917" s="450"/>
      <c r="I1917" s="450"/>
      <c r="J1917" s="450"/>
      <c r="L1917" s="350"/>
      <c r="M1917" s="350"/>
      <c r="N1917" s="345"/>
      <c r="O1917" s="299"/>
      <c r="R1917" s="348" t="str">
        <f t="shared" ref="R1917:R1922" si="137">R$1916</f>
        <v>DELETE</v>
      </c>
    </row>
    <row r="1918" spans="2:22" ht="9" customHeight="1" thickTop="1" x14ac:dyDescent="0.5">
      <c r="B1918" s="316"/>
      <c r="C1918" s="456"/>
      <c r="D1918" s="450"/>
      <c r="E1918" s="450"/>
      <c r="F1918" s="450"/>
      <c r="G1918" s="450"/>
      <c r="H1918" s="450"/>
      <c r="I1918" s="450"/>
      <c r="J1918" s="450"/>
      <c r="L1918" s="350"/>
      <c r="M1918" s="350"/>
      <c r="N1918" s="345"/>
      <c r="O1918" s="310"/>
      <c r="R1918" s="348" t="str">
        <f t="shared" si="137"/>
        <v>DELETE</v>
      </c>
    </row>
    <row r="1919" spans="2:22" ht="36" customHeight="1" x14ac:dyDescent="0.5">
      <c r="B1919" s="316"/>
      <c r="C1919" s="456"/>
      <c r="D1919" s="450"/>
      <c r="E1919" s="450"/>
      <c r="F1919" s="450"/>
      <c r="G1919" s="450"/>
      <c r="H1919" s="450"/>
      <c r="I1919" s="450"/>
      <c r="J1919" s="450"/>
      <c r="L1919" s="350"/>
      <c r="M1919" s="350"/>
      <c r="N1919" s="345"/>
      <c r="O1919" s="296"/>
      <c r="R1919" s="348" t="str">
        <f t="shared" si="137"/>
        <v>DELETE</v>
      </c>
    </row>
    <row r="1920" spans="2:22" ht="36" customHeight="1" x14ac:dyDescent="0.5">
      <c r="B1920" s="316"/>
      <c r="C1920" s="456"/>
      <c r="D1920" s="450"/>
      <c r="E1920" s="450"/>
      <c r="F1920" s="450"/>
      <c r="G1920" s="450"/>
      <c r="H1920" s="450"/>
      <c r="I1920" s="450"/>
      <c r="J1920" s="450"/>
      <c r="M1920" s="296"/>
      <c r="N1920" s="296"/>
      <c r="O1920" s="296"/>
      <c r="R1920" s="348" t="str">
        <f t="shared" si="137"/>
        <v>DELETE</v>
      </c>
    </row>
    <row r="1921" spans="2:18" ht="36" customHeight="1" x14ac:dyDescent="0.5">
      <c r="B1921" s="316"/>
      <c r="C1921" s="456"/>
      <c r="D1921" s="450"/>
      <c r="E1921" s="450"/>
      <c r="F1921" s="450"/>
      <c r="G1921" s="450"/>
      <c r="H1921" s="450"/>
      <c r="I1921" s="450"/>
      <c r="J1921" s="450"/>
      <c r="M1921" s="310"/>
      <c r="N1921" s="310"/>
      <c r="O1921" s="310"/>
      <c r="P1921" s="356"/>
      <c r="R1921" s="348" t="str">
        <f t="shared" si="137"/>
        <v>DELETE</v>
      </c>
    </row>
    <row r="1922" spans="2:18" ht="36" customHeight="1" x14ac:dyDescent="0.5">
      <c r="B1922" s="316"/>
      <c r="C1922" s="456"/>
      <c r="D1922" s="450"/>
      <c r="E1922" s="450"/>
      <c r="F1922" s="450"/>
      <c r="G1922" s="450"/>
      <c r="H1922" s="450"/>
      <c r="I1922" s="450"/>
      <c r="J1922" s="450"/>
      <c r="M1922" s="296"/>
      <c r="N1922" s="296"/>
      <c r="O1922" s="296"/>
      <c r="R1922" s="348" t="str">
        <f t="shared" si="137"/>
        <v>DELETE</v>
      </c>
    </row>
    <row r="1923" spans="2:18" ht="36" customHeight="1" x14ac:dyDescent="0.5">
      <c r="B1923" s="316"/>
      <c r="C1923" s="456"/>
      <c r="D1923" s="450"/>
      <c r="E1923" s="450"/>
      <c r="F1923" s="450"/>
      <c r="G1923" s="450"/>
      <c r="H1923" s="450"/>
      <c r="I1923" s="450"/>
      <c r="J1923" s="450"/>
      <c r="M1923" s="296"/>
      <c r="N1923" s="296"/>
      <c r="O1923" s="296" t="s">
        <v>89</v>
      </c>
      <c r="Q1923" s="292">
        <f>MAX($Q$105:Q1922)+1</f>
        <v>52</v>
      </c>
      <c r="R1923" s="348" t="str">
        <f>R$1954</f>
        <v>DELETE</v>
      </c>
    </row>
    <row r="1924" spans="2:18" ht="36" customHeight="1" x14ac:dyDescent="0.5">
      <c r="B1924" s="354"/>
      <c r="C1924" s="450"/>
      <c r="D1924" s="456" t="str">
        <f>Criteria!E9</f>
        <v>HOLDING COMPANY 268 (PROPRIETARY) LIMITED</v>
      </c>
      <c r="E1924" s="450"/>
      <c r="F1924" s="450"/>
      <c r="G1924" s="450"/>
      <c r="H1924" s="450"/>
      <c r="I1924" s="450"/>
      <c r="J1924" s="450"/>
      <c r="M1924" s="351"/>
      <c r="N1924" s="351"/>
      <c r="O1924" s="347"/>
      <c r="R1924" s="348" t="str">
        <f t="shared" ref="R1924:R1934" si="138">R$1954</f>
        <v>DELETE</v>
      </c>
    </row>
    <row r="1925" spans="2:18" ht="36" customHeight="1" x14ac:dyDescent="0.5">
      <c r="B1925" s="354"/>
      <c r="C1925" s="450"/>
      <c r="D1925" s="456" t="str">
        <f>Criteria!E10</f>
        <v>CONSOLIDATED FINANCIAL STATEMENTS</v>
      </c>
      <c r="E1925" s="450"/>
      <c r="F1925" s="450"/>
      <c r="G1925" s="450"/>
      <c r="H1925" s="450"/>
      <c r="I1925" s="450"/>
      <c r="J1925" s="450"/>
      <c r="M1925" s="351"/>
      <c r="N1925" s="351"/>
      <c r="O1925" s="351"/>
      <c r="R1925" s="348" t="str">
        <f>IF(R$1954="DELETE","DELETE",IF(D1925=0,"DELETE"," "))</f>
        <v>DELETE</v>
      </c>
    </row>
    <row r="1926" spans="2:18" ht="36" customHeight="1" x14ac:dyDescent="0.5">
      <c r="B1926" s="354"/>
      <c r="C1926" s="450"/>
      <c r="D1926" s="450"/>
      <c r="E1926" s="450"/>
      <c r="F1926" s="450"/>
      <c r="G1926" s="450"/>
      <c r="H1926" s="450"/>
      <c r="I1926" s="450"/>
      <c r="J1926" s="450"/>
      <c r="M1926" s="351"/>
      <c r="N1926" s="351"/>
      <c r="O1926" s="351"/>
      <c r="R1926" s="348" t="str">
        <f t="shared" si="138"/>
        <v>DELETE</v>
      </c>
    </row>
    <row r="1927" spans="2:18" ht="36" customHeight="1" x14ac:dyDescent="0.5">
      <c r="B1927" s="354"/>
      <c r="C1927" s="450"/>
      <c r="D1927" s="456" t="s">
        <v>351</v>
      </c>
      <c r="E1927" s="450"/>
      <c r="F1927" s="450"/>
      <c r="G1927" s="450"/>
      <c r="H1927" s="450"/>
      <c r="I1927" s="450"/>
      <c r="J1927" s="450"/>
      <c r="M1927" s="351"/>
      <c r="N1927" s="351"/>
      <c r="O1927" s="351"/>
      <c r="R1927" s="348" t="str">
        <f t="shared" si="138"/>
        <v>DELETE</v>
      </c>
    </row>
    <row r="1928" spans="2:18" ht="36" customHeight="1" x14ac:dyDescent="0.5">
      <c r="B1928" s="354"/>
      <c r="C1928" s="450"/>
      <c r="D1928" s="456" t="str">
        <f>Criteria!E20</f>
        <v>28 FEBRUARY 2025</v>
      </c>
      <c r="E1928" s="450"/>
      <c r="F1928" s="450"/>
      <c r="G1928" s="450"/>
      <c r="H1928" s="450"/>
      <c r="I1928" s="450"/>
      <c r="J1928" s="450" t="s">
        <v>231</v>
      </c>
      <c r="M1928" s="351"/>
      <c r="N1928" s="351"/>
      <c r="O1928" s="351"/>
      <c r="R1928" s="348" t="str">
        <f t="shared" si="138"/>
        <v>DELETE</v>
      </c>
    </row>
    <row r="1929" spans="2:18" ht="36" customHeight="1" x14ac:dyDescent="0.5">
      <c r="B1929" s="354"/>
      <c r="C1929" s="450"/>
      <c r="D1929" s="450"/>
      <c r="E1929" s="450"/>
      <c r="F1929" s="450"/>
      <c r="G1929" s="450"/>
      <c r="H1929" s="450"/>
      <c r="I1929" s="450"/>
      <c r="J1929" s="450"/>
      <c r="M1929" s="372"/>
      <c r="N1929" s="372"/>
      <c r="O1929" s="372"/>
      <c r="R1929" s="348" t="str">
        <f t="shared" si="138"/>
        <v>DELETE</v>
      </c>
    </row>
    <row r="1930" spans="2:18" ht="36" customHeight="1" x14ac:dyDescent="0.5">
      <c r="B1930" s="368"/>
      <c r="C1930" s="460"/>
      <c r="D1930" s="460"/>
      <c r="E1930" s="460"/>
      <c r="F1930" s="460"/>
      <c r="G1930" s="460"/>
      <c r="H1930" s="460"/>
      <c r="I1930" s="460"/>
      <c r="J1930" s="460"/>
      <c r="K1930" s="364"/>
      <c r="L1930" s="364"/>
      <c r="M1930" s="378"/>
      <c r="N1930" s="378"/>
      <c r="O1930" s="378"/>
      <c r="P1930" s="367"/>
      <c r="Q1930" s="364"/>
      <c r="R1930" s="348" t="str">
        <f t="shared" si="138"/>
        <v>DELETE</v>
      </c>
    </row>
    <row r="1931" spans="2:18" ht="36" customHeight="1" x14ac:dyDescent="0.5">
      <c r="B1931" s="354"/>
      <c r="C1931" s="450"/>
      <c r="D1931" s="450"/>
      <c r="E1931" s="450"/>
      <c r="F1931" s="450"/>
      <c r="G1931" s="450"/>
      <c r="H1931" s="450"/>
      <c r="I1931" s="450"/>
      <c r="J1931" s="450"/>
      <c r="L1931" s="350"/>
      <c r="M1931" s="350"/>
      <c r="N1931" s="345"/>
      <c r="O1931" s="294">
        <f>Criteria!E22</f>
        <v>2025</v>
      </c>
      <c r="R1931" s="348" t="str">
        <f t="shared" si="138"/>
        <v>DELETE</v>
      </c>
    </row>
    <row r="1932" spans="2:18" ht="36" customHeight="1" x14ac:dyDescent="0.5">
      <c r="B1932" s="316"/>
      <c r="C1932" s="456"/>
      <c r="D1932" s="450"/>
      <c r="E1932" s="450"/>
      <c r="F1932" s="450"/>
      <c r="G1932" s="450"/>
      <c r="H1932" s="450"/>
      <c r="I1932" s="450"/>
      <c r="J1932" s="450"/>
      <c r="L1932" s="350"/>
      <c r="M1932" s="350"/>
      <c r="N1932" s="345"/>
      <c r="O1932" s="296"/>
      <c r="R1932" s="348" t="str">
        <f t="shared" si="138"/>
        <v>DELETE</v>
      </c>
    </row>
    <row r="1933" spans="2:18" ht="36" customHeight="1" x14ac:dyDescent="0.5">
      <c r="B1933" s="316">
        <f>MAX(B$602:B1932)+1</f>
        <v>23</v>
      </c>
      <c r="C1933" s="456" t="str">
        <f>IF(COUNTIF(TrialBalance!L203:L219,"&lt;0")&gt;1,"Interest free borrowings","Interest free borrowing")</f>
        <v>Interest free borrowing</v>
      </c>
      <c r="D1933" s="450"/>
      <c r="E1933" s="450"/>
      <c r="F1933" s="450"/>
      <c r="G1933" s="450"/>
      <c r="H1933" s="450"/>
      <c r="I1933" s="450"/>
      <c r="J1933" s="450"/>
      <c r="L1933" s="350"/>
      <c r="M1933" s="350"/>
      <c r="N1933" s="345"/>
      <c r="O1933" s="296"/>
      <c r="R1933" s="348" t="str">
        <f t="shared" si="138"/>
        <v>DELETE</v>
      </c>
    </row>
    <row r="1934" spans="2:18" ht="36" customHeight="1" x14ac:dyDescent="0.5">
      <c r="B1934" s="316"/>
      <c r="C1934" s="456"/>
      <c r="D1934" s="450"/>
      <c r="E1934" s="450"/>
      <c r="F1934" s="450"/>
      <c r="G1934" s="450"/>
      <c r="H1934" s="450"/>
      <c r="I1934" s="450"/>
      <c r="J1934" s="450"/>
      <c r="L1934" s="350"/>
      <c r="M1934" s="350"/>
      <c r="N1934" s="345"/>
      <c r="O1934" s="296"/>
      <c r="R1934" s="348" t="str">
        <f t="shared" si="138"/>
        <v>DELETE</v>
      </c>
    </row>
    <row r="1935" spans="2:18" ht="36" customHeight="1" x14ac:dyDescent="0.5">
      <c r="B1935" s="316"/>
      <c r="C1935" s="450">
        <f>TrialBalance!C203</f>
        <v>0</v>
      </c>
      <c r="D1935" s="459"/>
      <c r="E1935" s="450"/>
      <c r="F1935" s="450"/>
      <c r="G1935" s="450"/>
      <c r="H1935" s="450"/>
      <c r="I1935" s="450"/>
      <c r="J1935" s="450"/>
      <c r="L1935" s="350"/>
      <c r="M1935" s="350"/>
      <c r="N1935" s="345"/>
      <c r="O1935" s="296">
        <f>-TrialBalance!L203</f>
        <v>0</v>
      </c>
      <c r="R1935" s="348" t="str">
        <f t="shared" ref="R1935:R1951" si="139">IF(O1935=0,"DELETE"," ")</f>
        <v>DELETE</v>
      </c>
    </row>
    <row r="1936" spans="2:18" ht="36" customHeight="1" x14ac:dyDescent="0.5">
      <c r="B1936" s="316"/>
      <c r="C1936" s="450">
        <f>TrialBalance!C204</f>
        <v>0</v>
      </c>
      <c r="D1936" s="459"/>
      <c r="E1936" s="450"/>
      <c r="F1936" s="450"/>
      <c r="G1936" s="450"/>
      <c r="H1936" s="450"/>
      <c r="I1936" s="450"/>
      <c r="J1936" s="450"/>
      <c r="L1936" s="350"/>
      <c r="M1936" s="350"/>
      <c r="N1936" s="345"/>
      <c r="O1936" s="296">
        <f>-TrialBalance!L204</f>
        <v>0</v>
      </c>
      <c r="R1936" s="348" t="str">
        <f t="shared" si="139"/>
        <v>DELETE</v>
      </c>
    </row>
    <row r="1937" spans="2:18" ht="36" customHeight="1" x14ac:dyDescent="0.5">
      <c r="B1937" s="316"/>
      <c r="C1937" s="450">
        <f>TrialBalance!C205</f>
        <v>0</v>
      </c>
      <c r="D1937" s="459"/>
      <c r="E1937" s="450"/>
      <c r="F1937" s="450"/>
      <c r="G1937" s="450"/>
      <c r="H1937" s="450"/>
      <c r="I1937" s="450"/>
      <c r="J1937" s="450"/>
      <c r="L1937" s="350"/>
      <c r="M1937" s="350"/>
      <c r="N1937" s="345"/>
      <c r="O1937" s="296">
        <f>-TrialBalance!L205</f>
        <v>0</v>
      </c>
      <c r="R1937" s="348" t="str">
        <f t="shared" si="139"/>
        <v>DELETE</v>
      </c>
    </row>
    <row r="1938" spans="2:18" ht="36" customHeight="1" x14ac:dyDescent="0.5">
      <c r="B1938" s="316"/>
      <c r="C1938" s="450">
        <f>TrialBalance!C206</f>
        <v>0</v>
      </c>
      <c r="D1938" s="459"/>
      <c r="E1938" s="450"/>
      <c r="F1938" s="450"/>
      <c r="G1938" s="450"/>
      <c r="H1938" s="450"/>
      <c r="I1938" s="450"/>
      <c r="J1938" s="450"/>
      <c r="L1938" s="350"/>
      <c r="M1938" s="350"/>
      <c r="N1938" s="345"/>
      <c r="O1938" s="296">
        <f>-TrialBalance!L206</f>
        <v>0</v>
      </c>
      <c r="R1938" s="348" t="str">
        <f t="shared" si="139"/>
        <v>DELETE</v>
      </c>
    </row>
    <row r="1939" spans="2:18" ht="36" customHeight="1" x14ac:dyDescent="0.5">
      <c r="B1939" s="316"/>
      <c r="C1939" s="450">
        <f>TrialBalance!C207</f>
        <v>0</v>
      </c>
      <c r="D1939" s="459"/>
      <c r="E1939" s="450"/>
      <c r="F1939" s="450"/>
      <c r="G1939" s="450"/>
      <c r="H1939" s="450"/>
      <c r="I1939" s="450"/>
      <c r="J1939" s="450"/>
      <c r="L1939" s="350"/>
      <c r="M1939" s="350"/>
      <c r="N1939" s="345"/>
      <c r="O1939" s="296">
        <f>-TrialBalance!L207</f>
        <v>0</v>
      </c>
      <c r="R1939" s="348" t="str">
        <f t="shared" si="139"/>
        <v>DELETE</v>
      </c>
    </row>
    <row r="1940" spans="2:18" ht="36" customHeight="1" x14ac:dyDescent="0.5">
      <c r="B1940" s="316"/>
      <c r="C1940" s="450">
        <f>TrialBalance!C208</f>
        <v>0</v>
      </c>
      <c r="D1940" s="459"/>
      <c r="E1940" s="450"/>
      <c r="F1940" s="450"/>
      <c r="G1940" s="450"/>
      <c r="H1940" s="450"/>
      <c r="I1940" s="450"/>
      <c r="J1940" s="450"/>
      <c r="L1940" s="350"/>
      <c r="M1940" s="350"/>
      <c r="N1940" s="345"/>
      <c r="O1940" s="296">
        <f>-TrialBalance!L208</f>
        <v>0</v>
      </c>
      <c r="R1940" s="348" t="str">
        <f t="shared" si="139"/>
        <v>DELETE</v>
      </c>
    </row>
    <row r="1941" spans="2:18" ht="36" customHeight="1" x14ac:dyDescent="0.5">
      <c r="B1941" s="316"/>
      <c r="C1941" s="450">
        <f>TrialBalance!C209</f>
        <v>0</v>
      </c>
      <c r="D1941" s="459"/>
      <c r="E1941" s="450"/>
      <c r="F1941" s="450"/>
      <c r="G1941" s="450"/>
      <c r="H1941" s="450"/>
      <c r="I1941" s="450"/>
      <c r="J1941" s="450"/>
      <c r="L1941" s="350"/>
      <c r="M1941" s="350"/>
      <c r="N1941" s="345"/>
      <c r="O1941" s="296">
        <f>-TrialBalance!L209</f>
        <v>0</v>
      </c>
      <c r="R1941" s="348" t="str">
        <f t="shared" si="139"/>
        <v>DELETE</v>
      </c>
    </row>
    <row r="1942" spans="2:18" ht="36" customHeight="1" x14ac:dyDescent="0.5">
      <c r="B1942" s="316"/>
      <c r="C1942" s="450">
        <f>TrialBalance!C210</f>
        <v>0</v>
      </c>
      <c r="D1942" s="459"/>
      <c r="E1942" s="450"/>
      <c r="F1942" s="450"/>
      <c r="G1942" s="450"/>
      <c r="H1942" s="450"/>
      <c r="I1942" s="450"/>
      <c r="J1942" s="450"/>
      <c r="L1942" s="350"/>
      <c r="M1942" s="350"/>
      <c r="N1942" s="345"/>
      <c r="O1942" s="296">
        <f>-TrialBalance!L210</f>
        <v>0</v>
      </c>
      <c r="R1942" s="348" t="str">
        <f t="shared" si="139"/>
        <v>DELETE</v>
      </c>
    </row>
    <row r="1943" spans="2:18" ht="36" customHeight="1" x14ac:dyDescent="0.5">
      <c r="B1943" s="316"/>
      <c r="C1943" s="450">
        <f>TrialBalance!C211</f>
        <v>0</v>
      </c>
      <c r="D1943" s="459"/>
      <c r="E1943" s="450"/>
      <c r="F1943" s="450"/>
      <c r="G1943" s="450"/>
      <c r="H1943" s="450"/>
      <c r="I1943" s="450"/>
      <c r="J1943" s="450"/>
      <c r="L1943" s="350"/>
      <c r="M1943" s="350"/>
      <c r="N1943" s="345"/>
      <c r="O1943" s="296">
        <f>-TrialBalance!L211</f>
        <v>0</v>
      </c>
      <c r="R1943" s="348" t="str">
        <f t="shared" si="139"/>
        <v>DELETE</v>
      </c>
    </row>
    <row r="1944" spans="2:18" ht="36" customHeight="1" x14ac:dyDescent="0.5">
      <c r="B1944" s="316"/>
      <c r="C1944" s="450">
        <f>TrialBalance!C212</f>
        <v>0</v>
      </c>
      <c r="D1944" s="459"/>
      <c r="E1944" s="450"/>
      <c r="F1944" s="450"/>
      <c r="G1944" s="450"/>
      <c r="H1944" s="450"/>
      <c r="I1944" s="450"/>
      <c r="J1944" s="450"/>
      <c r="L1944" s="350"/>
      <c r="M1944" s="350"/>
      <c r="N1944" s="345"/>
      <c r="O1944" s="296">
        <f>-TrialBalance!L212</f>
        <v>0</v>
      </c>
      <c r="R1944" s="348" t="str">
        <f t="shared" si="139"/>
        <v>DELETE</v>
      </c>
    </row>
    <row r="1945" spans="2:18" ht="36" customHeight="1" x14ac:dyDescent="0.5">
      <c r="B1945" s="316"/>
      <c r="C1945" s="450">
        <f>TrialBalance!C213</f>
        <v>0</v>
      </c>
      <c r="D1945" s="459"/>
      <c r="E1945" s="450"/>
      <c r="F1945" s="450"/>
      <c r="G1945" s="450"/>
      <c r="H1945" s="450"/>
      <c r="I1945" s="450"/>
      <c r="J1945" s="450"/>
      <c r="L1945" s="350"/>
      <c r="M1945" s="350"/>
      <c r="N1945" s="345"/>
      <c r="O1945" s="296">
        <f>-TrialBalance!L213</f>
        <v>0</v>
      </c>
      <c r="R1945" s="348" t="str">
        <f t="shared" si="139"/>
        <v>DELETE</v>
      </c>
    </row>
    <row r="1946" spans="2:18" ht="36" customHeight="1" x14ac:dyDescent="0.5">
      <c r="B1946" s="316"/>
      <c r="C1946" s="450">
        <f>TrialBalance!C214</f>
        <v>0</v>
      </c>
      <c r="D1946" s="459"/>
      <c r="E1946" s="450"/>
      <c r="F1946" s="450"/>
      <c r="G1946" s="450"/>
      <c r="H1946" s="450"/>
      <c r="I1946" s="450"/>
      <c r="J1946" s="450"/>
      <c r="L1946" s="350"/>
      <c r="M1946" s="350"/>
      <c r="N1946" s="345"/>
      <c r="O1946" s="296">
        <f>-TrialBalance!L214</f>
        <v>0</v>
      </c>
      <c r="R1946" s="348" t="str">
        <f t="shared" si="139"/>
        <v>DELETE</v>
      </c>
    </row>
    <row r="1947" spans="2:18" ht="36" customHeight="1" x14ac:dyDescent="0.5">
      <c r="B1947" s="316"/>
      <c r="C1947" s="450">
        <f>TrialBalance!C215</f>
        <v>0</v>
      </c>
      <c r="D1947" s="459"/>
      <c r="E1947" s="450"/>
      <c r="F1947" s="450"/>
      <c r="G1947" s="450"/>
      <c r="H1947" s="450"/>
      <c r="I1947" s="450"/>
      <c r="J1947" s="450"/>
      <c r="L1947" s="350"/>
      <c r="M1947" s="350"/>
      <c r="N1947" s="345"/>
      <c r="O1947" s="296">
        <f>-TrialBalance!L215</f>
        <v>0</v>
      </c>
      <c r="R1947" s="348" t="str">
        <f t="shared" si="139"/>
        <v>DELETE</v>
      </c>
    </row>
    <row r="1948" spans="2:18" ht="36" customHeight="1" x14ac:dyDescent="0.5">
      <c r="B1948" s="316"/>
      <c r="C1948" s="450">
        <f>TrialBalance!C216</f>
        <v>0</v>
      </c>
      <c r="D1948" s="459"/>
      <c r="E1948" s="450"/>
      <c r="F1948" s="450"/>
      <c r="G1948" s="450"/>
      <c r="H1948" s="450"/>
      <c r="I1948" s="450"/>
      <c r="J1948" s="450"/>
      <c r="L1948" s="350"/>
      <c r="M1948" s="350"/>
      <c r="N1948" s="345"/>
      <c r="O1948" s="296">
        <f>-TrialBalance!L216</f>
        <v>0</v>
      </c>
      <c r="R1948" s="348" t="str">
        <f t="shared" si="139"/>
        <v>DELETE</v>
      </c>
    </row>
    <row r="1949" spans="2:18" ht="36" customHeight="1" x14ac:dyDescent="0.5">
      <c r="B1949" s="316"/>
      <c r="C1949" s="450">
        <f>TrialBalance!C217</f>
        <v>0</v>
      </c>
      <c r="D1949" s="459"/>
      <c r="E1949" s="450"/>
      <c r="F1949" s="450"/>
      <c r="G1949" s="450"/>
      <c r="H1949" s="450"/>
      <c r="I1949" s="450"/>
      <c r="J1949" s="450"/>
      <c r="L1949" s="350"/>
      <c r="M1949" s="350"/>
      <c r="N1949" s="345"/>
      <c r="O1949" s="296">
        <f>-TrialBalance!L217</f>
        <v>0</v>
      </c>
      <c r="R1949" s="348" t="str">
        <f t="shared" si="139"/>
        <v>DELETE</v>
      </c>
    </row>
    <row r="1950" spans="2:18" ht="36" customHeight="1" x14ac:dyDescent="0.5">
      <c r="B1950" s="316"/>
      <c r="C1950" s="450">
        <f>TrialBalance!C218</f>
        <v>0</v>
      </c>
      <c r="D1950" s="459"/>
      <c r="E1950" s="450"/>
      <c r="F1950" s="450"/>
      <c r="G1950" s="450"/>
      <c r="H1950" s="450"/>
      <c r="I1950" s="450"/>
      <c r="J1950" s="450"/>
      <c r="L1950" s="350"/>
      <c r="M1950" s="350"/>
      <c r="N1950" s="345"/>
      <c r="O1950" s="296">
        <f>-TrialBalance!L218</f>
        <v>0</v>
      </c>
      <c r="R1950" s="348" t="str">
        <f t="shared" si="139"/>
        <v>DELETE</v>
      </c>
    </row>
    <row r="1951" spans="2:18" ht="36" customHeight="1" x14ac:dyDescent="0.5">
      <c r="B1951" s="316"/>
      <c r="C1951" s="450">
        <f>TrialBalance!C219</f>
        <v>0</v>
      </c>
      <c r="D1951" s="459"/>
      <c r="E1951" s="450"/>
      <c r="F1951" s="450"/>
      <c r="G1951" s="450"/>
      <c r="H1951" s="450"/>
      <c r="I1951" s="450"/>
      <c r="J1951" s="450"/>
      <c r="L1951" s="350"/>
      <c r="M1951" s="350"/>
      <c r="N1951" s="345"/>
      <c r="O1951" s="296">
        <f>-TrialBalance!L219</f>
        <v>0</v>
      </c>
      <c r="R1951" s="348" t="str">
        <f t="shared" si="139"/>
        <v>DELETE</v>
      </c>
    </row>
    <row r="1952" spans="2:18" ht="9" customHeight="1" x14ac:dyDescent="0.5">
      <c r="B1952" s="316"/>
      <c r="C1952" s="456"/>
      <c r="D1952" s="450"/>
      <c r="E1952" s="450"/>
      <c r="F1952" s="450"/>
      <c r="G1952" s="450"/>
      <c r="H1952" s="450"/>
      <c r="I1952" s="450"/>
      <c r="J1952" s="450"/>
      <c r="L1952" s="350"/>
      <c r="M1952" s="350"/>
      <c r="N1952" s="345"/>
      <c r="O1952" s="298"/>
      <c r="R1952" s="348" t="str">
        <f t="shared" ref="R1952:R1961" si="140">R$1954</f>
        <v>DELETE</v>
      </c>
    </row>
    <row r="1953" spans="2:18" ht="9" customHeight="1" x14ac:dyDescent="0.5">
      <c r="B1953" s="316"/>
      <c r="C1953" s="456"/>
      <c r="D1953" s="450"/>
      <c r="E1953" s="450"/>
      <c r="F1953" s="450"/>
      <c r="G1953" s="450"/>
      <c r="H1953" s="450"/>
      <c r="I1953" s="450"/>
      <c r="J1953" s="450"/>
      <c r="L1953" s="350"/>
      <c r="M1953" s="350"/>
      <c r="N1953" s="345"/>
      <c r="O1953" s="296"/>
      <c r="R1953" s="348" t="str">
        <f t="shared" si="140"/>
        <v>DELETE</v>
      </c>
    </row>
    <row r="1954" spans="2:18" ht="36.75" customHeight="1" x14ac:dyDescent="0.5">
      <c r="B1954" s="316"/>
      <c r="C1954" s="456"/>
      <c r="D1954" s="450"/>
      <c r="E1954" s="450"/>
      <c r="F1954" s="450"/>
      <c r="G1954" s="450"/>
      <c r="H1954" s="450"/>
      <c r="I1954" s="450"/>
      <c r="J1954" s="450"/>
      <c r="L1954" s="350"/>
      <c r="M1954" s="350"/>
      <c r="N1954" s="345"/>
      <c r="O1954" s="296">
        <f>SUM(O1935:O1953)</f>
        <v>0</v>
      </c>
      <c r="R1954" s="348" t="str">
        <f t="shared" ref="R1954" si="141">IF(O1954=0,"DELETE"," ")</f>
        <v>DELETE</v>
      </c>
    </row>
    <row r="1955" spans="2:18" ht="9" customHeight="1" thickBot="1" x14ac:dyDescent="0.55000000000000004">
      <c r="B1955" s="316"/>
      <c r="C1955" s="456"/>
      <c r="D1955" s="450"/>
      <c r="E1955" s="450"/>
      <c r="F1955" s="450"/>
      <c r="G1955" s="450"/>
      <c r="H1955" s="450"/>
      <c r="I1955" s="450"/>
      <c r="J1955" s="450"/>
      <c r="L1955" s="350"/>
      <c r="M1955" s="350"/>
      <c r="N1955" s="345"/>
      <c r="O1955" s="299"/>
      <c r="R1955" s="348" t="str">
        <f t="shared" si="140"/>
        <v>DELETE</v>
      </c>
    </row>
    <row r="1956" spans="2:18" ht="9" customHeight="1" thickTop="1" x14ac:dyDescent="0.5">
      <c r="B1956" s="316"/>
      <c r="C1956" s="456"/>
      <c r="D1956" s="450"/>
      <c r="E1956" s="450"/>
      <c r="F1956" s="450"/>
      <c r="G1956" s="450"/>
      <c r="H1956" s="450"/>
      <c r="I1956" s="450"/>
      <c r="J1956" s="450"/>
      <c r="L1956" s="350"/>
      <c r="M1956" s="350"/>
      <c r="N1956" s="345"/>
      <c r="O1956" s="310"/>
      <c r="R1956" s="348" t="str">
        <f t="shared" si="140"/>
        <v>DELETE</v>
      </c>
    </row>
    <row r="1957" spans="2:18" ht="36" customHeight="1" x14ac:dyDescent="0.5">
      <c r="B1957" s="316"/>
      <c r="C1957" s="450" t="str">
        <f>IF(COUNTIF(TrialBalance!L203:L219,"&lt;0")=0," ",IF(COUNTIF(TrialBalance!L203:L219,"&lt;0")&gt;1,"Unsecured interest free loans with no fixed repayment terms.","Unsecured interest free loan with no fixed repayment terms."))</f>
        <v xml:space="preserve"> </v>
      </c>
      <c r="D1957" s="459"/>
      <c r="E1957" s="450"/>
      <c r="F1957" s="450"/>
      <c r="G1957" s="450"/>
      <c r="H1957" s="450"/>
      <c r="I1957" s="450"/>
      <c r="J1957" s="450"/>
      <c r="L1957" s="350"/>
      <c r="M1957" s="350"/>
      <c r="N1957" s="345"/>
      <c r="O1957" s="296"/>
      <c r="R1957" s="348" t="str">
        <f t="shared" si="140"/>
        <v>DELETE</v>
      </c>
    </row>
    <row r="1958" spans="2:18" ht="36" customHeight="1" x14ac:dyDescent="0.5">
      <c r="B1958" s="316"/>
      <c r="C1958" s="456"/>
      <c r="D1958" s="450"/>
      <c r="E1958" s="450"/>
      <c r="F1958" s="450"/>
      <c r="G1958" s="450"/>
      <c r="H1958" s="450"/>
      <c r="I1958" s="450"/>
      <c r="J1958" s="450"/>
      <c r="M1958" s="296"/>
      <c r="N1958" s="296"/>
      <c r="O1958" s="296"/>
      <c r="R1958" s="348" t="str">
        <f t="shared" si="140"/>
        <v>DELETE</v>
      </c>
    </row>
    <row r="1959" spans="2:18" ht="36" customHeight="1" x14ac:dyDescent="0.5">
      <c r="B1959" s="316"/>
      <c r="C1959" s="456"/>
      <c r="D1959" s="450"/>
      <c r="E1959" s="450"/>
      <c r="F1959" s="450"/>
      <c r="G1959" s="450"/>
      <c r="H1959" s="450"/>
      <c r="I1959" s="450"/>
      <c r="J1959" s="450"/>
      <c r="M1959" s="296"/>
      <c r="N1959" s="296"/>
      <c r="O1959" s="296"/>
      <c r="R1959" s="348" t="str">
        <f t="shared" si="140"/>
        <v>DELETE</v>
      </c>
    </row>
    <row r="1960" spans="2:18" ht="36" customHeight="1" x14ac:dyDescent="0.5">
      <c r="B1960" s="316"/>
      <c r="C1960" s="456"/>
      <c r="D1960" s="450"/>
      <c r="E1960" s="450"/>
      <c r="F1960" s="450"/>
      <c r="G1960" s="450"/>
      <c r="H1960" s="450"/>
      <c r="I1960" s="450"/>
      <c r="J1960" s="450"/>
      <c r="M1960" s="310"/>
      <c r="N1960" s="310"/>
      <c r="O1960" s="310"/>
      <c r="P1960" s="356"/>
      <c r="R1960" s="348" t="str">
        <f t="shared" si="140"/>
        <v>DELETE</v>
      </c>
    </row>
    <row r="1961" spans="2:18" ht="36" customHeight="1" x14ac:dyDescent="0.5">
      <c r="B1961" s="316"/>
      <c r="C1961" s="456"/>
      <c r="D1961" s="450"/>
      <c r="E1961" s="450"/>
      <c r="F1961" s="450"/>
      <c r="G1961" s="450"/>
      <c r="H1961" s="450"/>
      <c r="I1961" s="450"/>
      <c r="J1961" s="450"/>
      <c r="M1961" s="296"/>
      <c r="N1961" s="296"/>
      <c r="O1961" s="296"/>
      <c r="R1961" s="348" t="str">
        <f t="shared" si="140"/>
        <v>DELETE</v>
      </c>
    </row>
    <row r="1962" spans="2:18" ht="36" customHeight="1" x14ac:dyDescent="0.5">
      <c r="B1962" s="354"/>
      <c r="C1962" s="450"/>
      <c r="D1962" s="450"/>
      <c r="E1962" s="450"/>
      <c r="F1962" s="450"/>
      <c r="G1962" s="450"/>
      <c r="H1962" s="450"/>
      <c r="I1962" s="450"/>
      <c r="J1962" s="450"/>
      <c r="M1962" s="351"/>
      <c r="N1962" s="351"/>
      <c r="O1962" s="296" t="s">
        <v>89</v>
      </c>
      <c r="Q1962" s="292">
        <f>MAX($Q$105:Q1961)+1</f>
        <v>53</v>
      </c>
      <c r="R1962" s="348" t="str">
        <f>R$1981</f>
        <v>DELETE</v>
      </c>
    </row>
    <row r="1963" spans="2:18" ht="36" customHeight="1" x14ac:dyDescent="0.5">
      <c r="B1963" s="354"/>
      <c r="C1963" s="450"/>
      <c r="D1963" s="456" t="str">
        <f>Criteria!E9</f>
        <v>HOLDING COMPANY 268 (PROPRIETARY) LIMITED</v>
      </c>
      <c r="E1963" s="450"/>
      <c r="F1963" s="450"/>
      <c r="G1963" s="450"/>
      <c r="H1963" s="450"/>
      <c r="I1963" s="450"/>
      <c r="J1963" s="450"/>
      <c r="M1963" s="351"/>
      <c r="N1963" s="351"/>
      <c r="O1963" s="347"/>
      <c r="R1963" s="348" t="str">
        <f>R$1981</f>
        <v>DELETE</v>
      </c>
    </row>
    <row r="1964" spans="2:18" ht="36" customHeight="1" x14ac:dyDescent="0.5">
      <c r="B1964" s="354"/>
      <c r="C1964" s="450"/>
      <c r="D1964" s="456" t="str">
        <f>Criteria!E10</f>
        <v>CONSOLIDATED FINANCIAL STATEMENTS</v>
      </c>
      <c r="E1964" s="450"/>
      <c r="F1964" s="450"/>
      <c r="G1964" s="450"/>
      <c r="H1964" s="450"/>
      <c r="I1964" s="450"/>
      <c r="J1964" s="450"/>
      <c r="M1964" s="351"/>
      <c r="N1964" s="351"/>
      <c r="O1964" s="351"/>
      <c r="R1964" s="348" t="str">
        <f>IF(R$1981="DELETE","DELETE",IF(D1964=0,"DELETE"," "))</f>
        <v>DELETE</v>
      </c>
    </row>
    <row r="1965" spans="2:18" ht="36" customHeight="1" x14ac:dyDescent="0.5">
      <c r="B1965" s="354"/>
      <c r="C1965" s="450"/>
      <c r="D1965" s="450"/>
      <c r="E1965" s="450"/>
      <c r="F1965" s="450"/>
      <c r="G1965" s="450"/>
      <c r="H1965" s="450"/>
      <c r="I1965" s="450"/>
      <c r="J1965" s="450"/>
      <c r="M1965" s="351"/>
      <c r="N1965" s="351"/>
      <c r="O1965" s="351"/>
      <c r="R1965" s="348" t="str">
        <f t="shared" ref="R1965:R1975" si="142">R$1981</f>
        <v>DELETE</v>
      </c>
    </row>
    <row r="1966" spans="2:18" ht="36" customHeight="1" x14ac:dyDescent="0.5">
      <c r="B1966" s="354"/>
      <c r="C1966" s="450"/>
      <c r="D1966" s="456" t="s">
        <v>351</v>
      </c>
      <c r="E1966" s="450"/>
      <c r="F1966" s="450"/>
      <c r="G1966" s="450"/>
      <c r="H1966" s="450"/>
      <c r="I1966" s="450"/>
      <c r="J1966" s="450"/>
      <c r="M1966" s="351"/>
      <c r="N1966" s="351"/>
      <c r="O1966" s="351"/>
      <c r="R1966" s="348" t="str">
        <f t="shared" si="142"/>
        <v>DELETE</v>
      </c>
    </row>
    <row r="1967" spans="2:18" ht="36" customHeight="1" x14ac:dyDescent="0.5">
      <c r="B1967" s="354"/>
      <c r="C1967" s="450"/>
      <c r="D1967" s="456" t="str">
        <f>Criteria!E20</f>
        <v>28 FEBRUARY 2025</v>
      </c>
      <c r="E1967" s="450"/>
      <c r="F1967" s="450"/>
      <c r="G1967" s="450"/>
      <c r="H1967" s="450"/>
      <c r="I1967" s="450"/>
      <c r="J1967" s="450" t="s">
        <v>231</v>
      </c>
      <c r="M1967" s="351"/>
      <c r="N1967" s="351"/>
      <c r="O1967" s="351"/>
      <c r="R1967" s="348" t="str">
        <f t="shared" si="142"/>
        <v>DELETE</v>
      </c>
    </row>
    <row r="1968" spans="2:18" ht="36" customHeight="1" x14ac:dyDescent="0.5">
      <c r="B1968" s="354"/>
      <c r="C1968" s="450"/>
      <c r="D1968" s="456"/>
      <c r="E1968" s="450"/>
      <c r="F1968" s="450"/>
      <c r="G1968" s="450"/>
      <c r="H1968" s="450"/>
      <c r="I1968" s="450"/>
      <c r="J1968" s="450"/>
      <c r="M1968" s="351"/>
      <c r="N1968" s="351"/>
      <c r="O1968" s="351"/>
      <c r="R1968" s="348" t="str">
        <f t="shared" si="142"/>
        <v>DELETE</v>
      </c>
    </row>
    <row r="1969" spans="2:23" ht="36" customHeight="1" x14ac:dyDescent="0.5">
      <c r="B1969" s="447"/>
      <c r="C1969" s="465"/>
      <c r="D1969" s="460"/>
      <c r="E1969" s="460"/>
      <c r="F1969" s="460"/>
      <c r="G1969" s="460"/>
      <c r="H1969" s="460"/>
      <c r="I1969" s="460"/>
      <c r="J1969" s="460"/>
      <c r="K1969" s="364"/>
      <c r="L1969" s="364"/>
      <c r="M1969" s="297"/>
      <c r="N1969" s="297"/>
      <c r="O1969" s="297"/>
      <c r="P1969" s="367"/>
      <c r="Q1969" s="364"/>
      <c r="R1969" s="348" t="str">
        <f t="shared" si="142"/>
        <v>DELETE</v>
      </c>
    </row>
    <row r="1970" spans="2:23" ht="36" customHeight="1" x14ac:dyDescent="0.5">
      <c r="B1970" s="316"/>
      <c r="C1970" s="456"/>
      <c r="D1970" s="450"/>
      <c r="E1970" s="450"/>
      <c r="F1970" s="450"/>
      <c r="G1970" s="450"/>
      <c r="H1970" s="450"/>
      <c r="I1970" s="450"/>
      <c r="J1970" s="450"/>
      <c r="L1970" s="350"/>
      <c r="M1970" s="350"/>
      <c r="N1970" s="345"/>
      <c r="O1970" s="395">
        <f>Criteria!E22</f>
        <v>2025</v>
      </c>
      <c r="P1970" s="356"/>
      <c r="R1970" s="348" t="str">
        <f t="shared" si="142"/>
        <v>DELETE</v>
      </c>
    </row>
    <row r="1971" spans="2:23" ht="36" customHeight="1" x14ac:dyDescent="0.5">
      <c r="B1971" s="316"/>
      <c r="C1971" s="456"/>
      <c r="D1971" s="450"/>
      <c r="E1971" s="450"/>
      <c r="F1971" s="450"/>
      <c r="G1971" s="450"/>
      <c r="H1971" s="450"/>
      <c r="I1971" s="450"/>
      <c r="J1971" s="450"/>
      <c r="L1971" s="350"/>
      <c r="M1971" s="350"/>
      <c r="N1971" s="345"/>
      <c r="O1971" s="310"/>
      <c r="P1971" s="356"/>
      <c r="R1971" s="348" t="str">
        <f t="shared" si="142"/>
        <v>DELETE</v>
      </c>
    </row>
    <row r="1972" spans="2:23" ht="36" customHeight="1" x14ac:dyDescent="0.5">
      <c r="B1972" s="316">
        <f>MAX(B$602:B1971)+1</f>
        <v>24</v>
      </c>
      <c r="C1972" s="456" t="s">
        <v>1068</v>
      </c>
      <c r="D1972" s="450"/>
      <c r="E1972" s="450"/>
      <c r="F1972" s="450"/>
      <c r="G1972" s="450"/>
      <c r="H1972" s="450"/>
      <c r="I1972" s="450"/>
      <c r="J1972" s="450"/>
      <c r="L1972" s="350"/>
      <c r="M1972" s="350"/>
      <c r="N1972" s="345"/>
      <c r="O1972" s="310"/>
      <c r="P1972" s="356"/>
      <c r="R1972" s="348" t="str">
        <f t="shared" si="142"/>
        <v>DELETE</v>
      </c>
    </row>
    <row r="1973" spans="2:23" ht="36" customHeight="1" x14ac:dyDescent="0.5">
      <c r="B1973" s="316"/>
      <c r="C1973" s="456"/>
      <c r="D1973" s="450"/>
      <c r="E1973" s="450"/>
      <c r="F1973" s="450"/>
      <c r="G1973" s="450"/>
      <c r="H1973" s="450"/>
      <c r="I1973" s="450"/>
      <c r="J1973" s="450"/>
      <c r="L1973" s="350"/>
      <c r="M1973" s="350"/>
      <c r="N1973" s="345"/>
      <c r="O1973" s="310"/>
      <c r="P1973" s="356"/>
      <c r="R1973" s="348" t="str">
        <f t="shared" si="142"/>
        <v>DELETE</v>
      </c>
    </row>
    <row r="1974" spans="2:23" ht="36" customHeight="1" x14ac:dyDescent="0.5">
      <c r="B1974" s="316"/>
      <c r="C1974" s="450" t="s">
        <v>1007</v>
      </c>
      <c r="D1974" s="459"/>
      <c r="E1974" s="450"/>
      <c r="F1974" s="450"/>
      <c r="G1974" s="450"/>
      <c r="H1974" s="450"/>
      <c r="I1974" s="450"/>
      <c r="J1974" s="450"/>
      <c r="L1974" s="350"/>
      <c r="M1974" s="350"/>
      <c r="N1974" s="345"/>
      <c r="O1974" s="310"/>
      <c r="P1974" s="356"/>
      <c r="R1974" s="348" t="str">
        <f t="shared" si="142"/>
        <v>DELETE</v>
      </c>
    </row>
    <row r="1975" spans="2:23" ht="36" customHeight="1" x14ac:dyDescent="0.5">
      <c r="B1975" s="316"/>
      <c r="C1975" s="450"/>
      <c r="D1975" s="459"/>
      <c r="E1975" s="450"/>
      <c r="F1975" s="450"/>
      <c r="G1975" s="450"/>
      <c r="H1975" s="450"/>
      <c r="I1975" s="450"/>
      <c r="J1975" s="450"/>
      <c r="L1975" s="350"/>
      <c r="M1975" s="350"/>
      <c r="N1975" s="345"/>
      <c r="O1975" s="310"/>
      <c r="P1975" s="356"/>
      <c r="R1975" s="348" t="str">
        <f t="shared" si="142"/>
        <v>DELETE</v>
      </c>
    </row>
    <row r="1976" spans="2:23" ht="36" customHeight="1" x14ac:dyDescent="0.5">
      <c r="B1976" s="316"/>
      <c r="C1976" s="450" t="s">
        <v>1008</v>
      </c>
      <c r="D1976" s="459"/>
      <c r="E1976" s="450"/>
      <c r="F1976" s="450"/>
      <c r="G1976" s="450"/>
      <c r="H1976" s="450"/>
      <c r="I1976" s="450"/>
      <c r="J1976" s="450"/>
      <c r="L1976" s="350"/>
      <c r="M1976" s="350"/>
      <c r="N1976" s="345"/>
      <c r="O1976" s="310"/>
      <c r="P1976" s="356"/>
      <c r="R1976" s="348" t="str">
        <f>R1977</f>
        <v>DELETE</v>
      </c>
    </row>
    <row r="1977" spans="2:23" ht="36" customHeight="1" x14ac:dyDescent="0.5">
      <c r="B1977" s="316"/>
      <c r="C1977" s="450" t="s">
        <v>1009</v>
      </c>
      <c r="D1977" s="459"/>
      <c r="E1977" s="450"/>
      <c r="F1977" s="450"/>
      <c r="G1977" s="450"/>
      <c r="H1977" s="450"/>
      <c r="I1977" s="450"/>
      <c r="J1977" s="450"/>
      <c r="L1977" s="350"/>
      <c r="M1977" s="350"/>
      <c r="N1977" s="345"/>
      <c r="O1977" s="310">
        <f>-TrialBalance!L221-TrialBalance!L223-TrialBalance!L225-TrialBalance!L227</f>
        <v>0</v>
      </c>
      <c r="P1977" s="356"/>
      <c r="R1977" s="348" t="str">
        <f>IF(W1977&gt;0," ","DELETE")</f>
        <v>DELETE</v>
      </c>
      <c r="W1977" s="331">
        <f>IF(TrialBalance!L221=0,IF(TrialBalance!L225=0,IF(TrialBalance!L227=0,0,1),1),1)</f>
        <v>0</v>
      </c>
    </row>
    <row r="1978" spans="2:23" ht="36" customHeight="1" x14ac:dyDescent="0.5">
      <c r="B1978" s="316"/>
      <c r="C1978" s="450" t="s">
        <v>704</v>
      </c>
      <c r="D1978" s="459"/>
      <c r="E1978" s="450"/>
      <c r="F1978" s="450"/>
      <c r="G1978" s="450"/>
      <c r="H1978" s="450"/>
      <c r="I1978" s="450"/>
      <c r="J1978" s="450"/>
      <c r="L1978" s="350"/>
      <c r="M1978" s="350"/>
      <c r="N1978" s="345"/>
      <c r="O1978" s="310">
        <f>-TrialBalance!L222-TrialBalance!L224-TrialBalance!L226-TrialBalance!L228</f>
        <v>0</v>
      </c>
      <c r="P1978" s="356"/>
      <c r="R1978" s="348" t="str">
        <f>IF(W1978&gt;0," ","DELETE")</f>
        <v>DELETE</v>
      </c>
      <c r="W1978" s="331">
        <f>IF(TrialBalance!L222=0,IF(TrialBalance!L226=0,IF(TrialBalance!L228=0,0,1),1),1)</f>
        <v>0</v>
      </c>
    </row>
    <row r="1979" spans="2:23" ht="9" customHeight="1" x14ac:dyDescent="0.5">
      <c r="B1979" s="316"/>
      <c r="C1979" s="450"/>
      <c r="D1979" s="459"/>
      <c r="E1979" s="450"/>
      <c r="F1979" s="450"/>
      <c r="G1979" s="450"/>
      <c r="H1979" s="450"/>
      <c r="I1979" s="450"/>
      <c r="J1979" s="450"/>
      <c r="L1979" s="350"/>
      <c r="M1979" s="350"/>
      <c r="N1979" s="345"/>
      <c r="O1979" s="298"/>
      <c r="P1979" s="356"/>
      <c r="R1979" s="348" t="str">
        <f t="shared" ref="R1979:R2000" si="143">R$1981</f>
        <v>DELETE</v>
      </c>
    </row>
    <row r="1980" spans="2:23" ht="9" customHeight="1" x14ac:dyDescent="0.5">
      <c r="B1980" s="316"/>
      <c r="C1980" s="450"/>
      <c r="D1980" s="459"/>
      <c r="E1980" s="450"/>
      <c r="F1980" s="450"/>
      <c r="G1980" s="450"/>
      <c r="H1980" s="450"/>
      <c r="I1980" s="450"/>
      <c r="J1980" s="450"/>
      <c r="L1980" s="350"/>
      <c r="M1980" s="350"/>
      <c r="N1980" s="345"/>
      <c r="O1980" s="310"/>
      <c r="P1980" s="356"/>
      <c r="R1980" s="348" t="str">
        <f t="shared" si="143"/>
        <v>DELETE</v>
      </c>
    </row>
    <row r="1981" spans="2:23" ht="36.75" customHeight="1" x14ac:dyDescent="0.5">
      <c r="B1981" s="316"/>
      <c r="C1981" s="450"/>
      <c r="D1981" s="459"/>
      <c r="E1981" s="450"/>
      <c r="F1981" s="450"/>
      <c r="G1981" s="450"/>
      <c r="H1981" s="450"/>
      <c r="I1981" s="450"/>
      <c r="J1981" s="450"/>
      <c r="L1981" s="350"/>
      <c r="M1981" s="350"/>
      <c r="N1981" s="345"/>
      <c r="O1981" s="310">
        <f>SUM(O1977:O1979)</f>
        <v>0</v>
      </c>
      <c r="P1981" s="356"/>
      <c r="R1981" s="348" t="str">
        <f>IF(R1977=" "," ",IF(R1978=" "," ","DELETE"))</f>
        <v>DELETE</v>
      </c>
      <c r="U1981" s="331" t="b">
        <f>O1981=O2029</f>
        <v>1</v>
      </c>
    </row>
    <row r="1982" spans="2:23" ht="9" customHeight="1" thickBot="1" x14ac:dyDescent="0.55000000000000004">
      <c r="B1982" s="316"/>
      <c r="C1982" s="450"/>
      <c r="D1982" s="459"/>
      <c r="E1982" s="450"/>
      <c r="F1982" s="450"/>
      <c r="G1982" s="450"/>
      <c r="H1982" s="450"/>
      <c r="I1982" s="450"/>
      <c r="J1982" s="450"/>
      <c r="L1982" s="350"/>
      <c r="M1982" s="350"/>
      <c r="N1982" s="345"/>
      <c r="O1982" s="299"/>
      <c r="P1982" s="356"/>
      <c r="R1982" s="348" t="str">
        <f t="shared" si="143"/>
        <v>DELETE</v>
      </c>
    </row>
    <row r="1983" spans="2:23" ht="9" customHeight="1" thickTop="1" x14ac:dyDescent="0.5">
      <c r="B1983" s="316"/>
      <c r="C1983" s="450"/>
      <c r="D1983" s="459"/>
      <c r="E1983" s="450"/>
      <c r="F1983" s="450"/>
      <c r="G1983" s="450"/>
      <c r="H1983" s="450"/>
      <c r="I1983" s="450"/>
      <c r="J1983" s="450"/>
      <c r="L1983" s="350"/>
      <c r="M1983" s="350"/>
      <c r="N1983" s="345"/>
      <c r="O1983" s="310"/>
      <c r="P1983" s="356"/>
      <c r="R1983" s="348" t="str">
        <f t="shared" si="143"/>
        <v>DELETE</v>
      </c>
    </row>
    <row r="1984" spans="2:23" ht="36" customHeight="1" x14ac:dyDescent="0.5">
      <c r="B1984" s="316"/>
      <c r="C1984" s="450"/>
      <c r="D1984" s="459"/>
      <c r="E1984" s="450"/>
      <c r="F1984" s="450"/>
      <c r="G1984" s="450"/>
      <c r="H1984" s="450"/>
      <c r="I1984" s="450"/>
      <c r="J1984" s="450"/>
      <c r="L1984" s="350"/>
      <c r="M1984" s="350"/>
      <c r="N1984" s="345"/>
      <c r="O1984" s="310"/>
      <c r="P1984" s="356"/>
      <c r="R1984" s="348" t="str">
        <f t="shared" si="143"/>
        <v>DELETE</v>
      </c>
    </row>
    <row r="1985" spans="2:23" ht="36" customHeight="1" x14ac:dyDescent="0.5">
      <c r="B1985" s="316"/>
      <c r="C1985" s="450"/>
      <c r="D1985" s="459"/>
      <c r="E1985" s="450"/>
      <c r="F1985" s="450"/>
      <c r="G1985" s="450"/>
      <c r="H1985" s="450"/>
      <c r="I1985" s="450"/>
      <c r="J1985" s="450"/>
      <c r="L1985" s="350"/>
      <c r="M1985" s="350"/>
      <c r="N1985" s="345"/>
      <c r="O1985" s="310"/>
      <c r="P1985" s="356"/>
      <c r="R1985" s="348" t="str">
        <f t="shared" si="143"/>
        <v>DELETE</v>
      </c>
    </row>
    <row r="1986" spans="2:23" ht="36" customHeight="1" x14ac:dyDescent="0.5">
      <c r="B1986" s="316"/>
      <c r="C1986" s="450"/>
      <c r="D1986" s="459"/>
      <c r="E1986" s="450"/>
      <c r="F1986" s="450"/>
      <c r="G1986" s="450"/>
      <c r="H1986" s="450"/>
      <c r="I1986" s="450"/>
      <c r="J1986" s="450"/>
      <c r="L1986" s="350"/>
      <c r="M1986" s="350"/>
      <c r="N1986" s="345"/>
      <c r="O1986" s="310"/>
      <c r="P1986" s="356"/>
      <c r="R1986" s="348" t="str">
        <f t="shared" si="143"/>
        <v>DELETE</v>
      </c>
    </row>
    <row r="1987" spans="2:23" ht="36" customHeight="1" x14ac:dyDescent="0.5">
      <c r="B1987" s="316"/>
      <c r="C1987" s="450"/>
      <c r="D1987" s="459"/>
      <c r="E1987" s="450"/>
      <c r="F1987" s="450"/>
      <c r="G1987" s="450"/>
      <c r="H1987" s="450"/>
      <c r="I1987" s="450"/>
      <c r="J1987" s="450"/>
      <c r="L1987" s="350"/>
      <c r="M1987" s="350"/>
      <c r="N1987" s="345"/>
      <c r="O1987" s="310"/>
      <c r="P1987" s="356"/>
      <c r="R1987" s="348" t="str">
        <f t="shared" si="143"/>
        <v>DELETE</v>
      </c>
    </row>
    <row r="1988" spans="2:23" ht="36" customHeight="1" x14ac:dyDescent="0.5">
      <c r="B1988" s="316"/>
      <c r="C1988" s="450"/>
      <c r="D1988" s="450"/>
      <c r="E1988" s="450"/>
      <c r="F1988" s="450"/>
      <c r="G1988" s="450"/>
      <c r="H1988" s="450"/>
      <c r="I1988" s="450"/>
      <c r="J1988" s="450"/>
      <c r="M1988" s="371"/>
      <c r="N1988" s="371"/>
      <c r="O1988" s="310" t="s">
        <v>89</v>
      </c>
      <c r="P1988" s="356"/>
      <c r="Q1988" s="292">
        <f>MAX($Q$105:Q1987)+1</f>
        <v>54</v>
      </c>
      <c r="R1988" s="348" t="str">
        <f t="shared" si="143"/>
        <v>DELETE</v>
      </c>
    </row>
    <row r="1989" spans="2:23" ht="36" customHeight="1" x14ac:dyDescent="0.5">
      <c r="B1989" s="316"/>
      <c r="C1989" s="450"/>
      <c r="D1989" s="456" t="str">
        <f>Criteria!E9</f>
        <v>HOLDING COMPANY 268 (PROPRIETARY) LIMITED</v>
      </c>
      <c r="E1989" s="450"/>
      <c r="F1989" s="450"/>
      <c r="G1989" s="450"/>
      <c r="H1989" s="450"/>
      <c r="I1989" s="450"/>
      <c r="J1989" s="450"/>
      <c r="M1989" s="371"/>
      <c r="N1989" s="371"/>
      <c r="O1989" s="356"/>
      <c r="P1989" s="356"/>
      <c r="R1989" s="348" t="str">
        <f t="shared" si="143"/>
        <v>DELETE</v>
      </c>
    </row>
    <row r="1990" spans="2:23" ht="36" customHeight="1" x14ac:dyDescent="0.5">
      <c r="B1990" s="316"/>
      <c r="C1990" s="450"/>
      <c r="D1990" s="456" t="str">
        <f>Criteria!E10</f>
        <v>CONSOLIDATED FINANCIAL STATEMENTS</v>
      </c>
      <c r="E1990" s="450"/>
      <c r="F1990" s="450"/>
      <c r="G1990" s="450"/>
      <c r="H1990" s="450"/>
      <c r="I1990" s="450"/>
      <c r="J1990" s="450"/>
      <c r="M1990" s="371"/>
      <c r="N1990" s="371"/>
      <c r="O1990" s="371"/>
      <c r="P1990" s="356"/>
      <c r="R1990" s="348" t="str">
        <f>IF(R$1981="DELETE","DELETE",IF(D1990=0,"DELETE"," "))</f>
        <v>DELETE</v>
      </c>
    </row>
    <row r="1991" spans="2:23" ht="36" customHeight="1" x14ac:dyDescent="0.5">
      <c r="B1991" s="316"/>
      <c r="C1991" s="450"/>
      <c r="D1991" s="450"/>
      <c r="E1991" s="450"/>
      <c r="F1991" s="450"/>
      <c r="G1991" s="450"/>
      <c r="H1991" s="450"/>
      <c r="I1991" s="450"/>
      <c r="J1991" s="450"/>
      <c r="M1991" s="371"/>
      <c r="N1991" s="371"/>
      <c r="O1991" s="371"/>
      <c r="P1991" s="356"/>
      <c r="R1991" s="348" t="str">
        <f t="shared" si="143"/>
        <v>DELETE</v>
      </c>
    </row>
    <row r="1992" spans="2:23" ht="36" customHeight="1" x14ac:dyDescent="0.5">
      <c r="B1992" s="316"/>
      <c r="C1992" s="450"/>
      <c r="D1992" s="456" t="s">
        <v>351</v>
      </c>
      <c r="E1992" s="450"/>
      <c r="F1992" s="450"/>
      <c r="G1992" s="450"/>
      <c r="H1992" s="450"/>
      <c r="I1992" s="450"/>
      <c r="J1992" s="450"/>
      <c r="M1992" s="371"/>
      <c r="N1992" s="371"/>
      <c r="O1992" s="371"/>
      <c r="P1992" s="356"/>
      <c r="R1992" s="348" t="str">
        <f t="shared" si="143"/>
        <v>DELETE</v>
      </c>
    </row>
    <row r="1993" spans="2:23" ht="36" customHeight="1" x14ac:dyDescent="0.5">
      <c r="B1993" s="316"/>
      <c r="C1993" s="450"/>
      <c r="D1993" s="456" t="str">
        <f>Criteria!E20</f>
        <v>28 FEBRUARY 2025</v>
      </c>
      <c r="E1993" s="450"/>
      <c r="F1993" s="450"/>
      <c r="G1993" s="450"/>
      <c r="H1993" s="450"/>
      <c r="I1993" s="450"/>
      <c r="J1993" s="450" t="s">
        <v>231</v>
      </c>
      <c r="M1993" s="371"/>
      <c r="N1993" s="371"/>
      <c r="O1993" s="371"/>
      <c r="P1993" s="356"/>
      <c r="R1993" s="348" t="str">
        <f t="shared" si="143"/>
        <v>DELETE</v>
      </c>
    </row>
    <row r="1994" spans="2:23" ht="36" customHeight="1" x14ac:dyDescent="0.5">
      <c r="B1994" s="316"/>
      <c r="C1994" s="450"/>
      <c r="D1994" s="459"/>
      <c r="E1994" s="450"/>
      <c r="F1994" s="450"/>
      <c r="G1994" s="450"/>
      <c r="H1994" s="450"/>
      <c r="I1994" s="450"/>
      <c r="J1994" s="450"/>
      <c r="L1994" s="350"/>
      <c r="M1994" s="350"/>
      <c r="N1994" s="345"/>
      <c r="O1994" s="310"/>
      <c r="P1994" s="356"/>
      <c r="R1994" s="348" t="str">
        <f t="shared" si="143"/>
        <v>DELETE</v>
      </c>
    </row>
    <row r="1995" spans="2:23" ht="36" customHeight="1" x14ac:dyDescent="0.5">
      <c r="B1995" s="447"/>
      <c r="C1995" s="460"/>
      <c r="D1995" s="472"/>
      <c r="E1995" s="460"/>
      <c r="F1995" s="460"/>
      <c r="G1995" s="460"/>
      <c r="H1995" s="460"/>
      <c r="I1995" s="460"/>
      <c r="J1995" s="460"/>
      <c r="K1995" s="364"/>
      <c r="L1995" s="396"/>
      <c r="M1995" s="396"/>
      <c r="N1995" s="364"/>
      <c r="O1995" s="297"/>
      <c r="P1995" s="367"/>
      <c r="Q1995" s="364"/>
      <c r="R1995" s="348" t="str">
        <f t="shared" si="143"/>
        <v>DELETE</v>
      </c>
    </row>
    <row r="1996" spans="2:23" ht="36" customHeight="1" x14ac:dyDescent="0.5">
      <c r="B1996" s="316"/>
      <c r="C1996" s="450"/>
      <c r="D1996" s="459"/>
      <c r="E1996" s="450"/>
      <c r="F1996" s="450"/>
      <c r="G1996" s="450"/>
      <c r="H1996" s="450"/>
      <c r="I1996" s="450"/>
      <c r="J1996" s="450"/>
      <c r="L1996" s="350"/>
      <c r="M1996" s="350"/>
      <c r="N1996" s="345"/>
      <c r="O1996" s="395">
        <f>Criteria!E22</f>
        <v>2025</v>
      </c>
      <c r="P1996" s="356"/>
      <c r="R1996" s="348" t="str">
        <f t="shared" si="143"/>
        <v>DELETE</v>
      </c>
    </row>
    <row r="1997" spans="2:23" ht="36" customHeight="1" x14ac:dyDescent="0.5">
      <c r="B1997" s="316"/>
      <c r="C1997" s="450"/>
      <c r="D1997" s="459"/>
      <c r="E1997" s="450"/>
      <c r="F1997" s="450"/>
      <c r="G1997" s="450"/>
      <c r="H1997" s="450"/>
      <c r="I1997" s="450"/>
      <c r="J1997" s="450"/>
      <c r="L1997" s="350"/>
      <c r="M1997" s="350"/>
      <c r="N1997" s="345"/>
      <c r="O1997" s="310"/>
      <c r="P1997" s="356"/>
      <c r="R1997" s="348" t="str">
        <f t="shared" si="143"/>
        <v>DELETE</v>
      </c>
    </row>
    <row r="1998" spans="2:23" ht="36" customHeight="1" x14ac:dyDescent="0.5">
      <c r="B1998" s="316"/>
      <c r="C1998" s="456" t="s">
        <v>1069</v>
      </c>
      <c r="D1998" s="459"/>
      <c r="E1998" s="450"/>
      <c r="F1998" s="450"/>
      <c r="G1998" s="450"/>
      <c r="H1998" s="450"/>
      <c r="I1998" s="450"/>
      <c r="J1998" s="450"/>
      <c r="L1998" s="350"/>
      <c r="M1998" s="350"/>
      <c r="N1998" s="345"/>
      <c r="O1998" s="310"/>
      <c r="P1998" s="356"/>
      <c r="R1998" s="348" t="str">
        <f t="shared" si="143"/>
        <v>DELETE</v>
      </c>
    </row>
    <row r="1999" spans="2:23" ht="36" customHeight="1" x14ac:dyDescent="0.5">
      <c r="B1999" s="316"/>
      <c r="C1999" s="456"/>
      <c r="D1999" s="459"/>
      <c r="E1999" s="450"/>
      <c r="F1999" s="450"/>
      <c r="G1999" s="450"/>
      <c r="H1999" s="450"/>
      <c r="I1999" s="450"/>
      <c r="J1999" s="450"/>
      <c r="L1999" s="350"/>
      <c r="M1999" s="350"/>
      <c r="N1999" s="345"/>
      <c r="O1999" s="310"/>
      <c r="P1999" s="356"/>
      <c r="R1999" s="348" t="str">
        <f t="shared" si="143"/>
        <v>DELETE</v>
      </c>
    </row>
    <row r="2000" spans="2:23" ht="36" customHeight="1" x14ac:dyDescent="0.5">
      <c r="B2000" s="316"/>
      <c r="C2000" s="473" t="str">
        <f>IF(W2000=2,"Deferred tax liability at the beginning of the year","Deferred tax asset at the beginning of the year")</f>
        <v>Deferred tax liability at the beginning of the year</v>
      </c>
      <c r="D2000" s="459"/>
      <c r="E2000" s="450"/>
      <c r="F2000" s="450"/>
      <c r="G2000" s="450"/>
      <c r="H2000" s="450"/>
      <c r="I2000" s="450"/>
      <c r="J2000" s="450"/>
      <c r="L2000" s="350"/>
      <c r="M2000" s="350"/>
      <c r="N2000" s="345"/>
      <c r="O2000" s="310">
        <f>SUM(S2002:S2005)</f>
        <v>0</v>
      </c>
      <c r="P2000" s="356"/>
      <c r="R2000" s="348" t="str">
        <f t="shared" si="143"/>
        <v>DELETE</v>
      </c>
      <c r="W2000" s="331">
        <f>IF(O2000&lt;0,1,2)</f>
        <v>2</v>
      </c>
    </row>
    <row r="2001" spans="2:19" ht="9" customHeight="1" x14ac:dyDescent="0.5">
      <c r="B2001" s="316"/>
      <c r="C2001" s="473"/>
      <c r="D2001" s="459"/>
      <c r="E2001" s="450"/>
      <c r="F2001" s="450"/>
      <c r="G2001" s="450"/>
      <c r="H2001" s="450"/>
      <c r="I2001" s="450"/>
      <c r="J2001" s="450"/>
      <c r="M2001" s="310"/>
      <c r="N2001" s="310"/>
      <c r="O2001" s="310"/>
      <c r="P2001" s="356"/>
      <c r="R2001" s="348" t="str">
        <f>R$2000</f>
        <v>DELETE</v>
      </c>
    </row>
    <row r="2002" spans="2:19" ht="9" customHeight="1" x14ac:dyDescent="0.5">
      <c r="B2002" s="316"/>
      <c r="C2002" s="473"/>
      <c r="D2002" s="459"/>
      <c r="E2002" s="450"/>
      <c r="F2002" s="450"/>
      <c r="G2002" s="450"/>
      <c r="H2002" s="450"/>
      <c r="I2002" s="450"/>
      <c r="J2002" s="450"/>
      <c r="M2002" s="310"/>
      <c r="N2002" s="310"/>
      <c r="O2002" s="407"/>
      <c r="P2002" s="356"/>
      <c r="R2002" s="348" t="str">
        <f>R$2000</f>
        <v>DELETE</v>
      </c>
    </row>
    <row r="2003" spans="2:19" ht="36" customHeight="1" x14ac:dyDescent="0.5">
      <c r="B2003" s="316"/>
      <c r="C2003" s="450" t="s">
        <v>1010</v>
      </c>
      <c r="D2003" s="459"/>
      <c r="E2003" s="459"/>
      <c r="F2003" s="450"/>
      <c r="G2003" s="450"/>
      <c r="H2003" s="450"/>
      <c r="I2003" s="450"/>
      <c r="J2003" s="450"/>
      <c r="M2003" s="310"/>
      <c r="N2003" s="310"/>
      <c r="O2003" s="408">
        <f>-TrialBalance!L221</f>
        <v>0</v>
      </c>
      <c r="P2003" s="356"/>
      <c r="R2003" s="348" t="str">
        <f>IF(R1981="DELETE","DELETE",IF(R2004="DELETE"," ",IF(O2003=0,"DELETE"," ")))</f>
        <v>DELETE</v>
      </c>
      <c r="S2003" s="333">
        <f>O2003</f>
        <v>0</v>
      </c>
    </row>
    <row r="2004" spans="2:19" ht="36" customHeight="1" x14ac:dyDescent="0.5">
      <c r="B2004" s="316"/>
      <c r="C2004" s="450" t="s">
        <v>704</v>
      </c>
      <c r="D2004" s="459"/>
      <c r="E2004" s="459"/>
      <c r="F2004" s="450"/>
      <c r="G2004" s="450"/>
      <c r="H2004" s="450"/>
      <c r="I2004" s="450"/>
      <c r="J2004" s="450"/>
      <c r="M2004" s="310"/>
      <c r="N2004" s="310"/>
      <c r="O2004" s="408">
        <f>-TrialBalance!L222</f>
        <v>0</v>
      </c>
      <c r="P2004" s="356"/>
      <c r="R2004" s="348" t="str">
        <f>IF(R1981="DELETE","DELETE",IF(O2004=0,"DELETE"," "))</f>
        <v>DELETE</v>
      </c>
      <c r="S2004" s="333">
        <f>O2004</f>
        <v>0</v>
      </c>
    </row>
    <row r="2005" spans="2:19" ht="9" customHeight="1" x14ac:dyDescent="0.5">
      <c r="B2005" s="316"/>
      <c r="C2005" s="473"/>
      <c r="D2005" s="459"/>
      <c r="E2005" s="450"/>
      <c r="F2005" s="450"/>
      <c r="G2005" s="450"/>
      <c r="H2005" s="450"/>
      <c r="I2005" s="450"/>
      <c r="J2005" s="450"/>
      <c r="M2005" s="310"/>
      <c r="N2005" s="310"/>
      <c r="O2005" s="409"/>
      <c r="P2005" s="356"/>
      <c r="R2005" s="348" t="str">
        <f t="shared" ref="R2005:R2006" si="144">R$2000</f>
        <v>DELETE</v>
      </c>
    </row>
    <row r="2006" spans="2:19" ht="9" customHeight="1" x14ac:dyDescent="0.5">
      <c r="B2006" s="316"/>
      <c r="C2006" s="473"/>
      <c r="D2006" s="459"/>
      <c r="E2006" s="450"/>
      <c r="F2006" s="450"/>
      <c r="G2006" s="450"/>
      <c r="H2006" s="450"/>
      <c r="I2006" s="450"/>
      <c r="J2006" s="450"/>
      <c r="M2006" s="310"/>
      <c r="N2006" s="310"/>
      <c r="O2006" s="310"/>
      <c r="P2006" s="356"/>
      <c r="R2006" s="348" t="str">
        <f t="shared" si="144"/>
        <v>DELETE</v>
      </c>
    </row>
    <row r="2007" spans="2:19" ht="36.75" customHeight="1" x14ac:dyDescent="0.5">
      <c r="B2007" s="316"/>
      <c r="C2007" s="473" t="s">
        <v>962</v>
      </c>
      <c r="D2007" s="459"/>
      <c r="E2007" s="450"/>
      <c r="F2007" s="450"/>
      <c r="G2007" s="450"/>
      <c r="H2007" s="450"/>
      <c r="I2007" s="450"/>
      <c r="J2007" s="450"/>
      <c r="M2007" s="310"/>
      <c r="N2007" s="310"/>
      <c r="O2007" s="310">
        <f>SUM(S2009:S2012)</f>
        <v>0</v>
      </c>
      <c r="P2007" s="356"/>
      <c r="R2007" s="348" t="str">
        <f>IF(O2007=0,"DELETE"," ")</f>
        <v>DELETE</v>
      </c>
    </row>
    <row r="2008" spans="2:19" ht="9" customHeight="1" x14ac:dyDescent="0.5">
      <c r="B2008" s="316"/>
      <c r="C2008" s="473"/>
      <c r="D2008" s="459"/>
      <c r="E2008" s="450"/>
      <c r="F2008" s="450"/>
      <c r="G2008" s="450"/>
      <c r="H2008" s="450"/>
      <c r="I2008" s="450"/>
      <c r="J2008" s="450"/>
      <c r="M2008" s="310"/>
      <c r="N2008" s="310"/>
      <c r="O2008" s="310"/>
      <c r="P2008" s="356"/>
      <c r="R2008" s="348" t="str">
        <f>R$2007</f>
        <v>DELETE</v>
      </c>
    </row>
    <row r="2009" spans="2:19" ht="9" customHeight="1" x14ac:dyDescent="0.5">
      <c r="B2009" s="316"/>
      <c r="C2009" s="473"/>
      <c r="D2009" s="459"/>
      <c r="E2009" s="450"/>
      <c r="F2009" s="450"/>
      <c r="G2009" s="450"/>
      <c r="H2009" s="450"/>
      <c r="I2009" s="450"/>
      <c r="J2009" s="450"/>
      <c r="M2009" s="310"/>
      <c r="N2009" s="310"/>
      <c r="O2009" s="407"/>
      <c r="P2009" s="356"/>
      <c r="R2009" s="348" t="str">
        <f>R$2007</f>
        <v>DELETE</v>
      </c>
    </row>
    <row r="2010" spans="2:19" ht="36" customHeight="1" x14ac:dyDescent="0.5">
      <c r="B2010" s="316"/>
      <c r="C2010" s="450" t="s">
        <v>1010</v>
      </c>
      <c r="D2010" s="459"/>
      <c r="E2010" s="459"/>
      <c r="F2010" s="450"/>
      <c r="G2010" s="450"/>
      <c r="H2010" s="450"/>
      <c r="I2010" s="450"/>
      <c r="J2010" s="450"/>
      <c r="M2010" s="310"/>
      <c r="N2010" s="310"/>
      <c r="O2010" s="408">
        <f>-TrialBalance!L223</f>
        <v>0</v>
      </c>
      <c r="P2010" s="356"/>
      <c r="R2010" s="348" t="str">
        <f>IF(O2010=0,"DELETE"," ")</f>
        <v>DELETE</v>
      </c>
      <c r="S2010" s="333">
        <f>O2010</f>
        <v>0</v>
      </c>
    </row>
    <row r="2011" spans="2:19" ht="36" customHeight="1" x14ac:dyDescent="0.5">
      <c r="B2011" s="316"/>
      <c r="C2011" s="450" t="s">
        <v>704</v>
      </c>
      <c r="D2011" s="459"/>
      <c r="E2011" s="459"/>
      <c r="F2011" s="450"/>
      <c r="G2011" s="450"/>
      <c r="H2011" s="450"/>
      <c r="I2011" s="450"/>
      <c r="J2011" s="450"/>
      <c r="M2011" s="310"/>
      <c r="N2011" s="310"/>
      <c r="O2011" s="408">
        <f>-TrialBalance!L224</f>
        <v>0</v>
      </c>
      <c r="P2011" s="356"/>
      <c r="R2011" s="348" t="str">
        <f>IF(O2011=0,"DELETE"," ")</f>
        <v>DELETE</v>
      </c>
      <c r="S2011" s="333">
        <f>O2011</f>
        <v>0</v>
      </c>
    </row>
    <row r="2012" spans="2:19" ht="9" customHeight="1" x14ac:dyDescent="0.5">
      <c r="B2012" s="316"/>
      <c r="C2012" s="473"/>
      <c r="D2012" s="459"/>
      <c r="E2012" s="450"/>
      <c r="F2012" s="450"/>
      <c r="G2012" s="450"/>
      <c r="H2012" s="450"/>
      <c r="I2012" s="450"/>
      <c r="J2012" s="450"/>
      <c r="M2012" s="310"/>
      <c r="N2012" s="310"/>
      <c r="O2012" s="409"/>
      <c r="P2012" s="356"/>
      <c r="R2012" s="348" t="str">
        <f t="shared" ref="R2012:R2013" si="145">R$2007</f>
        <v>DELETE</v>
      </c>
    </row>
    <row r="2013" spans="2:19" ht="9" customHeight="1" x14ac:dyDescent="0.5">
      <c r="B2013" s="316"/>
      <c r="C2013" s="473"/>
      <c r="D2013" s="459"/>
      <c r="E2013" s="450"/>
      <c r="F2013" s="450"/>
      <c r="G2013" s="450"/>
      <c r="H2013" s="450"/>
      <c r="I2013" s="450"/>
      <c r="J2013" s="450"/>
      <c r="M2013" s="310"/>
      <c r="N2013" s="310"/>
      <c r="O2013" s="310"/>
      <c r="P2013" s="356"/>
      <c r="R2013" s="348" t="str">
        <f t="shared" si="145"/>
        <v>DELETE</v>
      </c>
    </row>
    <row r="2014" spans="2:19" ht="36.75" customHeight="1" x14ac:dyDescent="0.5">
      <c r="B2014" s="316"/>
      <c r="C2014" s="473" t="s">
        <v>788</v>
      </c>
      <c r="D2014" s="459"/>
      <c r="E2014" s="450"/>
      <c r="F2014" s="450"/>
      <c r="G2014" s="450"/>
      <c r="H2014" s="450"/>
      <c r="I2014" s="450"/>
      <c r="J2014" s="450"/>
      <c r="M2014" s="391"/>
      <c r="N2014" s="391"/>
      <c r="O2014" s="310">
        <f>SUM(S2016:S2019)</f>
        <v>0</v>
      </c>
      <c r="P2014" s="356"/>
      <c r="R2014" s="348" t="str">
        <f>IF(O2014=0,"DELETE"," ")</f>
        <v>DELETE</v>
      </c>
    </row>
    <row r="2015" spans="2:19" ht="9" customHeight="1" x14ac:dyDescent="0.5">
      <c r="B2015" s="316"/>
      <c r="C2015" s="473"/>
      <c r="D2015" s="459"/>
      <c r="E2015" s="450"/>
      <c r="F2015" s="450"/>
      <c r="G2015" s="450"/>
      <c r="H2015" s="450"/>
      <c r="I2015" s="450"/>
      <c r="J2015" s="450"/>
      <c r="M2015" s="391"/>
      <c r="N2015" s="391"/>
      <c r="O2015" s="391"/>
      <c r="P2015" s="356"/>
      <c r="R2015" s="348" t="str">
        <f>R$2014</f>
        <v>DELETE</v>
      </c>
    </row>
    <row r="2016" spans="2:19" ht="9" customHeight="1" x14ac:dyDescent="0.5">
      <c r="B2016" s="316"/>
      <c r="C2016" s="473"/>
      <c r="D2016" s="459"/>
      <c r="E2016" s="450"/>
      <c r="F2016" s="450"/>
      <c r="G2016" s="450"/>
      <c r="H2016" s="450"/>
      <c r="I2016" s="450"/>
      <c r="J2016" s="450"/>
      <c r="M2016" s="391"/>
      <c r="N2016" s="391"/>
      <c r="O2016" s="423"/>
      <c r="P2016" s="356"/>
      <c r="R2016" s="348" t="str">
        <f>R$2014</f>
        <v>DELETE</v>
      </c>
    </row>
    <row r="2017" spans="2:23" ht="36" customHeight="1" x14ac:dyDescent="0.5">
      <c r="B2017" s="316"/>
      <c r="C2017" s="450" t="s">
        <v>1010</v>
      </c>
      <c r="D2017" s="459"/>
      <c r="E2017" s="459"/>
      <c r="F2017" s="450"/>
      <c r="G2017" s="450"/>
      <c r="H2017" s="450"/>
      <c r="I2017" s="450"/>
      <c r="J2017" s="450"/>
      <c r="M2017" s="391"/>
      <c r="N2017" s="391"/>
      <c r="O2017" s="410">
        <f>-TrialBalance!L225</f>
        <v>0</v>
      </c>
      <c r="P2017" s="356"/>
      <c r="R2017" s="348" t="str">
        <f t="shared" ref="R2017:R2018" si="146">IF(O2017=0,"DELETE"," ")</f>
        <v>DELETE</v>
      </c>
      <c r="S2017" s="333">
        <f>O2017</f>
        <v>0</v>
      </c>
    </row>
    <row r="2018" spans="2:23" ht="36" customHeight="1" x14ac:dyDescent="0.5">
      <c r="B2018" s="316"/>
      <c r="C2018" s="450" t="s">
        <v>704</v>
      </c>
      <c r="D2018" s="459"/>
      <c r="E2018" s="459"/>
      <c r="F2018" s="450"/>
      <c r="G2018" s="450"/>
      <c r="H2018" s="450"/>
      <c r="I2018" s="450"/>
      <c r="J2018" s="450"/>
      <c r="M2018" s="391"/>
      <c r="N2018" s="391"/>
      <c r="O2018" s="410">
        <f>-TrialBalance!L226</f>
        <v>0</v>
      </c>
      <c r="P2018" s="356"/>
      <c r="R2018" s="348" t="str">
        <f t="shared" si="146"/>
        <v>DELETE</v>
      </c>
      <c r="S2018" s="333">
        <f>O2018</f>
        <v>0</v>
      </c>
    </row>
    <row r="2019" spans="2:23" ht="9" customHeight="1" x14ac:dyDescent="0.5">
      <c r="B2019" s="316"/>
      <c r="C2019" s="473"/>
      <c r="D2019" s="459"/>
      <c r="E2019" s="450"/>
      <c r="F2019" s="450"/>
      <c r="G2019" s="450"/>
      <c r="H2019" s="450"/>
      <c r="I2019" s="450"/>
      <c r="J2019" s="450"/>
      <c r="M2019" s="391"/>
      <c r="N2019" s="391"/>
      <c r="O2019" s="424"/>
      <c r="P2019" s="356"/>
      <c r="R2019" s="348" t="str">
        <f t="shared" ref="R2019:R2020" si="147">R$2014</f>
        <v>DELETE</v>
      </c>
    </row>
    <row r="2020" spans="2:23" ht="9" customHeight="1" x14ac:dyDescent="0.5">
      <c r="B2020" s="316"/>
      <c r="C2020" s="473"/>
      <c r="D2020" s="459"/>
      <c r="E2020" s="450"/>
      <c r="F2020" s="450"/>
      <c r="G2020" s="450"/>
      <c r="H2020" s="450"/>
      <c r="I2020" s="450"/>
      <c r="J2020" s="450"/>
      <c r="M2020" s="391"/>
      <c r="N2020" s="391"/>
      <c r="O2020" s="391"/>
      <c r="P2020" s="356"/>
      <c r="R2020" s="348" t="str">
        <f t="shared" si="147"/>
        <v>DELETE</v>
      </c>
    </row>
    <row r="2021" spans="2:23" ht="36.75" customHeight="1" x14ac:dyDescent="0.5">
      <c r="B2021" s="316"/>
      <c r="C2021" s="473" t="s">
        <v>789</v>
      </c>
      <c r="D2021" s="459"/>
      <c r="E2021" s="450"/>
      <c r="F2021" s="450"/>
      <c r="G2021" s="450"/>
      <c r="H2021" s="450"/>
      <c r="I2021" s="450"/>
      <c r="J2021" s="450"/>
      <c r="M2021" s="391"/>
      <c r="N2021" s="391"/>
      <c r="O2021" s="310">
        <f>SUM(S2023:S2026)</f>
        <v>0</v>
      </c>
      <c r="P2021" s="356"/>
      <c r="R2021" s="348" t="str">
        <f>IF(O2021=0,"DELETE"," ")</f>
        <v>DELETE</v>
      </c>
    </row>
    <row r="2022" spans="2:23" ht="9" customHeight="1" x14ac:dyDescent="0.5">
      <c r="B2022" s="316"/>
      <c r="C2022" s="473"/>
      <c r="D2022" s="459"/>
      <c r="E2022" s="450"/>
      <c r="F2022" s="450"/>
      <c r="G2022" s="450"/>
      <c r="H2022" s="450"/>
      <c r="I2022" s="450"/>
      <c r="J2022" s="450"/>
      <c r="M2022" s="391"/>
      <c r="N2022" s="391"/>
      <c r="O2022" s="391"/>
      <c r="P2022" s="356"/>
      <c r="R2022" s="348" t="str">
        <f>R$2021</f>
        <v>DELETE</v>
      </c>
    </row>
    <row r="2023" spans="2:23" ht="9" customHeight="1" x14ac:dyDescent="0.5">
      <c r="B2023" s="316"/>
      <c r="C2023" s="473"/>
      <c r="D2023" s="459"/>
      <c r="E2023" s="450"/>
      <c r="F2023" s="450"/>
      <c r="G2023" s="450"/>
      <c r="H2023" s="450"/>
      <c r="I2023" s="450"/>
      <c r="J2023" s="450"/>
      <c r="M2023" s="391"/>
      <c r="N2023" s="391"/>
      <c r="O2023" s="423"/>
      <c r="P2023" s="356"/>
      <c r="R2023" s="348" t="str">
        <f>R$2021</f>
        <v>DELETE</v>
      </c>
    </row>
    <row r="2024" spans="2:23" ht="36" customHeight="1" x14ac:dyDescent="0.5">
      <c r="B2024" s="316"/>
      <c r="C2024" s="450" t="s">
        <v>1010</v>
      </c>
      <c r="D2024" s="459"/>
      <c r="E2024" s="459"/>
      <c r="F2024" s="450"/>
      <c r="G2024" s="450"/>
      <c r="H2024" s="450"/>
      <c r="I2024" s="450"/>
      <c r="J2024" s="450"/>
      <c r="M2024" s="391"/>
      <c r="N2024" s="391"/>
      <c r="O2024" s="410">
        <f>-TrialBalance!L227</f>
        <v>0</v>
      </c>
      <c r="P2024" s="356"/>
      <c r="R2024" s="348" t="str">
        <f t="shared" ref="R2024:R2025" si="148">IF(O2024=0,"DELETE"," ")</f>
        <v>DELETE</v>
      </c>
      <c r="S2024" s="333">
        <f>O2024</f>
        <v>0</v>
      </c>
    </row>
    <row r="2025" spans="2:23" ht="36" customHeight="1" x14ac:dyDescent="0.5">
      <c r="B2025" s="316"/>
      <c r="C2025" s="450" t="s">
        <v>704</v>
      </c>
      <c r="D2025" s="459"/>
      <c r="E2025" s="459"/>
      <c r="F2025" s="450"/>
      <c r="G2025" s="450"/>
      <c r="H2025" s="450"/>
      <c r="I2025" s="450"/>
      <c r="J2025" s="450"/>
      <c r="M2025" s="391"/>
      <c r="N2025" s="391"/>
      <c r="O2025" s="410">
        <f>-TrialBalance!L228</f>
        <v>0</v>
      </c>
      <c r="P2025" s="356"/>
      <c r="R2025" s="348" t="str">
        <f t="shared" si="148"/>
        <v>DELETE</v>
      </c>
      <c r="S2025" s="333">
        <f>O2025</f>
        <v>0</v>
      </c>
    </row>
    <row r="2026" spans="2:23" ht="9" customHeight="1" x14ac:dyDescent="0.5">
      <c r="B2026" s="316"/>
      <c r="C2026" s="473"/>
      <c r="D2026" s="459"/>
      <c r="E2026" s="450"/>
      <c r="F2026" s="450"/>
      <c r="G2026" s="450"/>
      <c r="H2026" s="450"/>
      <c r="I2026" s="450"/>
      <c r="J2026" s="450"/>
      <c r="M2026" s="391"/>
      <c r="N2026" s="391"/>
      <c r="O2026" s="424"/>
      <c r="P2026" s="356"/>
      <c r="R2026" s="348" t="str">
        <f>R$2021</f>
        <v>DELETE</v>
      </c>
    </row>
    <row r="2027" spans="2:23" ht="9" customHeight="1" x14ac:dyDescent="0.5">
      <c r="B2027" s="316"/>
      <c r="C2027" s="450"/>
      <c r="D2027" s="459"/>
      <c r="E2027" s="450"/>
      <c r="F2027" s="450"/>
      <c r="G2027" s="450"/>
      <c r="H2027" s="450"/>
      <c r="I2027" s="450"/>
      <c r="J2027" s="450"/>
      <c r="L2027" s="350"/>
      <c r="M2027" s="350"/>
      <c r="N2027" s="345"/>
      <c r="O2027" s="298"/>
      <c r="P2027" s="356"/>
      <c r="R2027" s="348" t="str">
        <f t="shared" ref="R2027:R2032" si="149">R$1981</f>
        <v>DELETE</v>
      </c>
    </row>
    <row r="2028" spans="2:23" ht="9" customHeight="1" x14ac:dyDescent="0.5">
      <c r="B2028" s="316"/>
      <c r="C2028" s="450"/>
      <c r="D2028" s="459"/>
      <c r="E2028" s="450"/>
      <c r="F2028" s="450"/>
      <c r="G2028" s="450"/>
      <c r="H2028" s="450"/>
      <c r="I2028" s="450"/>
      <c r="J2028" s="450"/>
      <c r="L2028" s="350"/>
      <c r="M2028" s="350"/>
      <c r="N2028" s="345"/>
      <c r="O2028" s="310"/>
      <c r="P2028" s="356"/>
      <c r="R2028" s="348" t="str">
        <f t="shared" si="149"/>
        <v>DELETE</v>
      </c>
    </row>
    <row r="2029" spans="2:23" ht="36.75" customHeight="1" x14ac:dyDescent="0.5">
      <c r="B2029" s="316"/>
      <c r="C2029" s="473" t="str">
        <f>IF(W2029=2,"Deferred tax liability at the end of the year","Deferred tax asset at the end of the year")</f>
        <v>Deferred tax liability at the end of the year</v>
      </c>
      <c r="D2029" s="459"/>
      <c r="E2029" s="450"/>
      <c r="F2029" s="450"/>
      <c r="G2029" s="450"/>
      <c r="H2029" s="450"/>
      <c r="I2029" s="450"/>
      <c r="J2029" s="450"/>
      <c r="L2029" s="350"/>
      <c r="M2029" s="350"/>
      <c r="N2029" s="345"/>
      <c r="O2029" s="310">
        <f>SUM(S2002:S2026)</f>
        <v>0</v>
      </c>
      <c r="P2029" s="356"/>
      <c r="R2029" s="348" t="str">
        <f t="shared" si="149"/>
        <v>DELETE</v>
      </c>
      <c r="U2029" s="331" t="b">
        <f>O2029=SUM(O2032:O2035)</f>
        <v>1</v>
      </c>
      <c r="W2029" s="331">
        <f>IF(O2029&lt;0,1,2)</f>
        <v>2</v>
      </c>
    </row>
    <row r="2030" spans="2:23" ht="9" customHeight="1" thickBot="1" x14ac:dyDescent="0.55000000000000004">
      <c r="B2030" s="316"/>
      <c r="C2030" s="456"/>
      <c r="D2030" s="450"/>
      <c r="E2030" s="450"/>
      <c r="F2030" s="450"/>
      <c r="G2030" s="450"/>
      <c r="H2030" s="450"/>
      <c r="I2030" s="450"/>
      <c r="J2030" s="450"/>
      <c r="L2030" s="350"/>
      <c r="M2030" s="350"/>
      <c r="N2030" s="345"/>
      <c r="O2030" s="299"/>
      <c r="P2030" s="356"/>
      <c r="R2030" s="348" t="str">
        <f t="shared" si="149"/>
        <v>DELETE</v>
      </c>
    </row>
    <row r="2031" spans="2:23" ht="9" customHeight="1" thickTop="1" x14ac:dyDescent="0.5">
      <c r="B2031" s="316"/>
      <c r="C2031" s="456"/>
      <c r="D2031" s="450"/>
      <c r="E2031" s="450"/>
      <c r="F2031" s="450"/>
      <c r="G2031" s="450"/>
      <c r="H2031" s="450"/>
      <c r="I2031" s="450"/>
      <c r="J2031" s="450"/>
      <c r="L2031" s="350"/>
      <c r="M2031" s="350"/>
      <c r="N2031" s="345"/>
      <c r="O2031" s="310"/>
      <c r="P2031" s="356"/>
      <c r="R2031" s="348" t="str">
        <f t="shared" si="149"/>
        <v>DELETE</v>
      </c>
    </row>
    <row r="2032" spans="2:23" ht="9" customHeight="1" x14ac:dyDescent="0.5">
      <c r="B2032" s="316"/>
      <c r="C2032" s="456"/>
      <c r="D2032" s="450"/>
      <c r="E2032" s="450"/>
      <c r="F2032" s="450"/>
      <c r="G2032" s="450"/>
      <c r="H2032" s="450"/>
      <c r="I2032" s="450"/>
      <c r="J2032" s="450"/>
      <c r="L2032" s="350"/>
      <c r="M2032" s="350"/>
      <c r="N2032" s="345"/>
      <c r="O2032" s="407"/>
      <c r="P2032" s="356"/>
      <c r="R2032" s="348" t="str">
        <f t="shared" si="149"/>
        <v>DELETE</v>
      </c>
    </row>
    <row r="2033" spans="2:19" ht="36" customHeight="1" x14ac:dyDescent="0.5">
      <c r="B2033" s="316"/>
      <c r="C2033" s="450" t="s">
        <v>1010</v>
      </c>
      <c r="D2033" s="450"/>
      <c r="E2033" s="459"/>
      <c r="F2033" s="450"/>
      <c r="G2033" s="450"/>
      <c r="H2033" s="450"/>
      <c r="I2033" s="450"/>
      <c r="J2033" s="450"/>
      <c r="L2033" s="350"/>
      <c r="M2033" s="350"/>
      <c r="N2033" s="345"/>
      <c r="O2033" s="408">
        <f>-TrialBalance!L221-TrialBalance!L223-TrialBalance!L225-TrialBalance!L227</f>
        <v>0</v>
      </c>
      <c r="P2033" s="356"/>
      <c r="R2033" s="348" t="str">
        <f>IF(R1981="DELETE","DELETE",IF(R2034="DELETE"," ",IF(O2033=0,"DELETE"," ")))</f>
        <v>DELETE</v>
      </c>
      <c r="S2033" s="333">
        <f>O2033</f>
        <v>0</v>
      </c>
    </row>
    <row r="2034" spans="2:19" ht="36" customHeight="1" x14ac:dyDescent="0.5">
      <c r="B2034" s="316"/>
      <c r="C2034" s="450" t="s">
        <v>704</v>
      </c>
      <c r="D2034" s="450"/>
      <c r="E2034" s="459"/>
      <c r="F2034" s="450"/>
      <c r="G2034" s="450"/>
      <c r="H2034" s="450"/>
      <c r="I2034" s="450"/>
      <c r="J2034" s="450"/>
      <c r="L2034" s="350"/>
      <c r="M2034" s="350"/>
      <c r="N2034" s="345"/>
      <c r="O2034" s="408">
        <f>-TrialBalance!L222-TrialBalance!L224-TrialBalance!L226-TrialBalance!L228</f>
        <v>0</v>
      </c>
      <c r="P2034" s="356"/>
      <c r="R2034" s="348" t="str">
        <f>IF(R1981="DELETE","DELETE",IF(O2034=0,"DELETE"," "))</f>
        <v>DELETE</v>
      </c>
      <c r="S2034" s="333">
        <f>O2034</f>
        <v>0</v>
      </c>
    </row>
    <row r="2035" spans="2:19" ht="9" customHeight="1" x14ac:dyDescent="0.5">
      <c r="B2035" s="316"/>
      <c r="C2035" s="456"/>
      <c r="D2035" s="450"/>
      <c r="E2035" s="450"/>
      <c r="F2035" s="450"/>
      <c r="G2035" s="450"/>
      <c r="H2035" s="450"/>
      <c r="I2035" s="450"/>
      <c r="J2035" s="450"/>
      <c r="L2035" s="350"/>
      <c r="M2035" s="350"/>
      <c r="N2035" s="345"/>
      <c r="O2035" s="409"/>
      <c r="P2035" s="356"/>
      <c r="R2035" s="348" t="str">
        <f t="shared" ref="R2035:R2040" si="150">R$1981</f>
        <v>DELETE</v>
      </c>
    </row>
    <row r="2036" spans="2:19" ht="9" customHeight="1" x14ac:dyDescent="0.5">
      <c r="B2036" s="316"/>
      <c r="C2036" s="456"/>
      <c r="D2036" s="450"/>
      <c r="E2036" s="450"/>
      <c r="F2036" s="450"/>
      <c r="G2036" s="450"/>
      <c r="H2036" s="450"/>
      <c r="I2036" s="450"/>
      <c r="J2036" s="450"/>
      <c r="L2036" s="350"/>
      <c r="M2036" s="350"/>
      <c r="N2036" s="345"/>
      <c r="O2036" s="310"/>
      <c r="P2036" s="356"/>
      <c r="R2036" s="348" t="str">
        <f t="shared" si="150"/>
        <v>DELETE</v>
      </c>
    </row>
    <row r="2037" spans="2:19" ht="36" customHeight="1" x14ac:dyDescent="0.5">
      <c r="B2037" s="316"/>
      <c r="C2037" s="456"/>
      <c r="D2037" s="450"/>
      <c r="E2037" s="450"/>
      <c r="F2037" s="450"/>
      <c r="G2037" s="450"/>
      <c r="H2037" s="450"/>
      <c r="I2037" s="450"/>
      <c r="J2037" s="450"/>
      <c r="L2037" s="350"/>
      <c r="M2037" s="350"/>
      <c r="N2037" s="345"/>
      <c r="O2037" s="310"/>
      <c r="P2037" s="356"/>
      <c r="R2037" s="348" t="str">
        <f t="shared" si="150"/>
        <v>DELETE</v>
      </c>
    </row>
    <row r="2038" spans="2:19" ht="36" customHeight="1" x14ac:dyDescent="0.5">
      <c r="B2038" s="316"/>
      <c r="C2038" s="456"/>
      <c r="D2038" s="450"/>
      <c r="E2038" s="450"/>
      <c r="F2038" s="450"/>
      <c r="G2038" s="450"/>
      <c r="H2038" s="450"/>
      <c r="I2038" s="450"/>
      <c r="J2038" s="450"/>
      <c r="M2038" s="310"/>
      <c r="N2038" s="310"/>
      <c r="O2038" s="310"/>
      <c r="P2038" s="356"/>
      <c r="R2038" s="348" t="str">
        <f t="shared" si="150"/>
        <v>DELETE</v>
      </c>
    </row>
    <row r="2039" spans="2:19" ht="36" customHeight="1" x14ac:dyDescent="0.5">
      <c r="B2039" s="316"/>
      <c r="C2039" s="456"/>
      <c r="D2039" s="450"/>
      <c r="E2039" s="450"/>
      <c r="F2039" s="450"/>
      <c r="G2039" s="450"/>
      <c r="H2039" s="450"/>
      <c r="I2039" s="450"/>
      <c r="J2039" s="450"/>
      <c r="M2039" s="310"/>
      <c r="N2039" s="310"/>
      <c r="O2039" s="310"/>
      <c r="P2039" s="356"/>
      <c r="R2039" s="348" t="str">
        <f t="shared" si="150"/>
        <v>DELETE</v>
      </c>
    </row>
    <row r="2040" spans="2:19" ht="36" customHeight="1" x14ac:dyDescent="0.5">
      <c r="B2040" s="354"/>
      <c r="C2040" s="450"/>
      <c r="D2040" s="450"/>
      <c r="E2040" s="450"/>
      <c r="F2040" s="450"/>
      <c r="G2040" s="450"/>
      <c r="H2040" s="450"/>
      <c r="I2040" s="450"/>
      <c r="J2040" s="450"/>
      <c r="M2040" s="351"/>
      <c r="N2040" s="351"/>
      <c r="O2040" s="351"/>
      <c r="R2040" s="348" t="str">
        <f t="shared" si="150"/>
        <v>DELETE</v>
      </c>
    </row>
    <row r="2041" spans="2:19" ht="36" customHeight="1" x14ac:dyDescent="0.5">
      <c r="B2041" s="354"/>
      <c r="C2041" s="450"/>
      <c r="D2041" s="450"/>
      <c r="E2041" s="450"/>
      <c r="F2041" s="450"/>
      <c r="G2041" s="450"/>
      <c r="H2041" s="450"/>
      <c r="I2041" s="450"/>
      <c r="J2041" s="450"/>
      <c r="M2041" s="351"/>
      <c r="N2041" s="351"/>
      <c r="O2041" s="296" t="s">
        <v>89</v>
      </c>
      <c r="Q2041" s="292">
        <f>MAX($Q$105:Q2040)+1</f>
        <v>55</v>
      </c>
      <c r="R2041" s="348" t="str">
        <f>R$2061</f>
        <v>DELETE</v>
      </c>
    </row>
    <row r="2042" spans="2:19" ht="36" customHeight="1" x14ac:dyDescent="0.5">
      <c r="B2042" s="354"/>
      <c r="C2042" s="450"/>
      <c r="D2042" s="456" t="str">
        <f>Criteria!E9</f>
        <v>HOLDING COMPANY 268 (PROPRIETARY) LIMITED</v>
      </c>
      <c r="E2042" s="450"/>
      <c r="F2042" s="450"/>
      <c r="G2042" s="450"/>
      <c r="H2042" s="450"/>
      <c r="I2042" s="450"/>
      <c r="J2042" s="450"/>
      <c r="M2042" s="351"/>
      <c r="N2042" s="351"/>
      <c r="O2042" s="347"/>
      <c r="R2042" s="348" t="str">
        <f t="shared" ref="R2042:R2052" si="151">R$2061</f>
        <v>DELETE</v>
      </c>
    </row>
    <row r="2043" spans="2:19" ht="36" customHeight="1" x14ac:dyDescent="0.5">
      <c r="B2043" s="354"/>
      <c r="C2043" s="450"/>
      <c r="D2043" s="456" t="str">
        <f>Criteria!E10</f>
        <v>CONSOLIDATED FINANCIAL STATEMENTS</v>
      </c>
      <c r="E2043" s="450"/>
      <c r="F2043" s="450"/>
      <c r="G2043" s="450"/>
      <c r="H2043" s="450"/>
      <c r="I2043" s="450"/>
      <c r="J2043" s="450"/>
      <c r="M2043" s="351"/>
      <c r="N2043" s="351"/>
      <c r="O2043" s="351"/>
      <c r="R2043" s="348" t="str">
        <f>IF(R$2061="DELETE","DELETE",IF(D2043=0,"DELETE"," "))</f>
        <v>DELETE</v>
      </c>
    </row>
    <row r="2044" spans="2:19" ht="36" customHeight="1" x14ac:dyDescent="0.5">
      <c r="B2044" s="354"/>
      <c r="C2044" s="450"/>
      <c r="D2044" s="450"/>
      <c r="E2044" s="450"/>
      <c r="F2044" s="450"/>
      <c r="G2044" s="450"/>
      <c r="H2044" s="450"/>
      <c r="I2044" s="450"/>
      <c r="J2044" s="450"/>
      <c r="M2044" s="351"/>
      <c r="N2044" s="351"/>
      <c r="O2044" s="351"/>
      <c r="R2044" s="348" t="str">
        <f t="shared" si="151"/>
        <v>DELETE</v>
      </c>
    </row>
    <row r="2045" spans="2:19" ht="36" customHeight="1" x14ac:dyDescent="0.5">
      <c r="B2045" s="354"/>
      <c r="C2045" s="450"/>
      <c r="D2045" s="456" t="s">
        <v>351</v>
      </c>
      <c r="E2045" s="450"/>
      <c r="F2045" s="450"/>
      <c r="G2045" s="450"/>
      <c r="H2045" s="450"/>
      <c r="I2045" s="450"/>
      <c r="J2045" s="450"/>
      <c r="M2045" s="351"/>
      <c r="N2045" s="351"/>
      <c r="O2045" s="351"/>
      <c r="R2045" s="348" t="str">
        <f t="shared" si="151"/>
        <v>DELETE</v>
      </c>
    </row>
    <row r="2046" spans="2:19" ht="36" customHeight="1" x14ac:dyDescent="0.5">
      <c r="B2046" s="354"/>
      <c r="C2046" s="450"/>
      <c r="D2046" s="456" t="str">
        <f>Criteria!E20</f>
        <v>28 FEBRUARY 2025</v>
      </c>
      <c r="E2046" s="450"/>
      <c r="F2046" s="450"/>
      <c r="G2046" s="450"/>
      <c r="H2046" s="450"/>
      <c r="I2046" s="450"/>
      <c r="J2046" s="450" t="s">
        <v>231</v>
      </c>
      <c r="M2046" s="351"/>
      <c r="N2046" s="351"/>
      <c r="O2046" s="351"/>
      <c r="R2046" s="348" t="str">
        <f t="shared" si="151"/>
        <v>DELETE</v>
      </c>
    </row>
    <row r="2047" spans="2:19" ht="36" customHeight="1" x14ac:dyDescent="0.5">
      <c r="B2047" s="354"/>
      <c r="C2047" s="450"/>
      <c r="D2047" s="456"/>
      <c r="E2047" s="450"/>
      <c r="F2047" s="450"/>
      <c r="G2047" s="450"/>
      <c r="H2047" s="450"/>
      <c r="I2047" s="450"/>
      <c r="J2047" s="450"/>
      <c r="M2047" s="351"/>
      <c r="N2047" s="351"/>
      <c r="O2047" s="351"/>
      <c r="R2047" s="348" t="str">
        <f t="shared" si="151"/>
        <v>DELETE</v>
      </c>
    </row>
    <row r="2048" spans="2:19" ht="36" customHeight="1" x14ac:dyDescent="0.5">
      <c r="B2048" s="447"/>
      <c r="C2048" s="465"/>
      <c r="D2048" s="460"/>
      <c r="E2048" s="460"/>
      <c r="F2048" s="460"/>
      <c r="G2048" s="460"/>
      <c r="H2048" s="460"/>
      <c r="I2048" s="460"/>
      <c r="J2048" s="460"/>
      <c r="K2048" s="364"/>
      <c r="L2048" s="364"/>
      <c r="M2048" s="297"/>
      <c r="N2048" s="297"/>
      <c r="O2048" s="297"/>
      <c r="P2048" s="367"/>
      <c r="Q2048" s="364"/>
      <c r="R2048" s="348" t="str">
        <f t="shared" si="151"/>
        <v>DELETE</v>
      </c>
    </row>
    <row r="2049" spans="2:18" ht="36" customHeight="1" x14ac:dyDescent="0.5">
      <c r="B2049" s="316"/>
      <c r="C2049" s="456"/>
      <c r="D2049" s="450"/>
      <c r="E2049" s="450"/>
      <c r="F2049" s="450"/>
      <c r="G2049" s="450"/>
      <c r="H2049" s="450"/>
      <c r="I2049" s="450"/>
      <c r="J2049" s="450"/>
      <c r="L2049" s="350"/>
      <c r="M2049" s="350"/>
      <c r="N2049" s="345"/>
      <c r="O2049" s="294">
        <f>Criteria!E22</f>
        <v>2025</v>
      </c>
      <c r="R2049" s="348" t="str">
        <f t="shared" si="151"/>
        <v>DELETE</v>
      </c>
    </row>
    <row r="2050" spans="2:18" ht="36" customHeight="1" x14ac:dyDescent="0.5">
      <c r="B2050" s="316"/>
      <c r="C2050" s="456"/>
      <c r="D2050" s="450"/>
      <c r="E2050" s="450"/>
      <c r="F2050" s="450"/>
      <c r="G2050" s="450"/>
      <c r="H2050" s="450"/>
      <c r="I2050" s="450"/>
      <c r="J2050" s="450"/>
      <c r="L2050" s="350"/>
      <c r="M2050" s="350"/>
      <c r="N2050" s="345"/>
      <c r="O2050" s="296"/>
      <c r="R2050" s="348" t="str">
        <f t="shared" si="151"/>
        <v>DELETE</v>
      </c>
    </row>
    <row r="2051" spans="2:18" ht="36" customHeight="1" x14ac:dyDescent="0.5">
      <c r="B2051" s="316">
        <f>MAX(B$602:B2050)+1</f>
        <v>25</v>
      </c>
      <c r="C2051" s="456" t="s">
        <v>684</v>
      </c>
      <c r="D2051" s="450"/>
      <c r="E2051" s="450"/>
      <c r="F2051" s="450"/>
      <c r="G2051" s="450"/>
      <c r="H2051" s="450"/>
      <c r="I2051" s="450"/>
      <c r="J2051" s="450"/>
      <c r="L2051" s="350"/>
      <c r="M2051" s="350"/>
      <c r="N2051" s="345"/>
      <c r="O2051" s="296"/>
      <c r="R2051" s="348" t="str">
        <f t="shared" si="151"/>
        <v>DELETE</v>
      </c>
    </row>
    <row r="2052" spans="2:18" ht="36" customHeight="1" x14ac:dyDescent="0.5">
      <c r="B2052" s="316"/>
      <c r="C2052" s="456"/>
      <c r="D2052" s="450"/>
      <c r="E2052" s="450"/>
      <c r="F2052" s="450"/>
      <c r="G2052" s="450"/>
      <c r="H2052" s="450"/>
      <c r="I2052" s="450"/>
      <c r="J2052" s="450"/>
      <c r="L2052" s="350"/>
      <c r="M2052" s="350"/>
      <c r="N2052" s="345"/>
      <c r="O2052" s="296"/>
      <c r="R2052" s="348" t="str">
        <f t="shared" si="151"/>
        <v>DELETE</v>
      </c>
    </row>
    <row r="2053" spans="2:18" ht="36" customHeight="1" x14ac:dyDescent="0.5">
      <c r="B2053" s="316"/>
      <c r="C2053" s="450" t="s">
        <v>394</v>
      </c>
      <c r="D2053" s="459"/>
      <c r="E2053" s="450"/>
      <c r="F2053" s="450"/>
      <c r="G2053" s="450"/>
      <c r="H2053" s="450"/>
      <c r="I2053" s="450"/>
      <c r="J2053" s="450"/>
      <c r="L2053" s="350"/>
      <c r="M2053" s="350"/>
      <c r="N2053" s="345"/>
      <c r="O2053" s="296">
        <f>-TrialBalance!L380-TrialBalance!L379</f>
        <v>0</v>
      </c>
      <c r="R2053" s="348" t="str">
        <f t="shared" ref="R2053:R2058" si="152">IF(O2053=0,"DELETE"," ")</f>
        <v>DELETE</v>
      </c>
    </row>
    <row r="2054" spans="2:18" ht="36" customHeight="1" x14ac:dyDescent="0.5">
      <c r="B2054" s="316"/>
      <c r="C2054" s="450" t="s">
        <v>538</v>
      </c>
      <c r="D2054" s="459"/>
      <c r="E2054" s="450"/>
      <c r="F2054" s="450"/>
      <c r="G2054" s="450"/>
      <c r="H2054" s="450"/>
      <c r="I2054" s="450"/>
      <c r="J2054" s="450"/>
      <c r="L2054" s="350"/>
      <c r="M2054" s="350"/>
      <c r="N2054" s="345"/>
      <c r="O2054" s="296">
        <f>-TrialBalance!L381</f>
        <v>0</v>
      </c>
      <c r="R2054" s="348" t="str">
        <f t="shared" si="152"/>
        <v>DELETE</v>
      </c>
    </row>
    <row r="2055" spans="2:18" ht="36" customHeight="1" x14ac:dyDescent="0.5">
      <c r="B2055" s="316"/>
      <c r="C2055" s="450" t="s">
        <v>706</v>
      </c>
      <c r="D2055" s="459"/>
      <c r="E2055" s="450"/>
      <c r="F2055" s="450"/>
      <c r="G2055" s="450"/>
      <c r="H2055" s="450"/>
      <c r="I2055" s="450"/>
      <c r="J2055" s="450"/>
      <c r="L2055" s="350"/>
      <c r="M2055" s="350"/>
      <c r="N2055" s="345"/>
      <c r="O2055" s="296">
        <f>-TrialBalance!L382</f>
        <v>0</v>
      </c>
      <c r="R2055" s="348" t="str">
        <f t="shared" si="152"/>
        <v>DELETE</v>
      </c>
    </row>
    <row r="2056" spans="2:18" ht="36" customHeight="1" x14ac:dyDescent="0.5">
      <c r="B2056" s="316"/>
      <c r="C2056" s="450" t="s">
        <v>539</v>
      </c>
      <c r="D2056" s="459"/>
      <c r="E2056" s="450"/>
      <c r="F2056" s="450"/>
      <c r="G2056" s="450"/>
      <c r="H2056" s="450"/>
      <c r="I2056" s="450"/>
      <c r="J2056" s="450"/>
      <c r="L2056" s="350"/>
      <c r="M2056" s="350"/>
      <c r="N2056" s="345"/>
      <c r="O2056" s="296">
        <f>-TrialBalance!L383</f>
        <v>0</v>
      </c>
      <c r="R2056" s="348" t="str">
        <f t="shared" si="152"/>
        <v>DELETE</v>
      </c>
    </row>
    <row r="2057" spans="2:18" ht="36" customHeight="1" x14ac:dyDescent="0.5">
      <c r="B2057" s="316"/>
      <c r="C2057" s="450" t="s">
        <v>701</v>
      </c>
      <c r="D2057" s="459"/>
      <c r="E2057" s="450"/>
      <c r="F2057" s="450"/>
      <c r="G2057" s="450"/>
      <c r="H2057" s="450"/>
      <c r="I2057" s="450"/>
      <c r="J2057" s="450"/>
      <c r="L2057" s="350"/>
      <c r="M2057" s="350"/>
      <c r="N2057" s="345"/>
      <c r="O2057" s="296">
        <f>-TrialBalance!L384</f>
        <v>0</v>
      </c>
      <c r="R2057" s="348" t="str">
        <f t="shared" si="152"/>
        <v>DELETE</v>
      </c>
    </row>
    <row r="2058" spans="2:18" ht="36" customHeight="1" x14ac:dyDescent="0.5">
      <c r="B2058" s="316"/>
      <c r="C2058" s="450" t="s">
        <v>524</v>
      </c>
      <c r="D2058" s="459"/>
      <c r="E2058" s="450"/>
      <c r="F2058" s="450"/>
      <c r="G2058" s="450"/>
      <c r="H2058" s="450"/>
      <c r="I2058" s="450"/>
      <c r="J2058" s="450"/>
      <c r="L2058" s="350"/>
      <c r="M2058" s="350"/>
      <c r="N2058" s="345"/>
      <c r="O2058" s="296">
        <f>IF(TrialBalance!L399&lt;0,-TrialBalance!L399,0)</f>
        <v>0</v>
      </c>
      <c r="R2058" s="348" t="str">
        <f t="shared" si="152"/>
        <v>DELETE</v>
      </c>
    </row>
    <row r="2059" spans="2:18" ht="9" customHeight="1" x14ac:dyDescent="0.5">
      <c r="B2059" s="316"/>
      <c r="C2059" s="456"/>
      <c r="D2059" s="450"/>
      <c r="E2059" s="450"/>
      <c r="F2059" s="450"/>
      <c r="G2059" s="450"/>
      <c r="H2059" s="450"/>
      <c r="I2059" s="450"/>
      <c r="J2059" s="450"/>
      <c r="L2059" s="350"/>
      <c r="M2059" s="350"/>
      <c r="N2059" s="345"/>
      <c r="O2059" s="298"/>
      <c r="R2059" s="348" t="str">
        <f t="shared" ref="R2059:R2067" si="153">R$2061</f>
        <v>DELETE</v>
      </c>
    </row>
    <row r="2060" spans="2:18" ht="9" customHeight="1" x14ac:dyDescent="0.5">
      <c r="B2060" s="316"/>
      <c r="C2060" s="456"/>
      <c r="D2060" s="450"/>
      <c r="E2060" s="450"/>
      <c r="F2060" s="450"/>
      <c r="G2060" s="450"/>
      <c r="H2060" s="450"/>
      <c r="I2060" s="450"/>
      <c r="J2060" s="450"/>
      <c r="L2060" s="350"/>
      <c r="M2060" s="350"/>
      <c r="N2060" s="345"/>
      <c r="O2060" s="296"/>
      <c r="R2060" s="348" t="str">
        <f t="shared" si="153"/>
        <v>DELETE</v>
      </c>
    </row>
    <row r="2061" spans="2:18" ht="36.75" customHeight="1" x14ac:dyDescent="0.5">
      <c r="B2061" s="316"/>
      <c r="C2061" s="456"/>
      <c r="D2061" s="450"/>
      <c r="E2061" s="450"/>
      <c r="F2061" s="450"/>
      <c r="G2061" s="450"/>
      <c r="H2061" s="450"/>
      <c r="I2061" s="450"/>
      <c r="J2061" s="450"/>
      <c r="L2061" s="350"/>
      <c r="M2061" s="350"/>
      <c r="N2061" s="345"/>
      <c r="O2061" s="296">
        <f>SUM(O2053:O2060)</f>
        <v>0</v>
      </c>
      <c r="R2061" s="348" t="str">
        <f t="shared" ref="R2061" si="154">IF(O2061=0,"DELETE"," ")</f>
        <v>DELETE</v>
      </c>
    </row>
    <row r="2062" spans="2:18" ht="9" customHeight="1" thickBot="1" x14ac:dyDescent="0.55000000000000004">
      <c r="B2062" s="316"/>
      <c r="C2062" s="456"/>
      <c r="D2062" s="450"/>
      <c r="E2062" s="450"/>
      <c r="F2062" s="450"/>
      <c r="G2062" s="450"/>
      <c r="H2062" s="450"/>
      <c r="I2062" s="450"/>
      <c r="J2062" s="450"/>
      <c r="L2062" s="350"/>
      <c r="M2062" s="350"/>
      <c r="N2062" s="345"/>
      <c r="O2062" s="299"/>
      <c r="R2062" s="348" t="str">
        <f t="shared" si="153"/>
        <v>DELETE</v>
      </c>
    </row>
    <row r="2063" spans="2:18" ht="9" customHeight="1" thickTop="1" x14ac:dyDescent="0.5">
      <c r="B2063" s="316"/>
      <c r="C2063" s="456"/>
      <c r="D2063" s="450"/>
      <c r="E2063" s="450"/>
      <c r="F2063" s="450"/>
      <c r="G2063" s="450"/>
      <c r="H2063" s="450"/>
      <c r="I2063" s="450"/>
      <c r="J2063" s="450"/>
      <c r="L2063" s="350"/>
      <c r="M2063" s="350"/>
      <c r="N2063" s="345"/>
      <c r="O2063" s="310"/>
      <c r="R2063" s="348" t="str">
        <f t="shared" si="153"/>
        <v>DELETE</v>
      </c>
    </row>
    <row r="2064" spans="2:18" ht="36" customHeight="1" x14ac:dyDescent="0.5">
      <c r="B2064" s="316"/>
      <c r="C2064" s="456"/>
      <c r="D2064" s="450"/>
      <c r="E2064" s="450"/>
      <c r="F2064" s="450"/>
      <c r="G2064" s="450"/>
      <c r="H2064" s="450"/>
      <c r="I2064" s="450"/>
      <c r="J2064" s="450"/>
      <c r="L2064" s="350"/>
      <c r="M2064" s="350"/>
      <c r="N2064" s="345"/>
      <c r="O2064" s="296"/>
      <c r="R2064" s="348" t="str">
        <f t="shared" si="153"/>
        <v>DELETE</v>
      </c>
    </row>
    <row r="2065" spans="2:18" ht="36" customHeight="1" x14ac:dyDescent="0.5">
      <c r="B2065" s="316"/>
      <c r="C2065" s="456"/>
      <c r="D2065" s="450"/>
      <c r="E2065" s="450"/>
      <c r="F2065" s="450"/>
      <c r="G2065" s="450"/>
      <c r="H2065" s="450"/>
      <c r="I2065" s="450"/>
      <c r="J2065" s="450"/>
      <c r="M2065" s="296"/>
      <c r="N2065" s="296"/>
      <c r="O2065" s="296"/>
      <c r="R2065" s="348" t="str">
        <f t="shared" si="153"/>
        <v>DELETE</v>
      </c>
    </row>
    <row r="2066" spans="2:18" ht="36" customHeight="1" x14ac:dyDescent="0.5">
      <c r="B2066" s="316"/>
      <c r="C2066" s="456"/>
      <c r="D2066" s="450"/>
      <c r="E2066" s="450"/>
      <c r="F2066" s="450"/>
      <c r="G2066" s="450"/>
      <c r="H2066" s="450"/>
      <c r="I2066" s="450"/>
      <c r="J2066" s="450"/>
      <c r="M2066" s="310"/>
      <c r="N2066" s="310"/>
      <c r="O2066" s="310"/>
      <c r="P2066" s="356"/>
      <c r="R2066" s="348" t="str">
        <f t="shared" si="153"/>
        <v>DELETE</v>
      </c>
    </row>
    <row r="2067" spans="2:18" ht="36" customHeight="1" x14ac:dyDescent="0.5">
      <c r="B2067" s="316"/>
      <c r="C2067" s="456"/>
      <c r="D2067" s="450"/>
      <c r="E2067" s="450"/>
      <c r="F2067" s="450"/>
      <c r="G2067" s="450"/>
      <c r="H2067" s="450"/>
      <c r="I2067" s="450"/>
      <c r="J2067" s="450"/>
      <c r="M2067" s="296"/>
      <c r="N2067" s="296"/>
      <c r="O2067" s="296"/>
      <c r="R2067" s="348" t="str">
        <f t="shared" si="153"/>
        <v>DELETE</v>
      </c>
    </row>
    <row r="2068" spans="2:18" ht="36" customHeight="1" x14ac:dyDescent="0.5">
      <c r="B2068" s="354"/>
      <c r="C2068" s="450"/>
      <c r="D2068" s="450"/>
      <c r="E2068" s="450"/>
      <c r="F2068" s="450"/>
      <c r="G2068" s="450"/>
      <c r="H2068" s="450"/>
      <c r="I2068" s="450"/>
      <c r="J2068" s="450"/>
      <c r="M2068" s="351"/>
      <c r="N2068" s="351"/>
      <c r="O2068" s="296" t="s">
        <v>89</v>
      </c>
      <c r="Q2068" s="292">
        <f>MAX($Q$105:Q2067)+1</f>
        <v>56</v>
      </c>
      <c r="R2068" s="348" t="str">
        <f>R$2088</f>
        <v>DELETE</v>
      </c>
    </row>
    <row r="2069" spans="2:18" ht="36" customHeight="1" x14ac:dyDescent="0.5">
      <c r="B2069" s="354"/>
      <c r="C2069" s="450"/>
      <c r="D2069" s="456" t="str">
        <f>Criteria!E9</f>
        <v>HOLDING COMPANY 268 (PROPRIETARY) LIMITED</v>
      </c>
      <c r="E2069" s="450"/>
      <c r="F2069" s="450"/>
      <c r="G2069" s="450"/>
      <c r="H2069" s="450"/>
      <c r="I2069" s="450"/>
      <c r="J2069" s="450"/>
      <c r="M2069" s="351"/>
      <c r="N2069" s="351"/>
      <c r="O2069" s="347"/>
      <c r="R2069" s="348" t="str">
        <f t="shared" ref="R2069:R2073" si="155">R$2088</f>
        <v>DELETE</v>
      </c>
    </row>
    <row r="2070" spans="2:18" ht="36" customHeight="1" x14ac:dyDescent="0.5">
      <c r="B2070" s="354"/>
      <c r="C2070" s="450"/>
      <c r="D2070" s="456" t="str">
        <f>Criteria!E10</f>
        <v>CONSOLIDATED FINANCIAL STATEMENTS</v>
      </c>
      <c r="E2070" s="450"/>
      <c r="F2070" s="450"/>
      <c r="G2070" s="450"/>
      <c r="H2070" s="450"/>
      <c r="I2070" s="450"/>
      <c r="J2070" s="450"/>
      <c r="M2070" s="351"/>
      <c r="N2070" s="351"/>
      <c r="O2070" s="351"/>
      <c r="R2070" s="348" t="str">
        <f>IF(R$2088="DELETE","DELETE",IF(D2070=0,"DELETE"," "))</f>
        <v>DELETE</v>
      </c>
    </row>
    <row r="2071" spans="2:18" ht="36" customHeight="1" x14ac:dyDescent="0.5">
      <c r="B2071" s="354"/>
      <c r="C2071" s="450"/>
      <c r="D2071" s="450"/>
      <c r="E2071" s="450"/>
      <c r="F2071" s="450"/>
      <c r="G2071" s="450"/>
      <c r="H2071" s="450"/>
      <c r="I2071" s="450"/>
      <c r="J2071" s="450"/>
      <c r="M2071" s="351"/>
      <c r="N2071" s="351"/>
      <c r="O2071" s="351"/>
      <c r="R2071" s="348" t="str">
        <f t="shared" si="155"/>
        <v>DELETE</v>
      </c>
    </row>
    <row r="2072" spans="2:18" ht="36" customHeight="1" x14ac:dyDescent="0.5">
      <c r="B2072" s="354"/>
      <c r="C2072" s="450"/>
      <c r="D2072" s="456" t="s">
        <v>351</v>
      </c>
      <c r="E2072" s="450"/>
      <c r="F2072" s="450"/>
      <c r="G2072" s="450"/>
      <c r="H2072" s="450"/>
      <c r="I2072" s="450"/>
      <c r="J2072" s="450"/>
      <c r="M2072" s="351"/>
      <c r="N2072" s="351"/>
      <c r="O2072" s="351"/>
      <c r="R2072" s="348" t="str">
        <f t="shared" si="155"/>
        <v>DELETE</v>
      </c>
    </row>
    <row r="2073" spans="2:18" ht="36" customHeight="1" x14ac:dyDescent="0.5">
      <c r="B2073" s="354"/>
      <c r="C2073" s="450"/>
      <c r="D2073" s="456" t="str">
        <f>Criteria!E20</f>
        <v>28 FEBRUARY 2025</v>
      </c>
      <c r="E2073" s="450"/>
      <c r="F2073" s="450"/>
      <c r="G2073" s="450"/>
      <c r="H2073" s="450"/>
      <c r="I2073" s="450"/>
      <c r="J2073" s="450" t="s">
        <v>231</v>
      </c>
      <c r="M2073" s="351"/>
      <c r="N2073" s="351"/>
      <c r="O2073" s="351"/>
      <c r="R2073" s="348" t="str">
        <f t="shared" si="155"/>
        <v>DELETE</v>
      </c>
    </row>
    <row r="2074" spans="2:18" ht="36" customHeight="1" x14ac:dyDescent="0.5">
      <c r="B2074" s="354"/>
      <c r="C2074" s="450"/>
      <c r="D2074" s="450"/>
      <c r="E2074" s="450"/>
      <c r="F2074" s="450"/>
      <c r="G2074" s="450"/>
      <c r="H2074" s="450"/>
      <c r="I2074" s="450"/>
      <c r="J2074" s="450"/>
      <c r="M2074" s="372"/>
      <c r="N2074" s="372"/>
      <c r="O2074" s="372"/>
      <c r="R2074" s="348" t="str">
        <f t="shared" ref="R2074:R2079" si="156">R$2088</f>
        <v>DELETE</v>
      </c>
    </row>
    <row r="2075" spans="2:18" ht="36" customHeight="1" x14ac:dyDescent="0.5">
      <c r="B2075" s="368"/>
      <c r="C2075" s="460"/>
      <c r="D2075" s="460"/>
      <c r="E2075" s="460"/>
      <c r="F2075" s="460"/>
      <c r="G2075" s="460"/>
      <c r="H2075" s="460"/>
      <c r="I2075" s="460"/>
      <c r="J2075" s="460"/>
      <c r="K2075" s="364"/>
      <c r="L2075" s="364"/>
      <c r="M2075" s="378"/>
      <c r="N2075" s="378"/>
      <c r="O2075" s="378"/>
      <c r="P2075" s="367"/>
      <c r="Q2075" s="364"/>
      <c r="R2075" s="348" t="str">
        <f t="shared" si="156"/>
        <v>DELETE</v>
      </c>
    </row>
    <row r="2076" spans="2:18" ht="36" customHeight="1" x14ac:dyDescent="0.5">
      <c r="B2076" s="354"/>
      <c r="C2076" s="450"/>
      <c r="D2076" s="450"/>
      <c r="E2076" s="450"/>
      <c r="F2076" s="450"/>
      <c r="G2076" s="450"/>
      <c r="H2076" s="450"/>
      <c r="I2076" s="450"/>
      <c r="J2076" s="450"/>
      <c r="L2076" s="350"/>
      <c r="M2076" s="350"/>
      <c r="N2076" s="345"/>
      <c r="O2076" s="294">
        <f>Criteria!E22</f>
        <v>2025</v>
      </c>
      <c r="R2076" s="348" t="str">
        <f t="shared" si="156"/>
        <v>DELETE</v>
      </c>
    </row>
    <row r="2077" spans="2:18" ht="36" customHeight="1" x14ac:dyDescent="0.5">
      <c r="B2077" s="316"/>
      <c r="C2077" s="456"/>
      <c r="D2077" s="450"/>
      <c r="E2077" s="450"/>
      <c r="F2077" s="450"/>
      <c r="G2077" s="450"/>
      <c r="H2077" s="450"/>
      <c r="I2077" s="450"/>
      <c r="J2077" s="450"/>
      <c r="L2077" s="350"/>
      <c r="M2077" s="350"/>
      <c r="N2077" s="345"/>
      <c r="O2077" s="296"/>
      <c r="R2077" s="348" t="str">
        <f t="shared" si="156"/>
        <v>DELETE</v>
      </c>
    </row>
    <row r="2078" spans="2:18" ht="36" customHeight="1" x14ac:dyDescent="0.5">
      <c r="B2078" s="316">
        <f>MAX(B$602:B2077)+1</f>
        <v>26</v>
      </c>
      <c r="C2078" s="456" t="str">
        <f>IF(COUNTIF(TrialBalance!L367:L372,"&lt;0")&gt;1,"Bank overdrafts","Bank overdraft")</f>
        <v>Bank overdraft</v>
      </c>
      <c r="D2078" s="450"/>
      <c r="E2078" s="450"/>
      <c r="F2078" s="450"/>
      <c r="G2078" s="450"/>
      <c r="H2078" s="450"/>
      <c r="I2078" s="450"/>
      <c r="J2078" s="450"/>
      <c r="L2078" s="350"/>
      <c r="M2078" s="350"/>
      <c r="N2078" s="345"/>
      <c r="O2078" s="296"/>
      <c r="R2078" s="348" t="str">
        <f t="shared" si="156"/>
        <v>DELETE</v>
      </c>
    </row>
    <row r="2079" spans="2:18" ht="36" customHeight="1" x14ac:dyDescent="0.5">
      <c r="B2079" s="316"/>
      <c r="C2079" s="456"/>
      <c r="D2079" s="450"/>
      <c r="E2079" s="450"/>
      <c r="F2079" s="450"/>
      <c r="G2079" s="450"/>
      <c r="H2079" s="450"/>
      <c r="I2079" s="450"/>
      <c r="J2079" s="450"/>
      <c r="L2079" s="350"/>
      <c r="M2079" s="350"/>
      <c r="N2079" s="345"/>
      <c r="O2079" s="296"/>
      <c r="R2079" s="348" t="str">
        <f t="shared" si="156"/>
        <v>DELETE</v>
      </c>
    </row>
    <row r="2080" spans="2:18" ht="36" customHeight="1" x14ac:dyDescent="0.5">
      <c r="B2080" s="316"/>
      <c r="C2080" s="450">
        <f>TrialBalance!C367</f>
        <v>0</v>
      </c>
      <c r="D2080" s="459"/>
      <c r="E2080" s="450"/>
      <c r="F2080" s="450"/>
      <c r="G2080" s="450"/>
      <c r="H2080" s="450"/>
      <c r="I2080" s="450"/>
      <c r="J2080" s="450"/>
      <c r="L2080" s="350"/>
      <c r="M2080" s="350"/>
      <c r="N2080" s="345"/>
      <c r="O2080" s="296">
        <f>IF(TrialBalance!L367&lt;0,-TrialBalance!L367,0)</f>
        <v>0</v>
      </c>
      <c r="R2080" s="348" t="str">
        <f t="shared" ref="R2080:R2085" si="157">IF(O2080=0,"DELETE"," ")</f>
        <v>DELETE</v>
      </c>
    </row>
    <row r="2081" spans="2:18" ht="36" customHeight="1" x14ac:dyDescent="0.5">
      <c r="B2081" s="316"/>
      <c r="C2081" s="450">
        <f>TrialBalance!C368</f>
        <v>0</v>
      </c>
      <c r="D2081" s="459"/>
      <c r="E2081" s="450"/>
      <c r="F2081" s="450"/>
      <c r="G2081" s="450"/>
      <c r="H2081" s="450"/>
      <c r="I2081" s="450"/>
      <c r="J2081" s="450"/>
      <c r="L2081" s="350"/>
      <c r="M2081" s="350"/>
      <c r="N2081" s="345"/>
      <c r="O2081" s="296">
        <f>IF(TrialBalance!L368&lt;0,-TrialBalance!L368,0)</f>
        <v>0</v>
      </c>
      <c r="R2081" s="348" t="str">
        <f t="shared" si="157"/>
        <v>DELETE</v>
      </c>
    </row>
    <row r="2082" spans="2:18" ht="36" customHeight="1" x14ac:dyDescent="0.5">
      <c r="B2082" s="316"/>
      <c r="C2082" s="450">
        <f>TrialBalance!C369</f>
        <v>0</v>
      </c>
      <c r="D2082" s="459"/>
      <c r="E2082" s="450"/>
      <c r="F2082" s="450"/>
      <c r="G2082" s="450"/>
      <c r="H2082" s="450"/>
      <c r="I2082" s="450"/>
      <c r="J2082" s="450"/>
      <c r="L2082" s="350"/>
      <c r="M2082" s="350"/>
      <c r="N2082" s="345"/>
      <c r="O2082" s="296">
        <f>IF(TrialBalance!L369&lt;0,-TrialBalance!L369,0)</f>
        <v>0</v>
      </c>
      <c r="R2082" s="348" t="str">
        <f t="shared" si="157"/>
        <v>DELETE</v>
      </c>
    </row>
    <row r="2083" spans="2:18" ht="36" customHeight="1" x14ac:dyDescent="0.5">
      <c r="B2083" s="316"/>
      <c r="C2083" s="450">
        <f>TrialBalance!C370</f>
        <v>0</v>
      </c>
      <c r="D2083" s="459"/>
      <c r="E2083" s="450"/>
      <c r="F2083" s="450"/>
      <c r="G2083" s="450"/>
      <c r="H2083" s="450"/>
      <c r="I2083" s="450"/>
      <c r="J2083" s="450"/>
      <c r="L2083" s="350"/>
      <c r="M2083" s="350"/>
      <c r="N2083" s="345"/>
      <c r="O2083" s="296">
        <f>IF(TrialBalance!L370&lt;0,-TrialBalance!L370,0)</f>
        <v>0</v>
      </c>
      <c r="R2083" s="348" t="str">
        <f t="shared" si="157"/>
        <v>DELETE</v>
      </c>
    </row>
    <row r="2084" spans="2:18" ht="36" customHeight="1" x14ac:dyDescent="0.5">
      <c r="B2084" s="316"/>
      <c r="C2084" s="450">
        <f>TrialBalance!C371</f>
        <v>0</v>
      </c>
      <c r="D2084" s="459"/>
      <c r="E2084" s="450"/>
      <c r="F2084" s="450"/>
      <c r="G2084" s="450"/>
      <c r="H2084" s="450"/>
      <c r="I2084" s="450"/>
      <c r="J2084" s="450"/>
      <c r="L2084" s="350"/>
      <c r="M2084" s="350"/>
      <c r="N2084" s="345"/>
      <c r="O2084" s="296">
        <f>IF(TrialBalance!L371&lt;0,-TrialBalance!L371,0)</f>
        <v>0</v>
      </c>
      <c r="R2084" s="348" t="str">
        <f t="shared" si="157"/>
        <v>DELETE</v>
      </c>
    </row>
    <row r="2085" spans="2:18" ht="36" customHeight="1" x14ac:dyDescent="0.5">
      <c r="B2085" s="316"/>
      <c r="C2085" s="450">
        <f>TrialBalance!C372</f>
        <v>0</v>
      </c>
      <c r="D2085" s="459"/>
      <c r="E2085" s="450"/>
      <c r="F2085" s="450"/>
      <c r="G2085" s="450"/>
      <c r="H2085" s="450"/>
      <c r="I2085" s="450"/>
      <c r="J2085" s="450"/>
      <c r="L2085" s="350"/>
      <c r="M2085" s="350"/>
      <c r="N2085" s="345"/>
      <c r="O2085" s="296">
        <f>IF(TrialBalance!L372&lt;0,-TrialBalance!L372,0)</f>
        <v>0</v>
      </c>
      <c r="R2085" s="348" t="str">
        <f t="shared" si="157"/>
        <v>DELETE</v>
      </c>
    </row>
    <row r="2086" spans="2:18" ht="9" customHeight="1" x14ac:dyDescent="0.5">
      <c r="B2086" s="316"/>
      <c r="C2086" s="456"/>
      <c r="D2086" s="450"/>
      <c r="E2086" s="450"/>
      <c r="F2086" s="450"/>
      <c r="G2086" s="450"/>
      <c r="H2086" s="450"/>
      <c r="I2086" s="450"/>
      <c r="J2086" s="450"/>
      <c r="L2086" s="350"/>
      <c r="M2086" s="350"/>
      <c r="N2086" s="345"/>
      <c r="O2086" s="298"/>
      <c r="R2086" s="348" t="str">
        <f t="shared" ref="R2086:R2094" si="158">R$2088</f>
        <v>DELETE</v>
      </c>
    </row>
    <row r="2087" spans="2:18" ht="9" customHeight="1" x14ac:dyDescent="0.5">
      <c r="B2087" s="316"/>
      <c r="C2087" s="456"/>
      <c r="D2087" s="450"/>
      <c r="E2087" s="450"/>
      <c r="F2087" s="450"/>
      <c r="G2087" s="450"/>
      <c r="H2087" s="450"/>
      <c r="I2087" s="450"/>
      <c r="J2087" s="450"/>
      <c r="L2087" s="350"/>
      <c r="M2087" s="350"/>
      <c r="N2087" s="345"/>
      <c r="O2087" s="296"/>
      <c r="R2087" s="348" t="str">
        <f t="shared" si="158"/>
        <v>DELETE</v>
      </c>
    </row>
    <row r="2088" spans="2:18" ht="36.75" customHeight="1" x14ac:dyDescent="0.5">
      <c r="B2088" s="316"/>
      <c r="C2088" s="456"/>
      <c r="D2088" s="450"/>
      <c r="E2088" s="450"/>
      <c r="F2088" s="450"/>
      <c r="G2088" s="450"/>
      <c r="H2088" s="450"/>
      <c r="I2088" s="450"/>
      <c r="J2088" s="450"/>
      <c r="L2088" s="350"/>
      <c r="M2088" s="350"/>
      <c r="N2088" s="345"/>
      <c r="O2088" s="296">
        <f>SUM(O2080:O2087)</f>
        <v>0</v>
      </c>
      <c r="R2088" s="348" t="str">
        <f t="shared" ref="R2088" si="159">IF(O2088=0,"DELETE"," ")</f>
        <v>DELETE</v>
      </c>
    </row>
    <row r="2089" spans="2:18" ht="9" customHeight="1" thickBot="1" x14ac:dyDescent="0.55000000000000004">
      <c r="B2089" s="316"/>
      <c r="C2089" s="456"/>
      <c r="D2089" s="450"/>
      <c r="E2089" s="450"/>
      <c r="F2089" s="450"/>
      <c r="G2089" s="450"/>
      <c r="H2089" s="450"/>
      <c r="I2089" s="450"/>
      <c r="J2089" s="450"/>
      <c r="L2089" s="350"/>
      <c r="M2089" s="350"/>
      <c r="N2089" s="345"/>
      <c r="O2089" s="299"/>
      <c r="R2089" s="348" t="str">
        <f t="shared" si="158"/>
        <v>DELETE</v>
      </c>
    </row>
    <row r="2090" spans="2:18" ht="9" customHeight="1" thickTop="1" x14ac:dyDescent="0.5">
      <c r="B2090" s="316"/>
      <c r="C2090" s="456"/>
      <c r="D2090" s="450"/>
      <c r="E2090" s="450"/>
      <c r="F2090" s="450"/>
      <c r="G2090" s="450"/>
      <c r="H2090" s="450"/>
      <c r="I2090" s="450"/>
      <c r="J2090" s="450"/>
      <c r="L2090" s="350"/>
      <c r="M2090" s="350"/>
      <c r="N2090" s="345"/>
      <c r="O2090" s="310"/>
      <c r="R2090" s="348" t="str">
        <f t="shared" si="158"/>
        <v>DELETE</v>
      </c>
    </row>
    <row r="2091" spans="2:18" ht="36" customHeight="1" x14ac:dyDescent="0.5">
      <c r="B2091" s="316"/>
      <c r="C2091" s="456"/>
      <c r="D2091" s="450"/>
      <c r="E2091" s="450"/>
      <c r="F2091" s="450"/>
      <c r="G2091" s="450"/>
      <c r="H2091" s="450"/>
      <c r="I2091" s="450"/>
      <c r="J2091" s="450"/>
      <c r="L2091" s="350"/>
      <c r="M2091" s="350"/>
      <c r="N2091" s="345"/>
      <c r="O2091" s="296"/>
      <c r="R2091" s="348" t="str">
        <f t="shared" si="158"/>
        <v>DELETE</v>
      </c>
    </row>
    <row r="2092" spans="2:18" ht="36" customHeight="1" x14ac:dyDescent="0.5">
      <c r="B2092" s="316"/>
      <c r="C2092" s="456"/>
      <c r="D2092" s="450"/>
      <c r="E2092" s="450"/>
      <c r="F2092" s="450"/>
      <c r="G2092" s="450"/>
      <c r="H2092" s="450"/>
      <c r="I2092" s="450"/>
      <c r="J2092" s="450"/>
      <c r="M2092" s="296"/>
      <c r="N2092" s="296"/>
      <c r="O2092" s="296"/>
      <c r="R2092" s="348" t="str">
        <f t="shared" si="158"/>
        <v>DELETE</v>
      </c>
    </row>
    <row r="2093" spans="2:18" ht="36" customHeight="1" x14ac:dyDescent="0.5">
      <c r="B2093" s="316"/>
      <c r="C2093" s="456"/>
      <c r="D2093" s="450"/>
      <c r="E2093" s="450"/>
      <c r="F2093" s="450"/>
      <c r="G2093" s="450"/>
      <c r="H2093" s="450"/>
      <c r="I2093" s="450"/>
      <c r="J2093" s="450"/>
      <c r="M2093" s="310"/>
      <c r="N2093" s="310"/>
      <c r="O2093" s="310"/>
      <c r="P2093" s="356"/>
      <c r="R2093" s="348" t="str">
        <f t="shared" si="158"/>
        <v>DELETE</v>
      </c>
    </row>
    <row r="2094" spans="2:18" ht="36" customHeight="1" x14ac:dyDescent="0.5">
      <c r="B2094" s="354"/>
      <c r="C2094" s="450"/>
      <c r="D2094" s="450"/>
      <c r="E2094" s="450"/>
      <c r="F2094" s="450"/>
      <c r="G2094" s="450"/>
      <c r="H2094" s="450"/>
      <c r="I2094" s="450"/>
      <c r="J2094" s="450"/>
      <c r="M2094" s="351"/>
      <c r="N2094" s="351"/>
      <c r="O2094" s="351"/>
      <c r="R2094" s="348" t="str">
        <f t="shared" si="158"/>
        <v>DELETE</v>
      </c>
    </row>
    <row r="2095" spans="2:18" ht="36" customHeight="1" x14ac:dyDescent="0.5">
      <c r="B2095" s="354"/>
      <c r="C2095" s="450"/>
      <c r="D2095" s="450"/>
      <c r="E2095" s="450"/>
      <c r="F2095" s="450"/>
      <c r="G2095" s="450"/>
      <c r="H2095" s="450"/>
      <c r="I2095" s="450"/>
      <c r="J2095" s="450"/>
      <c r="M2095" s="351"/>
      <c r="N2095" s="351"/>
      <c r="O2095" s="296" t="s">
        <v>89</v>
      </c>
      <c r="Q2095" s="292">
        <f>MAX($Q$105:Q2094)+1</f>
        <v>57</v>
      </c>
      <c r="R2095" s="348" t="str">
        <f>R$2112</f>
        <v>DELETE</v>
      </c>
    </row>
    <row r="2096" spans="2:18" ht="36" customHeight="1" x14ac:dyDescent="0.5">
      <c r="B2096" s="354"/>
      <c r="C2096" s="450"/>
      <c r="D2096" s="456" t="str">
        <f>Criteria!E9</f>
        <v>HOLDING COMPANY 268 (PROPRIETARY) LIMITED</v>
      </c>
      <c r="E2096" s="450"/>
      <c r="F2096" s="450"/>
      <c r="G2096" s="450"/>
      <c r="H2096" s="450"/>
      <c r="I2096" s="450"/>
      <c r="J2096" s="450"/>
      <c r="M2096" s="351"/>
      <c r="N2096" s="351"/>
      <c r="O2096" s="347"/>
      <c r="R2096" s="348" t="str">
        <f t="shared" ref="R2096:R2106" si="160">R$2112</f>
        <v>DELETE</v>
      </c>
    </row>
    <row r="2097" spans="2:22" ht="36" customHeight="1" x14ac:dyDescent="0.5">
      <c r="B2097" s="354"/>
      <c r="C2097" s="450"/>
      <c r="D2097" s="456" t="str">
        <f>Criteria!E10</f>
        <v>CONSOLIDATED FINANCIAL STATEMENTS</v>
      </c>
      <c r="E2097" s="450"/>
      <c r="F2097" s="450"/>
      <c r="G2097" s="450"/>
      <c r="H2097" s="450"/>
      <c r="I2097" s="450"/>
      <c r="J2097" s="450"/>
      <c r="M2097" s="351"/>
      <c r="N2097" s="351"/>
      <c r="O2097" s="351"/>
      <c r="R2097" s="348" t="str">
        <f>IF(R$2112="DELETE","DELETE",IF(D2097=0,"DELETE"," "))</f>
        <v>DELETE</v>
      </c>
    </row>
    <row r="2098" spans="2:22" ht="36" customHeight="1" x14ac:dyDescent="0.5">
      <c r="B2098" s="354"/>
      <c r="C2098" s="450"/>
      <c r="D2098" s="450"/>
      <c r="E2098" s="450"/>
      <c r="F2098" s="450"/>
      <c r="G2098" s="450"/>
      <c r="H2098" s="450"/>
      <c r="I2098" s="450"/>
      <c r="J2098" s="450"/>
      <c r="M2098" s="351"/>
      <c r="N2098" s="351"/>
      <c r="O2098" s="351"/>
      <c r="R2098" s="348" t="str">
        <f t="shared" si="160"/>
        <v>DELETE</v>
      </c>
    </row>
    <row r="2099" spans="2:22" ht="36" customHeight="1" x14ac:dyDescent="0.5">
      <c r="B2099" s="354"/>
      <c r="C2099" s="450"/>
      <c r="D2099" s="456" t="s">
        <v>351</v>
      </c>
      <c r="E2099" s="450"/>
      <c r="F2099" s="450"/>
      <c r="G2099" s="450"/>
      <c r="H2099" s="450"/>
      <c r="I2099" s="450"/>
      <c r="J2099" s="450"/>
      <c r="M2099" s="351"/>
      <c r="N2099" s="351"/>
      <c r="O2099" s="351"/>
      <c r="R2099" s="348" t="str">
        <f t="shared" si="160"/>
        <v>DELETE</v>
      </c>
    </row>
    <row r="2100" spans="2:22" ht="36" customHeight="1" x14ac:dyDescent="0.5">
      <c r="B2100" s="354"/>
      <c r="C2100" s="450"/>
      <c r="D2100" s="456" t="str">
        <f>Criteria!E20</f>
        <v>28 FEBRUARY 2025</v>
      </c>
      <c r="E2100" s="450"/>
      <c r="F2100" s="450"/>
      <c r="G2100" s="450"/>
      <c r="H2100" s="450"/>
      <c r="I2100" s="450"/>
      <c r="J2100" s="450" t="s">
        <v>231</v>
      </c>
      <c r="M2100" s="351"/>
      <c r="N2100" s="351"/>
      <c r="O2100" s="351"/>
      <c r="R2100" s="348" t="str">
        <f t="shared" si="160"/>
        <v>DELETE</v>
      </c>
    </row>
    <row r="2101" spans="2:22" ht="36" customHeight="1" x14ac:dyDescent="0.5">
      <c r="B2101" s="354"/>
      <c r="C2101" s="450"/>
      <c r="D2101" s="456"/>
      <c r="E2101" s="450"/>
      <c r="F2101" s="450"/>
      <c r="G2101" s="450"/>
      <c r="H2101" s="450"/>
      <c r="I2101" s="450"/>
      <c r="J2101" s="450"/>
      <c r="M2101" s="351"/>
      <c r="N2101" s="351"/>
      <c r="O2101" s="351"/>
      <c r="R2101" s="348" t="str">
        <f t="shared" si="160"/>
        <v>DELETE</v>
      </c>
    </row>
    <row r="2102" spans="2:22" ht="36" customHeight="1" x14ac:dyDescent="0.5">
      <c r="B2102" s="447"/>
      <c r="C2102" s="465"/>
      <c r="D2102" s="460"/>
      <c r="E2102" s="460"/>
      <c r="F2102" s="460"/>
      <c r="G2102" s="460"/>
      <c r="H2102" s="460"/>
      <c r="I2102" s="460"/>
      <c r="J2102" s="460"/>
      <c r="K2102" s="364"/>
      <c r="L2102" s="364"/>
      <c r="M2102" s="297"/>
      <c r="N2102" s="297"/>
      <c r="O2102" s="297"/>
      <c r="P2102" s="367"/>
      <c r="Q2102" s="364"/>
      <c r="R2102" s="348" t="str">
        <f t="shared" si="160"/>
        <v>DELETE</v>
      </c>
    </row>
    <row r="2103" spans="2:22" ht="36" customHeight="1" x14ac:dyDescent="0.5">
      <c r="B2103" s="316"/>
      <c r="C2103" s="456"/>
      <c r="D2103" s="450"/>
      <c r="E2103" s="450"/>
      <c r="F2103" s="450"/>
      <c r="G2103" s="450"/>
      <c r="H2103" s="450"/>
      <c r="I2103" s="450"/>
      <c r="J2103" s="450"/>
      <c r="L2103" s="350"/>
      <c r="M2103" s="350"/>
      <c r="N2103" s="345"/>
      <c r="O2103" s="294">
        <f>Criteria!E22</f>
        <v>2025</v>
      </c>
      <c r="R2103" s="348" t="str">
        <f t="shared" si="160"/>
        <v>DELETE</v>
      </c>
    </row>
    <row r="2104" spans="2:22" ht="36" customHeight="1" x14ac:dyDescent="0.5">
      <c r="B2104" s="316"/>
      <c r="C2104" s="456"/>
      <c r="D2104" s="450"/>
      <c r="E2104" s="450"/>
      <c r="F2104" s="450"/>
      <c r="G2104" s="450"/>
      <c r="H2104" s="450"/>
      <c r="I2104" s="450"/>
      <c r="J2104" s="450"/>
      <c r="L2104" s="350"/>
      <c r="M2104" s="350"/>
      <c r="N2104" s="345"/>
      <c r="O2104" s="296"/>
      <c r="R2104" s="348" t="str">
        <f t="shared" si="160"/>
        <v>DELETE</v>
      </c>
    </row>
    <row r="2105" spans="2:22" ht="36" customHeight="1" x14ac:dyDescent="0.5">
      <c r="B2105" s="316">
        <f>MAX(B$602:B2104)+1</f>
        <v>27</v>
      </c>
      <c r="C2105" s="456" t="str">
        <f>IF(COUNTIF(TrialBalance!L375:L377,"&lt;0")&gt;1,"Short term loans","Short term loan")</f>
        <v>Short term loan</v>
      </c>
      <c r="D2105" s="450"/>
      <c r="E2105" s="450"/>
      <c r="F2105" s="450"/>
      <c r="G2105" s="450"/>
      <c r="H2105" s="450"/>
      <c r="I2105" s="450"/>
      <c r="J2105" s="450"/>
      <c r="L2105" s="350"/>
      <c r="M2105" s="350"/>
      <c r="N2105" s="345"/>
      <c r="O2105" s="296"/>
      <c r="R2105" s="348" t="str">
        <f t="shared" si="160"/>
        <v>DELETE</v>
      </c>
    </row>
    <row r="2106" spans="2:22" ht="36" customHeight="1" x14ac:dyDescent="0.5">
      <c r="B2106" s="316"/>
      <c r="C2106" s="456"/>
      <c r="D2106" s="450"/>
      <c r="E2106" s="450"/>
      <c r="F2106" s="450"/>
      <c r="G2106" s="450"/>
      <c r="H2106" s="450"/>
      <c r="I2106" s="450"/>
      <c r="J2106" s="450"/>
      <c r="L2106" s="350"/>
      <c r="M2106" s="350"/>
      <c r="N2106" s="345"/>
      <c r="O2106" s="296"/>
      <c r="R2106" s="348" t="str">
        <f t="shared" si="160"/>
        <v>DELETE</v>
      </c>
    </row>
    <row r="2107" spans="2:22" ht="36" customHeight="1" x14ac:dyDescent="0.5">
      <c r="B2107" s="316"/>
      <c r="C2107" s="450">
        <f>TrialBalance!C375</f>
        <v>0</v>
      </c>
      <c r="D2107" s="459"/>
      <c r="E2107" s="450"/>
      <c r="F2107" s="450"/>
      <c r="G2107" s="450"/>
      <c r="H2107" s="450"/>
      <c r="I2107" s="450"/>
      <c r="J2107" s="450"/>
      <c r="L2107" s="350"/>
      <c r="M2107" s="350"/>
      <c r="N2107" s="345"/>
      <c r="O2107" s="296">
        <f>-TrialBalance!L375</f>
        <v>0</v>
      </c>
      <c r="R2107" s="348" t="str">
        <f t="shared" ref="R2107:R2109" si="161">IF(O2107=0,"DELETE"," ")</f>
        <v>DELETE</v>
      </c>
      <c r="S2107" s="333"/>
      <c r="T2107" s="333"/>
      <c r="U2107" s="334"/>
      <c r="V2107" s="334"/>
    </row>
    <row r="2108" spans="2:22" ht="36" customHeight="1" x14ac:dyDescent="0.5">
      <c r="B2108" s="316"/>
      <c r="C2108" s="450">
        <f>TrialBalance!C376</f>
        <v>0</v>
      </c>
      <c r="D2108" s="459"/>
      <c r="E2108" s="450"/>
      <c r="F2108" s="450"/>
      <c r="G2108" s="450"/>
      <c r="H2108" s="450"/>
      <c r="I2108" s="450"/>
      <c r="J2108" s="450"/>
      <c r="L2108" s="350"/>
      <c r="M2108" s="350"/>
      <c r="N2108" s="345"/>
      <c r="O2108" s="296">
        <f>-TrialBalance!L376</f>
        <v>0</v>
      </c>
      <c r="R2108" s="348" t="str">
        <f t="shared" si="161"/>
        <v>DELETE</v>
      </c>
      <c r="S2108" s="333"/>
      <c r="T2108" s="333"/>
      <c r="U2108" s="334"/>
      <c r="V2108" s="334"/>
    </row>
    <row r="2109" spans="2:22" ht="36" customHeight="1" x14ac:dyDescent="0.5">
      <c r="B2109" s="316"/>
      <c r="C2109" s="450">
        <f>TrialBalance!C377</f>
        <v>0</v>
      </c>
      <c r="D2109" s="459"/>
      <c r="E2109" s="450"/>
      <c r="F2109" s="450"/>
      <c r="G2109" s="450"/>
      <c r="H2109" s="450"/>
      <c r="I2109" s="450"/>
      <c r="J2109" s="450"/>
      <c r="L2109" s="350"/>
      <c r="M2109" s="350"/>
      <c r="N2109" s="345"/>
      <c r="O2109" s="296">
        <f>-TrialBalance!L377</f>
        <v>0</v>
      </c>
      <c r="R2109" s="348" t="str">
        <f t="shared" si="161"/>
        <v>DELETE</v>
      </c>
      <c r="S2109" s="333"/>
      <c r="T2109" s="333"/>
      <c r="U2109" s="334"/>
      <c r="V2109" s="334"/>
    </row>
    <row r="2110" spans="2:22" ht="9" customHeight="1" x14ac:dyDescent="0.5">
      <c r="B2110" s="316"/>
      <c r="C2110" s="456"/>
      <c r="D2110" s="450"/>
      <c r="E2110" s="450"/>
      <c r="F2110" s="450"/>
      <c r="G2110" s="450"/>
      <c r="H2110" s="450"/>
      <c r="I2110" s="450"/>
      <c r="J2110" s="450"/>
      <c r="L2110" s="350"/>
      <c r="M2110" s="350"/>
      <c r="N2110" s="345"/>
      <c r="O2110" s="298"/>
      <c r="R2110" s="348" t="str">
        <f t="shared" ref="R2110:R2118" si="162">R$2112</f>
        <v>DELETE</v>
      </c>
    </row>
    <row r="2111" spans="2:22" ht="9" customHeight="1" x14ac:dyDescent="0.5">
      <c r="B2111" s="316"/>
      <c r="C2111" s="456"/>
      <c r="D2111" s="450"/>
      <c r="E2111" s="450"/>
      <c r="F2111" s="450"/>
      <c r="G2111" s="450"/>
      <c r="H2111" s="450"/>
      <c r="I2111" s="450"/>
      <c r="J2111" s="450"/>
      <c r="L2111" s="350"/>
      <c r="M2111" s="350"/>
      <c r="N2111" s="345"/>
      <c r="O2111" s="296"/>
      <c r="R2111" s="348" t="str">
        <f t="shared" si="162"/>
        <v>DELETE</v>
      </c>
    </row>
    <row r="2112" spans="2:22" ht="36.75" customHeight="1" x14ac:dyDescent="0.5">
      <c r="B2112" s="316"/>
      <c r="C2112" s="456"/>
      <c r="D2112" s="450"/>
      <c r="E2112" s="450"/>
      <c r="F2112" s="450"/>
      <c r="G2112" s="450"/>
      <c r="H2112" s="450"/>
      <c r="I2112" s="450"/>
      <c r="J2112" s="450"/>
      <c r="L2112" s="350"/>
      <c r="M2112" s="350"/>
      <c r="N2112" s="345"/>
      <c r="O2112" s="296">
        <f>SUM(O2107:O2111)</f>
        <v>0</v>
      </c>
      <c r="R2112" s="348" t="str">
        <f t="shared" ref="R2112" si="163">IF(O2112=0,"DELETE"," ")</f>
        <v>DELETE</v>
      </c>
    </row>
    <row r="2113" spans="2:18" ht="9" customHeight="1" thickBot="1" x14ac:dyDescent="0.55000000000000004">
      <c r="B2113" s="316"/>
      <c r="C2113" s="456"/>
      <c r="D2113" s="450"/>
      <c r="E2113" s="450"/>
      <c r="F2113" s="450"/>
      <c r="G2113" s="450"/>
      <c r="H2113" s="450"/>
      <c r="I2113" s="450"/>
      <c r="J2113" s="450"/>
      <c r="L2113" s="350"/>
      <c r="M2113" s="350"/>
      <c r="N2113" s="345"/>
      <c r="O2113" s="299"/>
      <c r="R2113" s="348" t="str">
        <f t="shared" si="162"/>
        <v>DELETE</v>
      </c>
    </row>
    <row r="2114" spans="2:18" ht="9" customHeight="1" thickTop="1" x14ac:dyDescent="0.5">
      <c r="B2114" s="316"/>
      <c r="C2114" s="456"/>
      <c r="D2114" s="450"/>
      <c r="E2114" s="450"/>
      <c r="F2114" s="450"/>
      <c r="G2114" s="450"/>
      <c r="H2114" s="450"/>
      <c r="I2114" s="450"/>
      <c r="J2114" s="450"/>
      <c r="L2114" s="350"/>
      <c r="M2114" s="350"/>
      <c r="N2114" s="345"/>
      <c r="O2114" s="310"/>
      <c r="R2114" s="348" t="str">
        <f t="shared" si="162"/>
        <v>DELETE</v>
      </c>
    </row>
    <row r="2115" spans="2:18" ht="36" customHeight="1" x14ac:dyDescent="0.5">
      <c r="B2115" s="316"/>
      <c r="C2115" s="456"/>
      <c r="D2115" s="450"/>
      <c r="E2115" s="450"/>
      <c r="F2115" s="450"/>
      <c r="G2115" s="450"/>
      <c r="H2115" s="450"/>
      <c r="I2115" s="450"/>
      <c r="J2115" s="450"/>
      <c r="L2115" s="350"/>
      <c r="M2115" s="350"/>
      <c r="N2115" s="345"/>
      <c r="O2115" s="296"/>
      <c r="R2115" s="348" t="str">
        <f t="shared" si="162"/>
        <v>DELETE</v>
      </c>
    </row>
    <row r="2116" spans="2:18" ht="36" customHeight="1" x14ac:dyDescent="0.5">
      <c r="B2116" s="316"/>
      <c r="C2116" s="456"/>
      <c r="D2116" s="450"/>
      <c r="E2116" s="450"/>
      <c r="F2116" s="450"/>
      <c r="G2116" s="450"/>
      <c r="H2116" s="450"/>
      <c r="I2116" s="450"/>
      <c r="J2116" s="450"/>
      <c r="M2116" s="296"/>
      <c r="N2116" s="296"/>
      <c r="O2116" s="296"/>
      <c r="R2116" s="348" t="str">
        <f t="shared" si="162"/>
        <v>DELETE</v>
      </c>
    </row>
    <row r="2117" spans="2:18" ht="36" customHeight="1" x14ac:dyDescent="0.5">
      <c r="B2117" s="316"/>
      <c r="C2117" s="456"/>
      <c r="D2117" s="450"/>
      <c r="E2117" s="450"/>
      <c r="F2117" s="450"/>
      <c r="G2117" s="450"/>
      <c r="H2117" s="450"/>
      <c r="I2117" s="450"/>
      <c r="J2117" s="450"/>
      <c r="M2117" s="310"/>
      <c r="N2117" s="310"/>
      <c r="O2117" s="310"/>
      <c r="P2117" s="356"/>
      <c r="R2117" s="348" t="str">
        <f t="shared" si="162"/>
        <v>DELETE</v>
      </c>
    </row>
    <row r="2118" spans="2:18" ht="36" customHeight="1" x14ac:dyDescent="0.5">
      <c r="B2118" s="354"/>
      <c r="C2118" s="450"/>
      <c r="D2118" s="450"/>
      <c r="E2118" s="450"/>
      <c r="F2118" s="450"/>
      <c r="G2118" s="450"/>
      <c r="H2118" s="450"/>
      <c r="I2118" s="450"/>
      <c r="J2118" s="450"/>
      <c r="M2118" s="351"/>
      <c r="N2118" s="351"/>
      <c r="O2118" s="351"/>
      <c r="R2118" s="348" t="str">
        <f t="shared" si="162"/>
        <v>DELETE</v>
      </c>
    </row>
    <row r="2119" spans="2:18" ht="36" customHeight="1" x14ac:dyDescent="0.5">
      <c r="B2119" s="354"/>
      <c r="C2119" s="450"/>
      <c r="D2119" s="450"/>
      <c r="E2119" s="450"/>
      <c r="F2119" s="450"/>
      <c r="G2119" s="450"/>
      <c r="H2119" s="450"/>
      <c r="I2119" s="450"/>
      <c r="J2119" s="450"/>
      <c r="M2119" s="351"/>
      <c r="N2119" s="351"/>
      <c r="O2119" s="296" t="s">
        <v>89</v>
      </c>
      <c r="Q2119" s="292">
        <f>MAX($Q$105:Q2118)+1</f>
        <v>58</v>
      </c>
      <c r="R2119" s="348" t="str">
        <f>R$2138</f>
        <v>DELETE</v>
      </c>
    </row>
    <row r="2120" spans="2:18" ht="36" customHeight="1" x14ac:dyDescent="0.5">
      <c r="B2120" s="354"/>
      <c r="C2120" s="450"/>
      <c r="D2120" s="456" t="str">
        <f>Criteria!E9</f>
        <v>HOLDING COMPANY 268 (PROPRIETARY) LIMITED</v>
      </c>
      <c r="E2120" s="450"/>
      <c r="F2120" s="450"/>
      <c r="G2120" s="450"/>
      <c r="H2120" s="450"/>
      <c r="I2120" s="450"/>
      <c r="J2120" s="450"/>
      <c r="M2120" s="351"/>
      <c r="N2120" s="351"/>
      <c r="O2120" s="347"/>
      <c r="R2120" s="348" t="str">
        <f t="shared" ref="R2120:R2130" si="164">R$2138</f>
        <v>DELETE</v>
      </c>
    </row>
    <row r="2121" spans="2:18" ht="36" customHeight="1" x14ac:dyDescent="0.5">
      <c r="B2121" s="354"/>
      <c r="C2121" s="450"/>
      <c r="D2121" s="456" t="str">
        <f>Criteria!E10</f>
        <v>CONSOLIDATED FINANCIAL STATEMENTS</v>
      </c>
      <c r="E2121" s="450"/>
      <c r="F2121" s="450"/>
      <c r="G2121" s="450"/>
      <c r="H2121" s="450"/>
      <c r="I2121" s="450"/>
      <c r="J2121" s="450"/>
      <c r="M2121" s="351"/>
      <c r="N2121" s="351"/>
      <c r="O2121" s="351"/>
      <c r="R2121" s="348" t="str">
        <f>IF(R$2138="DELETE","DELETE",IF(D2121=0,"DELETE"," "))</f>
        <v>DELETE</v>
      </c>
    </row>
    <row r="2122" spans="2:18" ht="36" customHeight="1" x14ac:dyDescent="0.5">
      <c r="B2122" s="354"/>
      <c r="C2122" s="450"/>
      <c r="D2122" s="450"/>
      <c r="E2122" s="450"/>
      <c r="F2122" s="450"/>
      <c r="G2122" s="450"/>
      <c r="H2122" s="450"/>
      <c r="I2122" s="450"/>
      <c r="J2122" s="450"/>
      <c r="M2122" s="351"/>
      <c r="N2122" s="351"/>
      <c r="O2122" s="351"/>
      <c r="R2122" s="348" t="str">
        <f t="shared" si="164"/>
        <v>DELETE</v>
      </c>
    </row>
    <row r="2123" spans="2:18" ht="36" customHeight="1" x14ac:dyDescent="0.5">
      <c r="B2123" s="354"/>
      <c r="C2123" s="450"/>
      <c r="D2123" s="456" t="s">
        <v>351</v>
      </c>
      <c r="E2123" s="450"/>
      <c r="F2123" s="450"/>
      <c r="G2123" s="450"/>
      <c r="H2123" s="450"/>
      <c r="I2123" s="450"/>
      <c r="J2123" s="450"/>
      <c r="M2123" s="351"/>
      <c r="N2123" s="351"/>
      <c r="O2123" s="351"/>
      <c r="R2123" s="348" t="str">
        <f t="shared" si="164"/>
        <v>DELETE</v>
      </c>
    </row>
    <row r="2124" spans="2:18" ht="36" customHeight="1" x14ac:dyDescent="0.5">
      <c r="B2124" s="354"/>
      <c r="C2124" s="450"/>
      <c r="D2124" s="456" t="str">
        <f>Criteria!E20</f>
        <v>28 FEBRUARY 2025</v>
      </c>
      <c r="E2124" s="450"/>
      <c r="F2124" s="450"/>
      <c r="G2124" s="450"/>
      <c r="H2124" s="450"/>
      <c r="I2124" s="450"/>
      <c r="J2124" s="450" t="s">
        <v>231</v>
      </c>
      <c r="M2124" s="351"/>
      <c r="N2124" s="351"/>
      <c r="O2124" s="351"/>
      <c r="R2124" s="348" t="str">
        <f t="shared" si="164"/>
        <v>DELETE</v>
      </c>
    </row>
    <row r="2125" spans="2:18" ht="36" customHeight="1" x14ac:dyDescent="0.5">
      <c r="B2125" s="354"/>
      <c r="C2125" s="450"/>
      <c r="D2125" s="456"/>
      <c r="E2125" s="450"/>
      <c r="F2125" s="450"/>
      <c r="G2125" s="450"/>
      <c r="H2125" s="450"/>
      <c r="I2125" s="450"/>
      <c r="J2125" s="450"/>
      <c r="M2125" s="351"/>
      <c r="N2125" s="351"/>
      <c r="O2125" s="351"/>
      <c r="R2125" s="348" t="str">
        <f t="shared" si="164"/>
        <v>DELETE</v>
      </c>
    </row>
    <row r="2126" spans="2:18" ht="36" customHeight="1" x14ac:dyDescent="0.5">
      <c r="B2126" s="447"/>
      <c r="C2126" s="465"/>
      <c r="D2126" s="460"/>
      <c r="E2126" s="460"/>
      <c r="F2126" s="460"/>
      <c r="G2126" s="460"/>
      <c r="H2126" s="460"/>
      <c r="I2126" s="460"/>
      <c r="J2126" s="460"/>
      <c r="K2126" s="364"/>
      <c r="L2126" s="364"/>
      <c r="M2126" s="297"/>
      <c r="N2126" s="297"/>
      <c r="O2126" s="297"/>
      <c r="P2126" s="367"/>
      <c r="Q2126" s="364"/>
      <c r="R2126" s="348" t="str">
        <f t="shared" si="164"/>
        <v>DELETE</v>
      </c>
    </row>
    <row r="2127" spans="2:18" ht="36" customHeight="1" x14ac:dyDescent="0.5">
      <c r="B2127" s="316"/>
      <c r="C2127" s="456"/>
      <c r="D2127" s="450"/>
      <c r="E2127" s="450"/>
      <c r="F2127" s="450"/>
      <c r="G2127" s="450"/>
      <c r="H2127" s="450"/>
      <c r="I2127" s="450"/>
      <c r="J2127" s="450"/>
      <c r="L2127" s="350"/>
      <c r="M2127" s="350"/>
      <c r="N2127" s="345"/>
      <c r="O2127" s="294">
        <f>Criteria!E22</f>
        <v>2025</v>
      </c>
      <c r="R2127" s="348" t="str">
        <f t="shared" si="164"/>
        <v>DELETE</v>
      </c>
    </row>
    <row r="2128" spans="2:18" ht="36" customHeight="1" x14ac:dyDescent="0.5">
      <c r="B2128" s="316"/>
      <c r="C2128" s="456"/>
      <c r="D2128" s="450"/>
      <c r="E2128" s="450"/>
      <c r="F2128" s="450"/>
      <c r="G2128" s="450"/>
      <c r="H2128" s="450"/>
      <c r="I2128" s="450"/>
      <c r="J2128" s="450"/>
      <c r="L2128" s="350"/>
      <c r="M2128" s="350"/>
      <c r="N2128" s="345"/>
      <c r="O2128" s="296"/>
      <c r="R2128" s="348" t="str">
        <f t="shared" si="164"/>
        <v>DELETE</v>
      </c>
    </row>
    <row r="2129" spans="2:18" ht="36" customHeight="1" x14ac:dyDescent="0.5">
      <c r="B2129" s="316">
        <f>MAX(B$602:B2128)+1</f>
        <v>28</v>
      </c>
      <c r="C2129" s="456" t="str">
        <f>IF(COUNTIF(TrialBalance!L393:L397,"&lt;0")&gt;1,"Provisions","Provision")</f>
        <v>Provision</v>
      </c>
      <c r="D2129" s="450"/>
      <c r="E2129" s="450"/>
      <c r="F2129" s="450"/>
      <c r="G2129" s="450"/>
      <c r="H2129" s="450"/>
      <c r="I2129" s="450"/>
      <c r="J2129" s="450"/>
      <c r="L2129" s="350"/>
      <c r="M2129" s="350"/>
      <c r="N2129" s="345"/>
      <c r="O2129" s="296"/>
      <c r="R2129" s="348" t="str">
        <f t="shared" si="164"/>
        <v>DELETE</v>
      </c>
    </row>
    <row r="2130" spans="2:18" ht="36" customHeight="1" x14ac:dyDescent="0.5">
      <c r="B2130" s="316"/>
      <c r="C2130" s="456"/>
      <c r="D2130" s="450"/>
      <c r="E2130" s="450"/>
      <c r="F2130" s="450"/>
      <c r="G2130" s="450"/>
      <c r="H2130" s="450"/>
      <c r="I2130" s="450"/>
      <c r="J2130" s="450"/>
      <c r="L2130" s="350"/>
      <c r="M2130" s="350"/>
      <c r="N2130" s="345"/>
      <c r="O2130" s="296"/>
      <c r="R2130" s="348" t="str">
        <f t="shared" si="164"/>
        <v>DELETE</v>
      </c>
    </row>
    <row r="2131" spans="2:18" ht="36" customHeight="1" x14ac:dyDescent="0.5">
      <c r="B2131" s="316"/>
      <c r="C2131" s="450" t="str">
        <f>TrialBalance!C393</f>
        <v>Dividends' tax provision</v>
      </c>
      <c r="D2131" s="459"/>
      <c r="E2131" s="450"/>
      <c r="F2131" s="450"/>
      <c r="G2131" s="450"/>
      <c r="H2131" s="450"/>
      <c r="I2131" s="450"/>
      <c r="J2131" s="450"/>
      <c r="L2131" s="350"/>
      <c r="M2131" s="350"/>
      <c r="N2131" s="345"/>
      <c r="O2131" s="296">
        <f>-TrialBalance!L393</f>
        <v>0</v>
      </c>
      <c r="R2131" s="348" t="str">
        <f t="shared" ref="R2131:R2135" si="165">IF(O2131=0,"DELETE"," ")</f>
        <v>DELETE</v>
      </c>
    </row>
    <row r="2132" spans="2:18" ht="36" customHeight="1" x14ac:dyDescent="0.5">
      <c r="B2132" s="316"/>
      <c r="C2132" s="450" t="str">
        <f>TrialBalance!C394</f>
        <v>Dividends payable</v>
      </c>
      <c r="D2132" s="459"/>
      <c r="E2132" s="450"/>
      <c r="F2132" s="450"/>
      <c r="G2132" s="450"/>
      <c r="H2132" s="450"/>
      <c r="I2132" s="450"/>
      <c r="J2132" s="450"/>
      <c r="L2132" s="350"/>
      <c r="M2132" s="350"/>
      <c r="N2132" s="345"/>
      <c r="O2132" s="296">
        <f>-TrialBalance!L394</f>
        <v>0</v>
      </c>
      <c r="R2132" s="348" t="str">
        <f t="shared" si="165"/>
        <v>DELETE</v>
      </c>
    </row>
    <row r="2133" spans="2:18" ht="36" customHeight="1" x14ac:dyDescent="0.5">
      <c r="B2133" s="316"/>
      <c r="C2133" s="450" t="str">
        <f>TrialBalance!C395</f>
        <v>Provision for future expenses</v>
      </c>
      <c r="D2133" s="459"/>
      <c r="E2133" s="450"/>
      <c r="F2133" s="450"/>
      <c r="G2133" s="450"/>
      <c r="H2133" s="450"/>
      <c r="I2133" s="450"/>
      <c r="J2133" s="450"/>
      <c r="L2133" s="350"/>
      <c r="M2133" s="350"/>
      <c r="N2133" s="345"/>
      <c r="O2133" s="296">
        <f>-TrialBalance!L395</f>
        <v>0</v>
      </c>
      <c r="R2133" s="348" t="str">
        <f t="shared" si="165"/>
        <v>DELETE</v>
      </c>
    </row>
    <row r="2134" spans="2:18" ht="36" customHeight="1" x14ac:dyDescent="0.5">
      <c r="B2134" s="316"/>
      <c r="C2134" s="450" t="str">
        <f>TrialBalance!C396</f>
        <v>Provision for insurance</v>
      </c>
      <c r="D2134" s="459"/>
      <c r="E2134" s="450"/>
      <c r="F2134" s="450"/>
      <c r="G2134" s="450"/>
      <c r="H2134" s="450"/>
      <c r="I2134" s="450"/>
      <c r="J2134" s="450"/>
      <c r="L2134" s="350"/>
      <c r="M2134" s="350"/>
      <c r="N2134" s="345"/>
      <c r="O2134" s="296">
        <f>-TrialBalance!L396</f>
        <v>0</v>
      </c>
      <c r="R2134" s="348" t="str">
        <f t="shared" si="165"/>
        <v>DELETE</v>
      </c>
    </row>
    <row r="2135" spans="2:18" ht="36" customHeight="1" x14ac:dyDescent="0.5">
      <c r="B2135" s="316"/>
      <c r="C2135" s="450" t="str">
        <f>TrialBalance!C397</f>
        <v>Provision for salary bonus</v>
      </c>
      <c r="D2135" s="459"/>
      <c r="E2135" s="450"/>
      <c r="F2135" s="450"/>
      <c r="G2135" s="450"/>
      <c r="H2135" s="450"/>
      <c r="I2135" s="450"/>
      <c r="J2135" s="450"/>
      <c r="L2135" s="350"/>
      <c r="M2135" s="350"/>
      <c r="N2135" s="345"/>
      <c r="O2135" s="296">
        <f>-TrialBalance!L397</f>
        <v>0</v>
      </c>
      <c r="R2135" s="348" t="str">
        <f t="shared" si="165"/>
        <v>DELETE</v>
      </c>
    </row>
    <row r="2136" spans="2:18" ht="9" customHeight="1" x14ac:dyDescent="0.5">
      <c r="B2136" s="316"/>
      <c r="C2136" s="456"/>
      <c r="D2136" s="450"/>
      <c r="E2136" s="450"/>
      <c r="F2136" s="450"/>
      <c r="G2136" s="450"/>
      <c r="H2136" s="450"/>
      <c r="I2136" s="450"/>
      <c r="J2136" s="450"/>
      <c r="L2136" s="350"/>
      <c r="M2136" s="350"/>
      <c r="N2136" s="345"/>
      <c r="O2136" s="298"/>
      <c r="R2136" s="348" t="str">
        <f t="shared" ref="R2136:R2144" si="166">R$2138</f>
        <v>DELETE</v>
      </c>
    </row>
    <row r="2137" spans="2:18" ht="9" customHeight="1" x14ac:dyDescent="0.5">
      <c r="B2137" s="316"/>
      <c r="C2137" s="456"/>
      <c r="D2137" s="450"/>
      <c r="E2137" s="450"/>
      <c r="F2137" s="450"/>
      <c r="G2137" s="450"/>
      <c r="H2137" s="450"/>
      <c r="I2137" s="450"/>
      <c r="J2137" s="450"/>
      <c r="L2137" s="350"/>
      <c r="M2137" s="350"/>
      <c r="N2137" s="345"/>
      <c r="O2137" s="296"/>
      <c r="R2137" s="348" t="str">
        <f t="shared" si="166"/>
        <v>DELETE</v>
      </c>
    </row>
    <row r="2138" spans="2:18" ht="36.75" customHeight="1" x14ac:dyDescent="0.5">
      <c r="B2138" s="316"/>
      <c r="C2138" s="456"/>
      <c r="D2138" s="450"/>
      <c r="E2138" s="450"/>
      <c r="F2138" s="450"/>
      <c r="G2138" s="450"/>
      <c r="H2138" s="450"/>
      <c r="I2138" s="450"/>
      <c r="J2138" s="450"/>
      <c r="L2138" s="350"/>
      <c r="M2138" s="350"/>
      <c r="N2138" s="345"/>
      <c r="O2138" s="296">
        <f>SUM(O2131:O2137)</f>
        <v>0</v>
      </c>
      <c r="R2138" s="348" t="str">
        <f t="shared" ref="R2138" si="167">IF(O2138=0,"DELETE"," ")</f>
        <v>DELETE</v>
      </c>
    </row>
    <row r="2139" spans="2:18" ht="9" customHeight="1" thickBot="1" x14ac:dyDescent="0.55000000000000004">
      <c r="B2139" s="316"/>
      <c r="C2139" s="456"/>
      <c r="D2139" s="450"/>
      <c r="E2139" s="450"/>
      <c r="F2139" s="450"/>
      <c r="G2139" s="450"/>
      <c r="H2139" s="450"/>
      <c r="I2139" s="450"/>
      <c r="J2139" s="450"/>
      <c r="L2139" s="350"/>
      <c r="M2139" s="350"/>
      <c r="N2139" s="345"/>
      <c r="O2139" s="299"/>
      <c r="R2139" s="348" t="str">
        <f t="shared" si="166"/>
        <v>DELETE</v>
      </c>
    </row>
    <row r="2140" spans="2:18" ht="9" customHeight="1" thickTop="1" x14ac:dyDescent="0.5">
      <c r="B2140" s="316"/>
      <c r="C2140" s="456"/>
      <c r="D2140" s="450"/>
      <c r="E2140" s="450"/>
      <c r="F2140" s="450"/>
      <c r="G2140" s="450"/>
      <c r="H2140" s="450"/>
      <c r="I2140" s="450"/>
      <c r="J2140" s="450"/>
      <c r="L2140" s="350"/>
      <c r="M2140" s="350"/>
      <c r="N2140" s="345"/>
      <c r="O2140" s="310"/>
      <c r="R2140" s="348" t="str">
        <f t="shared" si="166"/>
        <v>DELETE</v>
      </c>
    </row>
    <row r="2141" spans="2:18" ht="36" customHeight="1" x14ac:dyDescent="0.5">
      <c r="B2141" s="316"/>
      <c r="C2141" s="456"/>
      <c r="D2141" s="450"/>
      <c r="E2141" s="450"/>
      <c r="F2141" s="450"/>
      <c r="G2141" s="450"/>
      <c r="H2141" s="450"/>
      <c r="I2141" s="450"/>
      <c r="J2141" s="450"/>
      <c r="L2141" s="350"/>
      <c r="M2141" s="350"/>
      <c r="N2141" s="345"/>
      <c r="O2141" s="296"/>
      <c r="R2141" s="348" t="str">
        <f t="shared" si="166"/>
        <v>DELETE</v>
      </c>
    </row>
    <row r="2142" spans="2:18" ht="36" customHeight="1" x14ac:dyDescent="0.5">
      <c r="B2142" s="316"/>
      <c r="C2142" s="456"/>
      <c r="D2142" s="450"/>
      <c r="E2142" s="450"/>
      <c r="F2142" s="450"/>
      <c r="G2142" s="450"/>
      <c r="H2142" s="450"/>
      <c r="I2142" s="450"/>
      <c r="J2142" s="450"/>
      <c r="M2142" s="296"/>
      <c r="N2142" s="296"/>
      <c r="O2142" s="296"/>
      <c r="R2142" s="348" t="str">
        <f t="shared" si="166"/>
        <v>DELETE</v>
      </c>
    </row>
    <row r="2143" spans="2:18" ht="36" customHeight="1" x14ac:dyDescent="0.5">
      <c r="B2143" s="316"/>
      <c r="C2143" s="456"/>
      <c r="D2143" s="450"/>
      <c r="E2143" s="450"/>
      <c r="F2143" s="450"/>
      <c r="G2143" s="450"/>
      <c r="H2143" s="450"/>
      <c r="I2143" s="450"/>
      <c r="J2143" s="450"/>
      <c r="M2143" s="310"/>
      <c r="N2143" s="310"/>
      <c r="O2143" s="310"/>
      <c r="P2143" s="356"/>
      <c r="R2143" s="348" t="str">
        <f t="shared" si="166"/>
        <v>DELETE</v>
      </c>
    </row>
    <row r="2144" spans="2:18" ht="36" customHeight="1" x14ac:dyDescent="0.5">
      <c r="B2144" s="316"/>
      <c r="C2144" s="456"/>
      <c r="D2144" s="450"/>
      <c r="E2144" s="450"/>
      <c r="F2144" s="450"/>
      <c r="G2144" s="450"/>
      <c r="H2144" s="450"/>
      <c r="I2144" s="450"/>
      <c r="J2144" s="450"/>
      <c r="M2144" s="296"/>
      <c r="N2144" s="296"/>
      <c r="O2144" s="296"/>
      <c r="R2144" s="348" t="str">
        <f t="shared" si="166"/>
        <v>DELETE</v>
      </c>
    </row>
    <row r="2145" spans="2:23" ht="36" customHeight="1" x14ac:dyDescent="0.5">
      <c r="B2145" s="316"/>
      <c r="C2145" s="456"/>
      <c r="D2145" s="450"/>
      <c r="E2145" s="450"/>
      <c r="F2145" s="450"/>
      <c r="G2145" s="450"/>
      <c r="H2145" s="450"/>
      <c r="I2145" s="450"/>
      <c r="J2145" s="450"/>
      <c r="M2145" s="296"/>
      <c r="N2145" s="296"/>
      <c r="O2145" s="296" t="s">
        <v>89</v>
      </c>
      <c r="Q2145" s="292">
        <f>MAX($Q$105:Q2144)+1</f>
        <v>59</v>
      </c>
      <c r="R2145" s="348" t="str">
        <f t="shared" ref="R2145:R2156" si="168">R$2166</f>
        <v>DELETE</v>
      </c>
    </row>
    <row r="2146" spans="2:23" ht="36" customHeight="1" x14ac:dyDescent="0.5">
      <c r="B2146" s="316"/>
      <c r="C2146" s="456"/>
      <c r="D2146" s="456" t="str">
        <f>Criteria!E9</f>
        <v>HOLDING COMPANY 268 (PROPRIETARY) LIMITED</v>
      </c>
      <c r="E2146" s="450"/>
      <c r="F2146" s="450"/>
      <c r="G2146" s="450"/>
      <c r="H2146" s="450"/>
      <c r="I2146" s="450"/>
      <c r="J2146" s="450"/>
      <c r="M2146" s="351"/>
      <c r="N2146" s="351"/>
      <c r="O2146" s="347"/>
      <c r="R2146" s="348" t="str">
        <f t="shared" si="168"/>
        <v>DELETE</v>
      </c>
    </row>
    <row r="2147" spans="2:23" ht="36" customHeight="1" x14ac:dyDescent="0.5">
      <c r="B2147" s="316"/>
      <c r="C2147" s="456"/>
      <c r="D2147" s="456" t="str">
        <f>Criteria!E10</f>
        <v>CONSOLIDATED FINANCIAL STATEMENTS</v>
      </c>
      <c r="E2147" s="450"/>
      <c r="F2147" s="450"/>
      <c r="G2147" s="450"/>
      <c r="H2147" s="450"/>
      <c r="I2147" s="450"/>
      <c r="J2147" s="450"/>
      <c r="M2147" s="351"/>
      <c r="N2147" s="351"/>
      <c r="O2147" s="351"/>
      <c r="R2147" s="348" t="str">
        <f>IF(R$2166="DELETE","DELETE",IF(D2147=0,"DELETE"," "))</f>
        <v>DELETE</v>
      </c>
    </row>
    <row r="2148" spans="2:23" ht="36" customHeight="1" x14ac:dyDescent="0.5">
      <c r="B2148" s="316"/>
      <c r="C2148" s="456"/>
      <c r="D2148" s="450"/>
      <c r="E2148" s="450"/>
      <c r="F2148" s="450"/>
      <c r="G2148" s="450"/>
      <c r="H2148" s="450"/>
      <c r="I2148" s="450"/>
      <c r="J2148" s="450"/>
      <c r="M2148" s="351"/>
      <c r="N2148" s="351"/>
      <c r="O2148" s="351"/>
      <c r="R2148" s="348" t="str">
        <f t="shared" si="168"/>
        <v>DELETE</v>
      </c>
    </row>
    <row r="2149" spans="2:23" ht="36" customHeight="1" x14ac:dyDescent="0.5">
      <c r="B2149" s="316"/>
      <c r="C2149" s="456"/>
      <c r="D2149" s="456" t="s">
        <v>351</v>
      </c>
      <c r="E2149" s="450"/>
      <c r="F2149" s="450"/>
      <c r="G2149" s="450"/>
      <c r="H2149" s="450"/>
      <c r="I2149" s="450"/>
      <c r="J2149" s="450"/>
      <c r="M2149" s="351"/>
      <c r="N2149" s="351"/>
      <c r="O2149" s="351"/>
      <c r="R2149" s="348" t="str">
        <f t="shared" si="168"/>
        <v>DELETE</v>
      </c>
    </row>
    <row r="2150" spans="2:23" ht="36" customHeight="1" x14ac:dyDescent="0.5">
      <c r="B2150" s="316"/>
      <c r="C2150" s="456"/>
      <c r="D2150" s="456" t="str">
        <f>Criteria!E20</f>
        <v>28 FEBRUARY 2025</v>
      </c>
      <c r="E2150" s="450"/>
      <c r="F2150" s="450"/>
      <c r="G2150" s="450"/>
      <c r="H2150" s="450"/>
      <c r="I2150" s="450"/>
      <c r="J2150" s="450" t="s">
        <v>231</v>
      </c>
      <c r="M2150" s="351"/>
      <c r="N2150" s="351"/>
      <c r="O2150" s="351"/>
      <c r="R2150" s="348" t="str">
        <f t="shared" si="168"/>
        <v>DELETE</v>
      </c>
    </row>
    <row r="2151" spans="2:23" ht="36" customHeight="1" x14ac:dyDescent="0.5">
      <c r="B2151" s="316"/>
      <c r="C2151" s="456"/>
      <c r="D2151" s="450"/>
      <c r="E2151" s="450"/>
      <c r="F2151" s="450"/>
      <c r="G2151" s="450"/>
      <c r="H2151" s="450"/>
      <c r="I2151" s="450"/>
      <c r="J2151" s="450"/>
      <c r="M2151" s="296"/>
      <c r="N2151" s="296"/>
      <c r="O2151" s="296"/>
      <c r="R2151" s="348" t="str">
        <f t="shared" si="168"/>
        <v>DELETE</v>
      </c>
    </row>
    <row r="2152" spans="2:23" ht="36" customHeight="1" x14ac:dyDescent="0.5">
      <c r="B2152" s="447"/>
      <c r="C2152" s="465"/>
      <c r="D2152" s="460"/>
      <c r="E2152" s="460"/>
      <c r="F2152" s="460"/>
      <c r="G2152" s="460"/>
      <c r="H2152" s="460"/>
      <c r="I2152" s="460"/>
      <c r="J2152" s="460"/>
      <c r="K2152" s="364"/>
      <c r="L2152" s="364"/>
      <c r="M2152" s="297"/>
      <c r="N2152" s="297"/>
      <c r="O2152" s="297"/>
      <c r="P2152" s="367"/>
      <c r="Q2152" s="364"/>
      <c r="R2152" s="348" t="str">
        <f t="shared" si="168"/>
        <v>DELETE</v>
      </c>
    </row>
    <row r="2153" spans="2:23" ht="36" customHeight="1" x14ac:dyDescent="0.5">
      <c r="B2153" s="316"/>
      <c r="C2153" s="456"/>
      <c r="D2153" s="450"/>
      <c r="E2153" s="450"/>
      <c r="F2153" s="450"/>
      <c r="G2153" s="450"/>
      <c r="H2153" s="450"/>
      <c r="I2153" s="450"/>
      <c r="J2153" s="450"/>
      <c r="M2153" s="310"/>
      <c r="N2153" s="310"/>
      <c r="O2153" s="294">
        <f>Criteria!E22</f>
        <v>2025</v>
      </c>
      <c r="P2153" s="356"/>
      <c r="R2153" s="348" t="str">
        <f t="shared" si="168"/>
        <v>DELETE</v>
      </c>
    </row>
    <row r="2154" spans="2:23" ht="36" customHeight="1" x14ac:dyDescent="0.5">
      <c r="B2154" s="316"/>
      <c r="C2154" s="456"/>
      <c r="D2154" s="450"/>
      <c r="E2154" s="450"/>
      <c r="F2154" s="450"/>
      <c r="G2154" s="450"/>
      <c r="H2154" s="450"/>
      <c r="I2154" s="450"/>
      <c r="J2154" s="450"/>
      <c r="M2154" s="310"/>
      <c r="N2154" s="310"/>
      <c r="O2154" s="310"/>
      <c r="P2154" s="356"/>
      <c r="R2154" s="348" t="str">
        <f t="shared" si="168"/>
        <v>DELETE</v>
      </c>
    </row>
    <row r="2155" spans="2:23" ht="36" customHeight="1" x14ac:dyDescent="0.5">
      <c r="B2155" s="316">
        <f>MAX(B$602:B2154)+1</f>
        <v>29</v>
      </c>
      <c r="C2155" s="461" t="str">
        <f>IF(W2166=2,"Current tax liability","Current tax asset")</f>
        <v>Current tax liability</v>
      </c>
      <c r="D2155" s="459"/>
      <c r="E2155" s="450"/>
      <c r="F2155" s="450"/>
      <c r="G2155" s="450"/>
      <c r="H2155" s="450"/>
      <c r="I2155" s="450"/>
      <c r="J2155" s="450"/>
      <c r="M2155" s="310"/>
      <c r="N2155" s="310"/>
      <c r="O2155" s="310"/>
      <c r="P2155" s="356"/>
      <c r="R2155" s="348" t="str">
        <f t="shared" si="168"/>
        <v>DELETE</v>
      </c>
    </row>
    <row r="2156" spans="2:23" ht="36" customHeight="1" x14ac:dyDescent="0.5">
      <c r="B2156" s="316"/>
      <c r="C2156" s="461"/>
      <c r="D2156" s="459"/>
      <c r="E2156" s="450"/>
      <c r="F2156" s="450"/>
      <c r="G2156" s="450"/>
      <c r="H2156" s="450"/>
      <c r="I2156" s="450"/>
      <c r="J2156" s="450"/>
      <c r="M2156" s="310"/>
      <c r="N2156" s="310"/>
      <c r="O2156" s="310"/>
      <c r="P2156" s="356"/>
      <c r="R2156" s="348" t="str">
        <f t="shared" si="168"/>
        <v>DELETE</v>
      </c>
    </row>
    <row r="2157" spans="2:23" ht="36" customHeight="1" x14ac:dyDescent="0.5">
      <c r="B2157" s="316"/>
      <c r="C2157" s="458" t="str">
        <f>IF(W2157=2,"Current tax liability at the beginning of the year","Current tax asset at the beginning of the year")</f>
        <v>Current tax liability at the beginning of the year</v>
      </c>
      <c r="D2157" s="459"/>
      <c r="E2157" s="450"/>
      <c r="F2157" s="450"/>
      <c r="G2157" s="450"/>
      <c r="H2157" s="450"/>
      <c r="I2157" s="450"/>
      <c r="J2157" s="450"/>
      <c r="M2157" s="310"/>
      <c r="N2157" s="310"/>
      <c r="O2157" s="310">
        <f>-TrialBalance!L386</f>
        <v>0</v>
      </c>
      <c r="P2157" s="356"/>
      <c r="R2157" s="348" t="str">
        <f t="shared" ref="R2157:R2163" si="169">IF(O2157=0,"DELETE"," ")</f>
        <v>DELETE</v>
      </c>
      <c r="W2157" s="331">
        <f>IF(O2157&lt;0,1,2)</f>
        <v>2</v>
      </c>
    </row>
    <row r="2158" spans="2:23" ht="36" customHeight="1" x14ac:dyDescent="0.5">
      <c r="B2158" s="316"/>
      <c r="C2158" s="450" t="s">
        <v>1011</v>
      </c>
      <c r="D2158" s="459"/>
      <c r="E2158" s="450"/>
      <c r="F2158" s="450"/>
      <c r="G2158" s="450"/>
      <c r="H2158" s="450"/>
      <c r="I2158" s="450"/>
      <c r="J2158" s="450"/>
      <c r="M2158" s="310"/>
      <c r="N2158" s="310"/>
      <c r="O2158" s="310">
        <f>-TrialBalance!L387</f>
        <v>0</v>
      </c>
      <c r="P2158" s="356"/>
      <c r="R2158" s="348" t="str">
        <f t="shared" si="169"/>
        <v>DELETE</v>
      </c>
    </row>
    <row r="2159" spans="2:23" ht="36" customHeight="1" x14ac:dyDescent="0.5">
      <c r="B2159" s="316"/>
      <c r="C2159" s="450" t="s">
        <v>1012</v>
      </c>
      <c r="D2159" s="459"/>
      <c r="E2159" s="450"/>
      <c r="F2159" s="450"/>
      <c r="G2159" s="450"/>
      <c r="H2159" s="450"/>
      <c r="I2159" s="450"/>
      <c r="J2159" s="450"/>
      <c r="M2159" s="310"/>
      <c r="N2159" s="310"/>
      <c r="O2159" s="310">
        <f>-TrialBalance!L388</f>
        <v>0</v>
      </c>
      <c r="P2159" s="356"/>
      <c r="R2159" s="348" t="str">
        <f t="shared" si="169"/>
        <v>DELETE</v>
      </c>
    </row>
    <row r="2160" spans="2:23" ht="36" customHeight="1" x14ac:dyDescent="0.5">
      <c r="B2160" s="316"/>
      <c r="C2160" s="450" t="s">
        <v>1013</v>
      </c>
      <c r="D2160" s="459"/>
      <c r="E2160" s="450"/>
      <c r="F2160" s="450"/>
      <c r="G2160" s="450"/>
      <c r="H2160" s="450"/>
      <c r="I2160" s="450"/>
      <c r="J2160" s="450"/>
      <c r="M2160" s="310"/>
      <c r="N2160" s="310"/>
      <c r="O2160" s="310">
        <f>-TrialBalance!L389</f>
        <v>0</v>
      </c>
      <c r="P2160" s="356"/>
      <c r="R2160" s="348" t="str">
        <f t="shared" si="169"/>
        <v>DELETE</v>
      </c>
    </row>
    <row r="2161" spans="2:23" ht="36" customHeight="1" x14ac:dyDescent="0.5">
      <c r="B2161" s="316"/>
      <c r="C2161" s="450" t="s">
        <v>1014</v>
      </c>
      <c r="D2161" s="459"/>
      <c r="E2161" s="450"/>
      <c r="F2161" s="450"/>
      <c r="G2161" s="450"/>
      <c r="H2161" s="450"/>
      <c r="I2161" s="450"/>
      <c r="J2161" s="450"/>
      <c r="M2161" s="310"/>
      <c r="N2161" s="310"/>
      <c r="O2161" s="310">
        <f>-TrialBalance!L390</f>
        <v>0</v>
      </c>
      <c r="P2161" s="356"/>
      <c r="R2161" s="348" t="str">
        <f t="shared" si="169"/>
        <v>DELETE</v>
      </c>
    </row>
    <row r="2162" spans="2:23" ht="36" customHeight="1" x14ac:dyDescent="0.5">
      <c r="B2162" s="316"/>
      <c r="C2162" s="450" t="s">
        <v>1015</v>
      </c>
      <c r="D2162" s="459"/>
      <c r="E2162" s="450"/>
      <c r="F2162" s="450"/>
      <c r="G2162" s="450"/>
      <c r="H2162" s="450"/>
      <c r="I2162" s="450"/>
      <c r="J2162" s="450"/>
      <c r="M2162" s="310"/>
      <c r="N2162" s="310"/>
      <c r="O2162" s="310">
        <f>-TrialBalance!L391</f>
        <v>0</v>
      </c>
      <c r="P2162" s="356"/>
      <c r="R2162" s="348" t="str">
        <f t="shared" si="169"/>
        <v>DELETE</v>
      </c>
    </row>
    <row r="2163" spans="2:23" ht="36" customHeight="1" x14ac:dyDescent="0.5">
      <c r="B2163" s="316"/>
      <c r="C2163" s="450" t="s">
        <v>1016</v>
      </c>
      <c r="D2163" s="459"/>
      <c r="E2163" s="450"/>
      <c r="F2163" s="450"/>
      <c r="G2163" s="450"/>
      <c r="H2163" s="450"/>
      <c r="I2163" s="450"/>
      <c r="J2163" s="450"/>
      <c r="M2163" s="310"/>
      <c r="N2163" s="310"/>
      <c r="O2163" s="310">
        <f>-TrialBalance!L392</f>
        <v>0</v>
      </c>
      <c r="P2163" s="356"/>
      <c r="R2163" s="348" t="str">
        <f t="shared" si="169"/>
        <v>DELETE</v>
      </c>
    </row>
    <row r="2164" spans="2:23" ht="9" customHeight="1" x14ac:dyDescent="0.5">
      <c r="B2164" s="316"/>
      <c r="C2164" s="450"/>
      <c r="D2164" s="459"/>
      <c r="E2164" s="450"/>
      <c r="F2164" s="450"/>
      <c r="G2164" s="450"/>
      <c r="H2164" s="450"/>
      <c r="I2164" s="450"/>
      <c r="J2164" s="450"/>
      <c r="M2164" s="310"/>
      <c r="N2164" s="310"/>
      <c r="O2164" s="298"/>
      <c r="P2164" s="356"/>
      <c r="R2164" s="348" t="str">
        <f>R$2166</f>
        <v>DELETE</v>
      </c>
    </row>
    <row r="2165" spans="2:23" ht="9" customHeight="1" x14ac:dyDescent="0.5">
      <c r="B2165" s="316"/>
      <c r="C2165" s="450"/>
      <c r="D2165" s="459"/>
      <c r="E2165" s="450"/>
      <c r="F2165" s="450"/>
      <c r="G2165" s="450"/>
      <c r="H2165" s="450"/>
      <c r="I2165" s="450"/>
      <c r="J2165" s="450"/>
      <c r="M2165" s="310"/>
      <c r="N2165" s="310"/>
      <c r="O2165" s="310"/>
      <c r="P2165" s="356"/>
      <c r="R2165" s="348" t="str">
        <f>R$2166</f>
        <v>DELETE</v>
      </c>
    </row>
    <row r="2166" spans="2:23" ht="36.75" customHeight="1" x14ac:dyDescent="0.5">
      <c r="B2166" s="316"/>
      <c r="C2166" s="458" t="str">
        <f>IF(W2166=2,"Current tax liability at the end of the year","Current tax asset at the end of the year")</f>
        <v>Current tax liability at the end of the year</v>
      </c>
      <c r="D2166" s="459"/>
      <c r="E2166" s="450"/>
      <c r="F2166" s="450"/>
      <c r="G2166" s="450"/>
      <c r="H2166" s="450"/>
      <c r="I2166" s="450"/>
      <c r="J2166" s="450"/>
      <c r="M2166" s="310"/>
      <c r="N2166" s="310"/>
      <c r="O2166" s="310">
        <f>SUM(O2157:O2164)</f>
        <v>0</v>
      </c>
      <c r="P2166" s="356"/>
      <c r="R2166" s="348" t="str">
        <f>IF(O2166=0,IF(COUNTIF(O2157:O2163,"&gt;0")&gt;0," ","DELETE")," ")</f>
        <v>DELETE</v>
      </c>
      <c r="W2166" s="331">
        <f>IF(O2166&lt;0,1,2)</f>
        <v>2</v>
      </c>
    </row>
    <row r="2167" spans="2:23" ht="9" customHeight="1" thickBot="1" x14ac:dyDescent="0.55000000000000004">
      <c r="B2167" s="316"/>
      <c r="C2167" s="456"/>
      <c r="D2167" s="450"/>
      <c r="E2167" s="450"/>
      <c r="F2167" s="450"/>
      <c r="G2167" s="450"/>
      <c r="H2167" s="450"/>
      <c r="I2167" s="450"/>
      <c r="J2167" s="450"/>
      <c r="M2167" s="310"/>
      <c r="N2167" s="310"/>
      <c r="O2167" s="299"/>
      <c r="P2167" s="356"/>
      <c r="R2167" s="348" t="str">
        <f t="shared" ref="R2167:R2172" si="170">R$2166</f>
        <v>DELETE</v>
      </c>
    </row>
    <row r="2168" spans="2:23" ht="9" customHeight="1" thickTop="1" x14ac:dyDescent="0.5">
      <c r="B2168" s="316"/>
      <c r="C2168" s="456"/>
      <c r="D2168" s="450"/>
      <c r="E2168" s="450"/>
      <c r="F2168" s="450"/>
      <c r="G2168" s="450"/>
      <c r="H2168" s="450"/>
      <c r="I2168" s="450"/>
      <c r="J2168" s="450"/>
      <c r="M2168" s="310"/>
      <c r="N2168" s="310"/>
      <c r="O2168" s="310"/>
      <c r="P2168" s="356"/>
      <c r="R2168" s="348" t="str">
        <f t="shared" si="170"/>
        <v>DELETE</v>
      </c>
    </row>
    <row r="2169" spans="2:23" ht="36" customHeight="1" x14ac:dyDescent="0.5">
      <c r="B2169" s="316"/>
      <c r="C2169" s="456"/>
      <c r="D2169" s="450"/>
      <c r="E2169" s="450"/>
      <c r="F2169" s="450"/>
      <c r="G2169" s="450"/>
      <c r="H2169" s="450"/>
      <c r="I2169" s="450"/>
      <c r="J2169" s="450"/>
      <c r="M2169" s="310"/>
      <c r="N2169" s="310"/>
      <c r="O2169" s="310"/>
      <c r="P2169" s="356"/>
      <c r="R2169" s="348" t="str">
        <f t="shared" si="170"/>
        <v>DELETE</v>
      </c>
    </row>
    <row r="2170" spans="2:23" ht="36" customHeight="1" x14ac:dyDescent="0.5">
      <c r="B2170" s="316"/>
      <c r="C2170" s="456"/>
      <c r="D2170" s="450"/>
      <c r="E2170" s="450"/>
      <c r="F2170" s="450"/>
      <c r="G2170" s="450"/>
      <c r="H2170" s="450"/>
      <c r="I2170" s="450"/>
      <c r="J2170" s="450"/>
      <c r="M2170" s="310"/>
      <c r="N2170" s="310"/>
      <c r="O2170" s="310"/>
      <c r="P2170" s="356"/>
      <c r="R2170" s="348" t="str">
        <f t="shared" si="170"/>
        <v>DELETE</v>
      </c>
    </row>
    <row r="2171" spans="2:23" ht="36" customHeight="1" x14ac:dyDescent="0.5">
      <c r="B2171" s="316"/>
      <c r="C2171" s="456"/>
      <c r="D2171" s="450"/>
      <c r="E2171" s="450"/>
      <c r="F2171" s="450"/>
      <c r="G2171" s="450"/>
      <c r="H2171" s="450"/>
      <c r="I2171" s="450"/>
      <c r="J2171" s="450"/>
      <c r="M2171" s="310"/>
      <c r="N2171" s="310"/>
      <c r="O2171" s="310"/>
      <c r="P2171" s="356"/>
      <c r="R2171" s="348" t="str">
        <f t="shared" si="170"/>
        <v>DELETE</v>
      </c>
    </row>
    <row r="2172" spans="2:23" ht="36" customHeight="1" x14ac:dyDescent="0.5">
      <c r="B2172" s="316"/>
      <c r="C2172" s="456"/>
      <c r="D2172" s="450"/>
      <c r="E2172" s="450"/>
      <c r="F2172" s="450"/>
      <c r="G2172" s="450"/>
      <c r="H2172" s="450"/>
      <c r="I2172" s="450"/>
      <c r="J2172" s="450"/>
      <c r="M2172" s="296"/>
      <c r="N2172" s="296"/>
      <c r="O2172" s="296"/>
      <c r="R2172" s="348" t="str">
        <f t="shared" si="170"/>
        <v>DELETE</v>
      </c>
    </row>
    <row r="2173" spans="2:23" ht="36" customHeight="1" x14ac:dyDescent="0.5">
      <c r="B2173" s="316"/>
      <c r="C2173" s="456"/>
      <c r="D2173" s="450"/>
      <c r="E2173" s="450"/>
      <c r="F2173" s="450"/>
      <c r="G2173" s="450"/>
      <c r="H2173" s="450"/>
      <c r="I2173" s="450"/>
      <c r="J2173" s="450"/>
      <c r="M2173" s="296"/>
      <c r="N2173" s="296"/>
      <c r="O2173" s="296" t="s">
        <v>89</v>
      </c>
      <c r="Q2173" s="292">
        <f>MAX($Q$105:Q2172)+1</f>
        <v>60</v>
      </c>
      <c r="R2173" s="348" t="str">
        <f>R$2192</f>
        <v>DELETE</v>
      </c>
    </row>
    <row r="2174" spans="2:23" ht="36" customHeight="1" x14ac:dyDescent="0.5">
      <c r="B2174" s="316"/>
      <c r="C2174" s="456"/>
      <c r="D2174" s="456" t="str">
        <f>Criteria!E9</f>
        <v>HOLDING COMPANY 268 (PROPRIETARY) LIMITED</v>
      </c>
      <c r="E2174" s="450"/>
      <c r="F2174" s="450"/>
      <c r="G2174" s="450"/>
      <c r="H2174" s="450"/>
      <c r="I2174" s="450"/>
      <c r="J2174" s="450"/>
      <c r="M2174" s="351"/>
      <c r="N2174" s="351"/>
      <c r="O2174" s="347"/>
      <c r="R2174" s="348" t="str">
        <f>R$2192</f>
        <v>DELETE</v>
      </c>
    </row>
    <row r="2175" spans="2:23" ht="36" customHeight="1" x14ac:dyDescent="0.5">
      <c r="B2175" s="316"/>
      <c r="C2175" s="456"/>
      <c r="D2175" s="456" t="str">
        <f>Criteria!E10</f>
        <v>CONSOLIDATED FINANCIAL STATEMENTS</v>
      </c>
      <c r="E2175" s="450"/>
      <c r="F2175" s="450"/>
      <c r="G2175" s="450"/>
      <c r="H2175" s="450"/>
      <c r="I2175" s="450"/>
      <c r="J2175" s="450"/>
      <c r="M2175" s="351"/>
      <c r="N2175" s="351"/>
      <c r="O2175" s="351"/>
      <c r="R2175" s="348" t="str">
        <f>IF(R$2192="DELETE","DELETE",IF(D2175=0,"DELETE"," "))</f>
        <v>DELETE</v>
      </c>
    </row>
    <row r="2176" spans="2:23" ht="36" customHeight="1" x14ac:dyDescent="0.5">
      <c r="B2176" s="316"/>
      <c r="C2176" s="456"/>
      <c r="D2176" s="450"/>
      <c r="E2176" s="450"/>
      <c r="F2176" s="450"/>
      <c r="G2176" s="450"/>
      <c r="H2176" s="450"/>
      <c r="I2176" s="450"/>
      <c r="J2176" s="450"/>
      <c r="M2176" s="351"/>
      <c r="N2176" s="351"/>
      <c r="O2176" s="351"/>
      <c r="R2176" s="348" t="str">
        <f t="shared" ref="R2176:R2186" si="171">R$2192</f>
        <v>DELETE</v>
      </c>
    </row>
    <row r="2177" spans="2:18" ht="36" customHeight="1" x14ac:dyDescent="0.5">
      <c r="B2177" s="316"/>
      <c r="C2177" s="456"/>
      <c r="D2177" s="456" t="s">
        <v>351</v>
      </c>
      <c r="E2177" s="450"/>
      <c r="F2177" s="450"/>
      <c r="G2177" s="450"/>
      <c r="H2177" s="450"/>
      <c r="I2177" s="450"/>
      <c r="J2177" s="450"/>
      <c r="M2177" s="351"/>
      <c r="N2177" s="351"/>
      <c r="O2177" s="351"/>
      <c r="R2177" s="348" t="str">
        <f t="shared" si="171"/>
        <v>DELETE</v>
      </c>
    </row>
    <row r="2178" spans="2:18" ht="36" customHeight="1" x14ac:dyDescent="0.5">
      <c r="B2178" s="316"/>
      <c r="C2178" s="456"/>
      <c r="D2178" s="456" t="str">
        <f>Criteria!E20</f>
        <v>28 FEBRUARY 2025</v>
      </c>
      <c r="E2178" s="450"/>
      <c r="F2178" s="450"/>
      <c r="G2178" s="450"/>
      <c r="H2178" s="450"/>
      <c r="I2178" s="450"/>
      <c r="J2178" s="450" t="s">
        <v>231</v>
      </c>
      <c r="M2178" s="351"/>
      <c r="N2178" s="351"/>
      <c r="O2178" s="351"/>
      <c r="R2178" s="348" t="str">
        <f t="shared" si="171"/>
        <v>DELETE</v>
      </c>
    </row>
    <row r="2179" spans="2:18" ht="36" customHeight="1" x14ac:dyDescent="0.5">
      <c r="B2179" s="316"/>
      <c r="C2179" s="456"/>
      <c r="D2179" s="450"/>
      <c r="E2179" s="450"/>
      <c r="F2179" s="450"/>
      <c r="G2179" s="450"/>
      <c r="H2179" s="450"/>
      <c r="I2179" s="450"/>
      <c r="J2179" s="450"/>
      <c r="M2179" s="296"/>
      <c r="N2179" s="296"/>
      <c r="O2179" s="296"/>
      <c r="R2179" s="348" t="str">
        <f t="shared" si="171"/>
        <v>DELETE</v>
      </c>
    </row>
    <row r="2180" spans="2:18" ht="36" customHeight="1" x14ac:dyDescent="0.5">
      <c r="B2180" s="447"/>
      <c r="C2180" s="465"/>
      <c r="D2180" s="460"/>
      <c r="E2180" s="460"/>
      <c r="F2180" s="460"/>
      <c r="G2180" s="460"/>
      <c r="H2180" s="460"/>
      <c r="I2180" s="460"/>
      <c r="J2180" s="460"/>
      <c r="K2180" s="364"/>
      <c r="L2180" s="364"/>
      <c r="M2180" s="297"/>
      <c r="N2180" s="297"/>
      <c r="O2180" s="297"/>
      <c r="P2180" s="367"/>
      <c r="Q2180" s="364"/>
      <c r="R2180" s="348" t="str">
        <f t="shared" si="171"/>
        <v>DELETE</v>
      </c>
    </row>
    <row r="2181" spans="2:18" ht="36" customHeight="1" x14ac:dyDescent="0.5">
      <c r="B2181" s="316"/>
      <c r="C2181" s="456"/>
      <c r="D2181" s="450"/>
      <c r="E2181" s="450"/>
      <c r="F2181" s="450"/>
      <c r="G2181" s="450"/>
      <c r="H2181" s="450"/>
      <c r="I2181" s="450"/>
      <c r="J2181" s="450"/>
      <c r="M2181" s="310"/>
      <c r="N2181" s="310"/>
      <c r="O2181" s="294">
        <f>Criteria!E22</f>
        <v>2025</v>
      </c>
      <c r="P2181" s="356"/>
      <c r="R2181" s="348" t="str">
        <f t="shared" si="171"/>
        <v>DELETE</v>
      </c>
    </row>
    <row r="2182" spans="2:18" ht="36" customHeight="1" x14ac:dyDescent="0.5">
      <c r="B2182" s="316"/>
      <c r="C2182" s="456"/>
      <c r="D2182" s="450"/>
      <c r="E2182" s="450"/>
      <c r="F2182" s="450"/>
      <c r="G2182" s="450"/>
      <c r="H2182" s="450"/>
      <c r="I2182" s="450"/>
      <c r="J2182" s="450"/>
      <c r="M2182" s="310"/>
      <c r="N2182" s="310"/>
      <c r="O2182" s="310"/>
      <c r="P2182" s="356"/>
      <c r="R2182" s="348" t="str">
        <f t="shared" si="171"/>
        <v>DELETE</v>
      </c>
    </row>
    <row r="2183" spans="2:18" ht="36" customHeight="1" x14ac:dyDescent="0.5">
      <c r="B2183" s="316">
        <f>MAX(B$602:B2182)+1</f>
        <v>30</v>
      </c>
      <c r="C2183" s="456" t="s">
        <v>1070</v>
      </c>
      <c r="D2183" s="450"/>
      <c r="E2183" s="450"/>
      <c r="F2183" s="450"/>
      <c r="G2183" s="450"/>
      <c r="H2183" s="450"/>
      <c r="I2183" s="450"/>
      <c r="J2183" s="450"/>
      <c r="M2183" s="310"/>
      <c r="N2183" s="310"/>
      <c r="O2183" s="310"/>
      <c r="P2183" s="356"/>
      <c r="R2183" s="348" t="str">
        <f t="shared" si="171"/>
        <v>DELETE</v>
      </c>
    </row>
    <row r="2184" spans="2:18" ht="36" customHeight="1" x14ac:dyDescent="0.5">
      <c r="B2184" s="316"/>
      <c r="C2184" s="456"/>
      <c r="D2184" s="450"/>
      <c r="E2184" s="450"/>
      <c r="F2184" s="450"/>
      <c r="G2184" s="450"/>
      <c r="H2184" s="450"/>
      <c r="I2184" s="450"/>
      <c r="J2184" s="450"/>
      <c r="M2184" s="310"/>
      <c r="N2184" s="310"/>
      <c r="O2184" s="310"/>
      <c r="P2184" s="356"/>
      <c r="R2184" s="348" t="str">
        <f t="shared" si="171"/>
        <v>DELETE</v>
      </c>
    </row>
    <row r="2185" spans="2:18" ht="36" customHeight="1" x14ac:dyDescent="0.5">
      <c r="B2185" s="316"/>
      <c r="C2185" s="450" t="s">
        <v>971</v>
      </c>
      <c r="D2185" s="459"/>
      <c r="E2185" s="450"/>
      <c r="F2185" s="450"/>
      <c r="G2185" s="450"/>
      <c r="H2185" s="450"/>
      <c r="I2185" s="450"/>
      <c r="J2185" s="450"/>
      <c r="M2185" s="310"/>
      <c r="N2185" s="310"/>
      <c r="O2185" s="310"/>
      <c r="P2185" s="356"/>
      <c r="R2185" s="348" t="str">
        <f t="shared" si="171"/>
        <v>DELETE</v>
      </c>
    </row>
    <row r="2186" spans="2:18" ht="36" customHeight="1" x14ac:dyDescent="0.5">
      <c r="B2186" s="316"/>
      <c r="C2186" s="456"/>
      <c r="D2186" s="450"/>
      <c r="E2186" s="450"/>
      <c r="F2186" s="450"/>
      <c r="G2186" s="450"/>
      <c r="H2186" s="450"/>
      <c r="I2186" s="450"/>
      <c r="J2186" s="450"/>
      <c r="M2186" s="310"/>
      <c r="N2186" s="310"/>
      <c r="O2186" s="310"/>
      <c r="P2186" s="356"/>
      <c r="R2186" s="348" t="str">
        <f t="shared" si="171"/>
        <v>DELETE</v>
      </c>
    </row>
    <row r="2187" spans="2:18" ht="36" customHeight="1" x14ac:dyDescent="0.5">
      <c r="B2187" s="316"/>
      <c r="C2187" s="450" t="s">
        <v>967</v>
      </c>
      <c r="D2187" s="450"/>
      <c r="E2187" s="459"/>
      <c r="F2187" s="450"/>
      <c r="G2187" s="450"/>
      <c r="H2187" s="450"/>
      <c r="I2187" s="450"/>
      <c r="J2187" s="450"/>
      <c r="M2187" s="310"/>
      <c r="N2187" s="310"/>
      <c r="O2187" s="310">
        <f>Criteria!F355</f>
        <v>0</v>
      </c>
      <c r="P2187" s="356"/>
      <c r="R2187" s="348" t="str">
        <f t="shared" ref="R2187:R2188" si="172">IF(O2187=0,"DELETE"," ")</f>
        <v>DELETE</v>
      </c>
    </row>
    <row r="2188" spans="2:18" ht="36" customHeight="1" x14ac:dyDescent="0.5">
      <c r="B2188" s="316"/>
      <c r="C2188" s="450" t="s">
        <v>972</v>
      </c>
      <c r="D2188" s="450"/>
      <c r="E2188" s="459"/>
      <c r="F2188" s="450"/>
      <c r="G2188" s="450"/>
      <c r="H2188" s="450"/>
      <c r="I2188" s="450"/>
      <c r="J2188" s="450"/>
      <c r="M2188" s="310"/>
      <c r="N2188" s="310"/>
      <c r="O2188" s="310">
        <f>Criteria!F356</f>
        <v>0</v>
      </c>
      <c r="P2188" s="356"/>
      <c r="R2188" s="348" t="str">
        <f t="shared" si="172"/>
        <v>DELETE</v>
      </c>
    </row>
    <row r="2189" spans="2:18" ht="36" customHeight="1" x14ac:dyDescent="0.5">
      <c r="B2189" s="316"/>
      <c r="C2189" s="450" t="s">
        <v>969</v>
      </c>
      <c r="D2189" s="450"/>
      <c r="E2189" s="459"/>
      <c r="F2189" s="450"/>
      <c r="G2189" s="450"/>
      <c r="H2189" s="450"/>
      <c r="I2189" s="450"/>
      <c r="J2189" s="450"/>
      <c r="M2189" s="310"/>
      <c r="N2189" s="310"/>
      <c r="O2189" s="310">
        <f>Criteria!F357</f>
        <v>0</v>
      </c>
      <c r="P2189" s="356"/>
      <c r="R2189" s="348" t="str">
        <f>IF(O2189=0,"DELETE"," ")</f>
        <v>DELETE</v>
      </c>
    </row>
    <row r="2190" spans="2:18" ht="9" customHeight="1" x14ac:dyDescent="0.5">
      <c r="B2190" s="316"/>
      <c r="C2190" s="456"/>
      <c r="D2190" s="450"/>
      <c r="E2190" s="450"/>
      <c r="F2190" s="450"/>
      <c r="G2190" s="450"/>
      <c r="H2190" s="450"/>
      <c r="I2190" s="450"/>
      <c r="J2190" s="450"/>
      <c r="M2190" s="310"/>
      <c r="N2190" s="310"/>
      <c r="O2190" s="298"/>
      <c r="P2190" s="356"/>
      <c r="R2190" s="348" t="str">
        <f>R$2192</f>
        <v>DELETE</v>
      </c>
    </row>
    <row r="2191" spans="2:18" ht="9" customHeight="1" x14ac:dyDescent="0.5">
      <c r="B2191" s="316"/>
      <c r="C2191" s="456"/>
      <c r="D2191" s="450"/>
      <c r="E2191" s="450"/>
      <c r="F2191" s="450"/>
      <c r="G2191" s="450"/>
      <c r="H2191" s="450"/>
      <c r="I2191" s="450"/>
      <c r="J2191" s="450"/>
      <c r="M2191" s="310"/>
      <c r="N2191" s="310"/>
      <c r="O2191" s="310"/>
      <c r="P2191" s="356"/>
      <c r="R2191" s="348" t="str">
        <f>R$2192</f>
        <v>DELETE</v>
      </c>
    </row>
    <row r="2192" spans="2:18" ht="36.75" customHeight="1" x14ac:dyDescent="0.5">
      <c r="B2192" s="316"/>
      <c r="C2192" s="456"/>
      <c r="D2192" s="450"/>
      <c r="E2192" s="450"/>
      <c r="F2192" s="450"/>
      <c r="G2192" s="450"/>
      <c r="H2192" s="450"/>
      <c r="I2192" s="450"/>
      <c r="J2192" s="450"/>
      <c r="M2192" s="310"/>
      <c r="N2192" s="310"/>
      <c r="O2192" s="310">
        <f>SUM(O2187:O2191)</f>
        <v>0</v>
      </c>
      <c r="P2192" s="356"/>
      <c r="R2192" s="348" t="str">
        <f>IF(O2192=0,"DELETE"," ")</f>
        <v>DELETE</v>
      </c>
    </row>
    <row r="2193" spans="2:18" ht="9" customHeight="1" thickBot="1" x14ac:dyDescent="0.55000000000000004">
      <c r="B2193" s="316"/>
      <c r="C2193" s="456"/>
      <c r="D2193" s="450"/>
      <c r="E2193" s="450"/>
      <c r="F2193" s="450"/>
      <c r="G2193" s="450"/>
      <c r="H2193" s="450"/>
      <c r="I2193" s="450"/>
      <c r="J2193" s="450"/>
      <c r="M2193" s="310"/>
      <c r="N2193" s="310"/>
      <c r="O2193" s="299"/>
      <c r="P2193" s="356"/>
      <c r="R2193" s="348" t="str">
        <f t="shared" ref="R2193:R2198" si="173">R$2192</f>
        <v>DELETE</v>
      </c>
    </row>
    <row r="2194" spans="2:18" ht="9" customHeight="1" thickTop="1" x14ac:dyDescent="0.5">
      <c r="B2194" s="316"/>
      <c r="C2194" s="456"/>
      <c r="D2194" s="450"/>
      <c r="E2194" s="450"/>
      <c r="F2194" s="450"/>
      <c r="G2194" s="450"/>
      <c r="H2194" s="450"/>
      <c r="I2194" s="450"/>
      <c r="J2194" s="450"/>
      <c r="M2194" s="310"/>
      <c r="N2194" s="310"/>
      <c r="O2194" s="310"/>
      <c r="P2194" s="356"/>
      <c r="R2194" s="348" t="str">
        <f t="shared" si="173"/>
        <v>DELETE</v>
      </c>
    </row>
    <row r="2195" spans="2:18" ht="36" customHeight="1" x14ac:dyDescent="0.5">
      <c r="B2195" s="316"/>
      <c r="C2195" s="456"/>
      <c r="D2195" s="450"/>
      <c r="E2195" s="450"/>
      <c r="F2195" s="450"/>
      <c r="G2195" s="450"/>
      <c r="H2195" s="450"/>
      <c r="I2195" s="450"/>
      <c r="J2195" s="450"/>
      <c r="M2195" s="310"/>
      <c r="N2195" s="310"/>
      <c r="O2195" s="310"/>
      <c r="P2195" s="356"/>
      <c r="R2195" s="348" t="str">
        <f t="shared" si="173"/>
        <v>DELETE</v>
      </c>
    </row>
    <row r="2196" spans="2:18" ht="36" customHeight="1" x14ac:dyDescent="0.5">
      <c r="B2196" s="316"/>
      <c r="C2196" s="456"/>
      <c r="D2196" s="450"/>
      <c r="E2196" s="450"/>
      <c r="F2196" s="450"/>
      <c r="G2196" s="450"/>
      <c r="H2196" s="450"/>
      <c r="I2196" s="450"/>
      <c r="J2196" s="450"/>
      <c r="M2196" s="310"/>
      <c r="N2196" s="310"/>
      <c r="O2196" s="310"/>
      <c r="P2196" s="356"/>
      <c r="R2196" s="348" t="str">
        <f t="shared" si="173"/>
        <v>DELETE</v>
      </c>
    </row>
    <row r="2197" spans="2:18" ht="36" customHeight="1" x14ac:dyDescent="0.5">
      <c r="B2197" s="316"/>
      <c r="C2197" s="456"/>
      <c r="D2197" s="450"/>
      <c r="E2197" s="450"/>
      <c r="F2197" s="450"/>
      <c r="G2197" s="450"/>
      <c r="H2197" s="450"/>
      <c r="I2197" s="450"/>
      <c r="J2197" s="450"/>
      <c r="M2197" s="310"/>
      <c r="N2197" s="310"/>
      <c r="O2197" s="310"/>
      <c r="P2197" s="356"/>
      <c r="R2197" s="348" t="str">
        <f t="shared" si="173"/>
        <v>DELETE</v>
      </c>
    </row>
    <row r="2198" spans="2:18" ht="36" customHeight="1" x14ac:dyDescent="0.5">
      <c r="B2198" s="316"/>
      <c r="C2198" s="456"/>
      <c r="D2198" s="450"/>
      <c r="E2198" s="450"/>
      <c r="F2198" s="450"/>
      <c r="G2198" s="450"/>
      <c r="H2198" s="450"/>
      <c r="I2198" s="450"/>
      <c r="J2198" s="450"/>
      <c r="M2198" s="296"/>
      <c r="N2198" s="296"/>
      <c r="O2198" s="296"/>
      <c r="R2198" s="348" t="str">
        <f t="shared" si="173"/>
        <v>DELETE</v>
      </c>
    </row>
    <row r="2199" spans="2:18" ht="36" customHeight="1" x14ac:dyDescent="0.5">
      <c r="B2199" s="316"/>
      <c r="C2199" s="456"/>
      <c r="D2199" s="450"/>
      <c r="E2199" s="450"/>
      <c r="F2199" s="450"/>
      <c r="G2199" s="450"/>
      <c r="H2199" s="450"/>
      <c r="I2199" s="450"/>
      <c r="J2199" s="450"/>
      <c r="M2199" s="296"/>
      <c r="N2199" s="296"/>
      <c r="O2199" s="296" t="s">
        <v>89</v>
      </c>
      <c r="Q2199" s="292">
        <f>MAX($Q$105:Q2198)+1</f>
        <v>61</v>
      </c>
      <c r="R2199" s="348" t="str">
        <f>IF(O2217+O2229=0,"DELETE"," ")</f>
        <v>DELETE</v>
      </c>
    </row>
    <row r="2200" spans="2:18" ht="36" customHeight="1" x14ac:dyDescent="0.5">
      <c r="B2200" s="316"/>
      <c r="C2200" s="456"/>
      <c r="D2200" s="456" t="str">
        <f>Criteria!E9</f>
        <v>HOLDING COMPANY 268 (PROPRIETARY) LIMITED</v>
      </c>
      <c r="E2200" s="450"/>
      <c r="F2200" s="450"/>
      <c r="G2200" s="450"/>
      <c r="H2200" s="450"/>
      <c r="I2200" s="450"/>
      <c r="J2200" s="450"/>
      <c r="M2200" s="351"/>
      <c r="N2200" s="351"/>
      <c r="O2200" s="347"/>
      <c r="R2200" s="348" t="str">
        <f>R$2199</f>
        <v>DELETE</v>
      </c>
    </row>
    <row r="2201" spans="2:18" ht="36" customHeight="1" x14ac:dyDescent="0.5">
      <c r="B2201" s="316"/>
      <c r="C2201" s="456"/>
      <c r="D2201" s="456" t="str">
        <f>Criteria!E10</f>
        <v>CONSOLIDATED FINANCIAL STATEMENTS</v>
      </c>
      <c r="E2201" s="450"/>
      <c r="F2201" s="450"/>
      <c r="G2201" s="450"/>
      <c r="H2201" s="450"/>
      <c r="I2201" s="450"/>
      <c r="J2201" s="450"/>
      <c r="M2201" s="351"/>
      <c r="N2201" s="351"/>
      <c r="O2201" s="351"/>
      <c r="R2201" s="348" t="str">
        <f>IF(R$2199="DELETE","DELETE",IF(D2201=0,"DELETE"," "))</f>
        <v>DELETE</v>
      </c>
    </row>
    <row r="2202" spans="2:18" ht="36" customHeight="1" x14ac:dyDescent="0.5">
      <c r="B2202" s="316"/>
      <c r="C2202" s="456"/>
      <c r="D2202" s="450"/>
      <c r="E2202" s="450"/>
      <c r="F2202" s="450"/>
      <c r="G2202" s="450"/>
      <c r="H2202" s="450"/>
      <c r="I2202" s="450"/>
      <c r="J2202" s="450"/>
      <c r="M2202" s="351"/>
      <c r="N2202" s="351"/>
      <c r="O2202" s="351"/>
      <c r="R2202" s="348" t="str">
        <f t="shared" ref="R2202:R2210" si="174">R$2199</f>
        <v>DELETE</v>
      </c>
    </row>
    <row r="2203" spans="2:18" ht="36" customHeight="1" x14ac:dyDescent="0.5">
      <c r="B2203" s="316"/>
      <c r="C2203" s="456"/>
      <c r="D2203" s="456" t="s">
        <v>351</v>
      </c>
      <c r="E2203" s="450"/>
      <c r="F2203" s="450"/>
      <c r="G2203" s="450"/>
      <c r="H2203" s="450"/>
      <c r="I2203" s="450"/>
      <c r="J2203" s="450"/>
      <c r="M2203" s="351"/>
      <c r="N2203" s="351"/>
      <c r="O2203" s="351"/>
      <c r="R2203" s="348" t="str">
        <f t="shared" si="174"/>
        <v>DELETE</v>
      </c>
    </row>
    <row r="2204" spans="2:18" ht="36" customHeight="1" x14ac:dyDescent="0.5">
      <c r="B2204" s="316"/>
      <c r="C2204" s="456"/>
      <c r="D2204" s="456" t="str">
        <f>Criteria!E20</f>
        <v>28 FEBRUARY 2025</v>
      </c>
      <c r="E2204" s="450"/>
      <c r="F2204" s="450"/>
      <c r="G2204" s="450"/>
      <c r="H2204" s="450"/>
      <c r="I2204" s="450"/>
      <c r="J2204" s="450" t="s">
        <v>231</v>
      </c>
      <c r="M2204" s="351"/>
      <c r="N2204" s="351"/>
      <c r="O2204" s="351"/>
      <c r="R2204" s="348" t="str">
        <f t="shared" si="174"/>
        <v>DELETE</v>
      </c>
    </row>
    <row r="2205" spans="2:18" ht="36" customHeight="1" x14ac:dyDescent="0.5">
      <c r="B2205" s="316"/>
      <c r="C2205" s="456"/>
      <c r="D2205" s="450"/>
      <c r="E2205" s="450"/>
      <c r="F2205" s="450"/>
      <c r="G2205" s="450"/>
      <c r="H2205" s="450"/>
      <c r="I2205" s="450"/>
      <c r="J2205" s="450"/>
      <c r="M2205" s="296"/>
      <c r="N2205" s="296"/>
      <c r="O2205" s="296"/>
      <c r="R2205" s="348" t="str">
        <f t="shared" si="174"/>
        <v>DELETE</v>
      </c>
    </row>
    <row r="2206" spans="2:18" ht="36" customHeight="1" x14ac:dyDescent="0.5">
      <c r="B2206" s="447"/>
      <c r="C2206" s="465"/>
      <c r="D2206" s="460"/>
      <c r="E2206" s="460"/>
      <c r="F2206" s="460"/>
      <c r="G2206" s="460"/>
      <c r="H2206" s="460"/>
      <c r="I2206" s="460"/>
      <c r="J2206" s="460"/>
      <c r="K2206" s="364"/>
      <c r="L2206" s="364"/>
      <c r="M2206" s="297"/>
      <c r="N2206" s="297"/>
      <c r="O2206" s="297"/>
      <c r="P2206" s="367"/>
      <c r="Q2206" s="364"/>
      <c r="R2206" s="348" t="str">
        <f t="shared" si="174"/>
        <v>DELETE</v>
      </c>
    </row>
    <row r="2207" spans="2:18" ht="36" customHeight="1" x14ac:dyDescent="0.5">
      <c r="B2207" s="316"/>
      <c r="C2207" s="456"/>
      <c r="D2207" s="450"/>
      <c r="E2207" s="450"/>
      <c r="F2207" s="450"/>
      <c r="G2207" s="450"/>
      <c r="H2207" s="450"/>
      <c r="I2207" s="450"/>
      <c r="J2207" s="450"/>
      <c r="M2207" s="310"/>
      <c r="N2207" s="310"/>
      <c r="O2207" s="294">
        <f>Criteria!E22</f>
        <v>2025</v>
      </c>
      <c r="P2207" s="356"/>
      <c r="R2207" s="348" t="str">
        <f t="shared" si="174"/>
        <v>DELETE</v>
      </c>
    </row>
    <row r="2208" spans="2:18" ht="36" customHeight="1" x14ac:dyDescent="0.5">
      <c r="B2208" s="316"/>
      <c r="C2208" s="456"/>
      <c r="D2208" s="450"/>
      <c r="E2208" s="450"/>
      <c r="F2208" s="450"/>
      <c r="G2208" s="450"/>
      <c r="H2208" s="450"/>
      <c r="I2208" s="450"/>
      <c r="J2208" s="450"/>
      <c r="M2208" s="310"/>
      <c r="N2208" s="310"/>
      <c r="O2208" s="310"/>
      <c r="P2208" s="356"/>
      <c r="R2208" s="348" t="str">
        <f t="shared" si="174"/>
        <v>DELETE</v>
      </c>
    </row>
    <row r="2209" spans="2:18" ht="36" customHeight="1" x14ac:dyDescent="0.5">
      <c r="B2209" s="316">
        <f>MAX(B$602:B2208)+1</f>
        <v>31</v>
      </c>
      <c r="C2209" s="456" t="s">
        <v>1071</v>
      </c>
      <c r="D2209" s="450"/>
      <c r="E2209" s="450"/>
      <c r="F2209" s="450"/>
      <c r="G2209" s="450"/>
      <c r="H2209" s="450"/>
      <c r="I2209" s="450"/>
      <c r="J2209" s="450"/>
      <c r="M2209" s="310"/>
      <c r="N2209" s="310"/>
      <c r="O2209" s="310"/>
      <c r="P2209" s="356"/>
      <c r="R2209" s="348" t="str">
        <f t="shared" si="174"/>
        <v>DELETE</v>
      </c>
    </row>
    <row r="2210" spans="2:18" ht="36" customHeight="1" x14ac:dyDescent="0.5">
      <c r="B2210" s="316"/>
      <c r="C2210" s="456"/>
      <c r="D2210" s="450"/>
      <c r="E2210" s="450"/>
      <c r="F2210" s="450"/>
      <c r="G2210" s="450"/>
      <c r="H2210" s="450"/>
      <c r="I2210" s="450"/>
      <c r="J2210" s="450"/>
      <c r="M2210" s="310"/>
      <c r="N2210" s="310"/>
      <c r="O2210" s="310"/>
      <c r="P2210" s="356"/>
      <c r="R2210" s="348" t="str">
        <f t="shared" si="174"/>
        <v>DELETE</v>
      </c>
    </row>
    <row r="2211" spans="2:18" ht="36" customHeight="1" x14ac:dyDescent="0.5">
      <c r="B2211" s="316"/>
      <c r="C2211" s="450" t="str">
        <f>Criteria!F362</f>
        <v>The Group rents several sales offices under operating leases. The leases are for an</v>
      </c>
      <c r="D2211" s="459"/>
      <c r="E2211" s="450"/>
      <c r="F2211" s="450"/>
      <c r="G2211" s="450"/>
      <c r="H2211" s="450"/>
      <c r="I2211" s="450"/>
      <c r="J2211" s="450"/>
      <c r="M2211" s="310"/>
      <c r="N2211" s="310"/>
      <c r="O2211" s="310"/>
      <c r="P2211" s="356"/>
      <c r="R2211" s="348" t="str">
        <f>IF(C2211=0,"DELETE"," ")</f>
        <v xml:space="preserve"> </v>
      </c>
    </row>
    <row r="2212" spans="2:18" ht="36" customHeight="1" x14ac:dyDescent="0.5">
      <c r="B2212" s="316"/>
      <c r="C2212" s="450" t="str">
        <f>Criteria!F363</f>
        <v>average period of five years, with fixed rentals over the same period.</v>
      </c>
      <c r="D2212" s="459"/>
      <c r="E2212" s="450"/>
      <c r="F2212" s="450"/>
      <c r="G2212" s="450"/>
      <c r="H2212" s="450"/>
      <c r="I2212" s="450"/>
      <c r="J2212" s="450"/>
      <c r="M2212" s="310"/>
      <c r="N2212" s="310"/>
      <c r="O2212" s="310"/>
      <c r="P2212" s="356"/>
      <c r="R2212" s="348" t="str">
        <f>IF(C2212=0,"DELETE"," ")</f>
        <v xml:space="preserve"> </v>
      </c>
    </row>
    <row r="2213" spans="2:18" ht="36" customHeight="1" x14ac:dyDescent="0.5">
      <c r="B2213" s="316"/>
      <c r="C2213" s="450" t="str">
        <f>Criteria!F364</f>
        <v>The Group also leases office equipment for an average period of 3 years, with fixed</v>
      </c>
      <c r="D2213" s="459"/>
      <c r="E2213" s="450"/>
      <c r="F2213" s="450"/>
      <c r="G2213" s="450"/>
      <c r="H2213" s="450"/>
      <c r="I2213" s="450"/>
      <c r="J2213" s="450"/>
      <c r="M2213" s="310"/>
      <c r="N2213" s="310"/>
      <c r="O2213" s="310"/>
      <c r="P2213" s="356"/>
      <c r="R2213" s="348" t="str">
        <f>IF(C2213=0,"DELETE"," ")</f>
        <v xml:space="preserve"> </v>
      </c>
    </row>
    <row r="2214" spans="2:18" ht="36" customHeight="1" x14ac:dyDescent="0.5">
      <c r="B2214" s="316"/>
      <c r="C2214" s="450" t="str">
        <f>Criteria!F365</f>
        <v>rentals over the same period.</v>
      </c>
      <c r="D2214" s="459"/>
      <c r="E2214" s="450"/>
      <c r="F2214" s="450"/>
      <c r="G2214" s="450"/>
      <c r="H2214" s="450"/>
      <c r="I2214" s="450"/>
      <c r="J2214" s="450"/>
      <c r="M2214" s="310"/>
      <c r="N2214" s="310"/>
      <c r="O2214" s="310"/>
      <c r="P2214" s="356"/>
      <c r="R2214" s="348" t="str">
        <f>IF(C2214=0,"DELETE"," ")</f>
        <v xml:space="preserve"> </v>
      </c>
    </row>
    <row r="2215" spans="2:18" ht="36" customHeight="1" x14ac:dyDescent="0.5">
      <c r="B2215" s="316"/>
      <c r="C2215" s="450"/>
      <c r="D2215" s="459"/>
      <c r="E2215" s="450"/>
      <c r="F2215" s="450"/>
      <c r="G2215" s="450"/>
      <c r="H2215" s="450"/>
      <c r="I2215" s="450"/>
      <c r="J2215" s="450"/>
      <c r="M2215" s="310"/>
      <c r="N2215" s="310"/>
      <c r="O2215" s="310"/>
      <c r="P2215" s="356"/>
      <c r="R2215" s="348" t="str">
        <f>R2211</f>
        <v xml:space="preserve"> </v>
      </c>
    </row>
    <row r="2216" spans="2:18" ht="36" customHeight="1" x14ac:dyDescent="0.5">
      <c r="B2216" s="316"/>
      <c r="C2216" s="450" t="s">
        <v>1105</v>
      </c>
      <c r="D2216" s="459"/>
      <c r="E2216" s="450"/>
      <c r="F2216" s="450"/>
      <c r="G2216" s="450"/>
      <c r="H2216" s="450"/>
      <c r="I2216" s="450"/>
      <c r="J2216" s="450"/>
      <c r="M2216" s="310"/>
      <c r="N2216" s="310"/>
      <c r="O2216" s="310"/>
      <c r="P2216" s="356"/>
      <c r="R2216" s="348" t="str">
        <f>IF(O2217=0,"DELETE"," ")</f>
        <v>DELETE</v>
      </c>
    </row>
    <row r="2217" spans="2:18" ht="36" customHeight="1" x14ac:dyDescent="0.5">
      <c r="B2217" s="316"/>
      <c r="C2217" s="450" t="s">
        <v>1106</v>
      </c>
      <c r="D2217" s="459"/>
      <c r="E2217" s="450"/>
      <c r="F2217" s="450"/>
      <c r="G2217" s="450"/>
      <c r="H2217" s="450"/>
      <c r="I2217" s="450"/>
      <c r="J2217" s="450"/>
      <c r="M2217" s="310"/>
      <c r="N2217" s="310"/>
      <c r="O2217" s="310">
        <f>TrialBalance!L49+TrialBalanceA!I49+TrialBalanceB!I49+TrialBalanceC!I49+SUM(TrialBalance!L61:L63)+SUM(TrialBalanceA!I61:I63)+SUM(TrialBalanceB!I61:I63)+SUM(TrialBalanceC!I61:I63)</f>
        <v>0</v>
      </c>
      <c r="P2217" s="356"/>
      <c r="R2217" s="348" t="str">
        <f>IF(O2217=0,"DELETE"," ")</f>
        <v>DELETE</v>
      </c>
    </row>
    <row r="2218" spans="2:18" ht="9" customHeight="1" thickBot="1" x14ac:dyDescent="0.55000000000000004">
      <c r="B2218" s="316"/>
      <c r="C2218" s="450"/>
      <c r="D2218" s="459"/>
      <c r="E2218" s="450"/>
      <c r="F2218" s="450"/>
      <c r="G2218" s="450"/>
      <c r="H2218" s="450"/>
      <c r="I2218" s="450"/>
      <c r="J2218" s="450"/>
      <c r="M2218" s="310"/>
      <c r="N2218" s="310"/>
      <c r="O2218" s="299"/>
      <c r="P2218" s="356"/>
      <c r="R2218" s="348" t="str">
        <f>R$2217</f>
        <v>DELETE</v>
      </c>
    </row>
    <row r="2219" spans="2:18" ht="9" customHeight="1" thickTop="1" x14ac:dyDescent="0.5">
      <c r="B2219" s="316"/>
      <c r="C2219" s="450"/>
      <c r="D2219" s="459"/>
      <c r="E2219" s="450"/>
      <c r="F2219" s="450"/>
      <c r="G2219" s="450"/>
      <c r="H2219" s="450"/>
      <c r="I2219" s="450"/>
      <c r="J2219" s="450"/>
      <c r="M2219" s="310"/>
      <c r="N2219" s="310"/>
      <c r="O2219" s="310"/>
      <c r="P2219" s="356"/>
      <c r="R2219" s="348" t="str">
        <f>R$2217</f>
        <v>DELETE</v>
      </c>
    </row>
    <row r="2220" spans="2:18" ht="36" customHeight="1" x14ac:dyDescent="0.5">
      <c r="B2220" s="316"/>
      <c r="C2220" s="450"/>
      <c r="D2220" s="459"/>
      <c r="E2220" s="450"/>
      <c r="F2220" s="450"/>
      <c r="G2220" s="450"/>
      <c r="H2220" s="450"/>
      <c r="I2220" s="450"/>
      <c r="J2220" s="450"/>
      <c r="M2220" s="310"/>
      <c r="N2220" s="310"/>
      <c r="O2220" s="310"/>
      <c r="P2220" s="356"/>
      <c r="R2220" s="348" t="str">
        <f t="shared" ref="R2220" si="175">R$2199</f>
        <v>DELETE</v>
      </c>
    </row>
    <row r="2221" spans="2:18" ht="36" customHeight="1" x14ac:dyDescent="0.5">
      <c r="B2221" s="316"/>
      <c r="C2221" s="450" t="s">
        <v>997</v>
      </c>
      <c r="D2221" s="459"/>
      <c r="E2221" s="450"/>
      <c r="F2221" s="450"/>
      <c r="G2221" s="450"/>
      <c r="H2221" s="450"/>
      <c r="I2221" s="450"/>
      <c r="J2221" s="450"/>
      <c r="M2221" s="310"/>
      <c r="N2221" s="310"/>
      <c r="O2221" s="310"/>
      <c r="P2221" s="356"/>
      <c r="R2221" s="348" t="str">
        <f>R$2229</f>
        <v>DELETE</v>
      </c>
    </row>
    <row r="2222" spans="2:18" ht="36" customHeight="1" x14ac:dyDescent="0.5">
      <c r="B2222" s="316"/>
      <c r="C2222" s="450" t="s">
        <v>973</v>
      </c>
      <c r="D2222" s="459"/>
      <c r="E2222" s="450"/>
      <c r="F2222" s="450"/>
      <c r="G2222" s="450"/>
      <c r="H2222" s="450"/>
      <c r="I2222" s="450"/>
      <c r="J2222" s="450"/>
      <c r="M2222" s="310"/>
      <c r="N2222" s="310"/>
      <c r="O2222" s="310"/>
      <c r="P2222" s="356"/>
      <c r="R2222" s="348" t="str">
        <f>R$2229</f>
        <v>DELETE</v>
      </c>
    </row>
    <row r="2223" spans="2:18" ht="36" customHeight="1" x14ac:dyDescent="0.5">
      <c r="B2223" s="316"/>
      <c r="C2223" s="456"/>
      <c r="D2223" s="450"/>
      <c r="E2223" s="450"/>
      <c r="F2223" s="450"/>
      <c r="G2223" s="450"/>
      <c r="H2223" s="450"/>
      <c r="I2223" s="450"/>
      <c r="J2223" s="450"/>
      <c r="M2223" s="310"/>
      <c r="N2223" s="310"/>
      <c r="O2223" s="310"/>
      <c r="P2223" s="356"/>
      <c r="R2223" s="348" t="str">
        <f>R$2229</f>
        <v>DELETE</v>
      </c>
    </row>
    <row r="2224" spans="2:18" ht="36" customHeight="1" x14ac:dyDescent="0.5">
      <c r="B2224" s="316"/>
      <c r="C2224" s="450" t="s">
        <v>967</v>
      </c>
      <c r="D2224" s="450"/>
      <c r="E2224" s="459"/>
      <c r="F2224" s="450"/>
      <c r="G2224" s="450"/>
      <c r="H2224" s="450"/>
      <c r="I2224" s="450"/>
      <c r="J2224" s="450"/>
      <c r="M2224" s="310"/>
      <c r="N2224" s="310"/>
      <c r="O2224" s="310">
        <f>Criteria!F367</f>
        <v>0</v>
      </c>
      <c r="P2224" s="356"/>
      <c r="R2224" s="348" t="str">
        <f>IF(O2224=0,"DELETE"," ")</f>
        <v>DELETE</v>
      </c>
    </row>
    <row r="2225" spans="2:18" ht="36" customHeight="1" x14ac:dyDescent="0.5">
      <c r="B2225" s="316"/>
      <c r="C2225" s="450" t="s">
        <v>972</v>
      </c>
      <c r="D2225" s="450"/>
      <c r="E2225" s="459"/>
      <c r="F2225" s="450"/>
      <c r="G2225" s="450"/>
      <c r="H2225" s="450"/>
      <c r="I2225" s="450"/>
      <c r="J2225" s="450"/>
      <c r="M2225" s="310"/>
      <c r="N2225" s="310"/>
      <c r="O2225" s="310">
        <f>Criteria!F368</f>
        <v>0</v>
      </c>
      <c r="P2225" s="356"/>
      <c r="R2225" s="348" t="str">
        <f>IF(O2225=0,"DELETE"," ")</f>
        <v>DELETE</v>
      </c>
    </row>
    <row r="2226" spans="2:18" ht="36" customHeight="1" x14ac:dyDescent="0.5">
      <c r="B2226" s="316"/>
      <c r="C2226" s="450" t="s">
        <v>969</v>
      </c>
      <c r="D2226" s="450"/>
      <c r="E2226" s="459"/>
      <c r="F2226" s="450"/>
      <c r="G2226" s="450"/>
      <c r="H2226" s="450"/>
      <c r="I2226" s="450"/>
      <c r="J2226" s="450"/>
      <c r="M2226" s="310"/>
      <c r="N2226" s="310"/>
      <c r="O2226" s="310">
        <f>Criteria!F369</f>
        <v>0</v>
      </c>
      <c r="P2226" s="356"/>
      <c r="R2226" s="348" t="str">
        <f>IF(O2226=0,"DELETE"," ")</f>
        <v>DELETE</v>
      </c>
    </row>
    <row r="2227" spans="2:18" ht="9" customHeight="1" x14ac:dyDescent="0.5">
      <c r="B2227" s="316"/>
      <c r="C2227" s="456"/>
      <c r="D2227" s="450"/>
      <c r="E2227" s="450"/>
      <c r="F2227" s="450"/>
      <c r="G2227" s="450"/>
      <c r="H2227" s="450"/>
      <c r="I2227" s="450"/>
      <c r="J2227" s="450"/>
      <c r="M2227" s="310"/>
      <c r="N2227" s="310"/>
      <c r="O2227" s="298"/>
      <c r="P2227" s="356"/>
      <c r="R2227" s="348" t="str">
        <f>R$2229</f>
        <v>DELETE</v>
      </c>
    </row>
    <row r="2228" spans="2:18" ht="9" customHeight="1" x14ac:dyDescent="0.5">
      <c r="B2228" s="316"/>
      <c r="C2228" s="456"/>
      <c r="D2228" s="450"/>
      <c r="E2228" s="450"/>
      <c r="F2228" s="450"/>
      <c r="G2228" s="450"/>
      <c r="H2228" s="450"/>
      <c r="I2228" s="450"/>
      <c r="J2228" s="450"/>
      <c r="M2228" s="310"/>
      <c r="N2228" s="310"/>
      <c r="O2228" s="310"/>
      <c r="P2228" s="356"/>
      <c r="R2228" s="348" t="str">
        <f>R$2229</f>
        <v>DELETE</v>
      </c>
    </row>
    <row r="2229" spans="2:18" ht="36.75" customHeight="1" x14ac:dyDescent="0.5">
      <c r="B2229" s="316"/>
      <c r="C2229" s="456"/>
      <c r="D2229" s="450"/>
      <c r="E2229" s="450"/>
      <c r="F2229" s="450"/>
      <c r="G2229" s="450"/>
      <c r="H2229" s="450"/>
      <c r="I2229" s="450"/>
      <c r="J2229" s="450"/>
      <c r="M2229" s="310"/>
      <c r="N2229" s="310"/>
      <c r="O2229" s="310">
        <f>SUM(O2224:O2228)</f>
        <v>0</v>
      </c>
      <c r="P2229" s="356"/>
      <c r="R2229" s="348" t="str">
        <f>IF(O2229=0,"DELETE"," ")</f>
        <v>DELETE</v>
      </c>
    </row>
    <row r="2230" spans="2:18" ht="9" customHeight="1" thickBot="1" x14ac:dyDescent="0.55000000000000004">
      <c r="B2230" s="316"/>
      <c r="C2230" s="456"/>
      <c r="D2230" s="450"/>
      <c r="E2230" s="450"/>
      <c r="F2230" s="450"/>
      <c r="G2230" s="450"/>
      <c r="H2230" s="450"/>
      <c r="I2230" s="450"/>
      <c r="J2230" s="450"/>
      <c r="M2230" s="310"/>
      <c r="N2230" s="310"/>
      <c r="O2230" s="299"/>
      <c r="P2230" s="356"/>
      <c r="R2230" s="348" t="str">
        <f>R$2229</f>
        <v>DELETE</v>
      </c>
    </row>
    <row r="2231" spans="2:18" ht="9" customHeight="1" thickTop="1" x14ac:dyDescent="0.5">
      <c r="B2231" s="316"/>
      <c r="C2231" s="456"/>
      <c r="D2231" s="450"/>
      <c r="E2231" s="450"/>
      <c r="F2231" s="450"/>
      <c r="G2231" s="450"/>
      <c r="H2231" s="450"/>
      <c r="I2231" s="450"/>
      <c r="J2231" s="450"/>
      <c r="M2231" s="310"/>
      <c r="N2231" s="310"/>
      <c r="O2231" s="310"/>
      <c r="P2231" s="356"/>
      <c r="R2231" s="348" t="str">
        <f>R$2229</f>
        <v>DELETE</v>
      </c>
    </row>
    <row r="2232" spans="2:18" ht="36" customHeight="1" x14ac:dyDescent="0.5">
      <c r="B2232" s="316"/>
      <c r="C2232" s="456"/>
      <c r="D2232" s="450"/>
      <c r="E2232" s="450"/>
      <c r="F2232" s="450"/>
      <c r="G2232" s="450"/>
      <c r="H2232" s="450"/>
      <c r="I2232" s="450"/>
      <c r="J2232" s="450"/>
      <c r="M2232" s="310"/>
      <c r="N2232" s="310"/>
      <c r="O2232" s="310"/>
      <c r="P2232" s="356"/>
      <c r="R2232" s="348" t="str">
        <f>R$2199</f>
        <v>DELETE</v>
      </c>
    </row>
    <row r="2233" spans="2:18" ht="36" customHeight="1" x14ac:dyDescent="0.5">
      <c r="B2233" s="316"/>
      <c r="C2233" s="456"/>
      <c r="D2233" s="450"/>
      <c r="E2233" s="450"/>
      <c r="F2233" s="450"/>
      <c r="G2233" s="450"/>
      <c r="H2233" s="450"/>
      <c r="I2233" s="450"/>
      <c r="J2233" s="450"/>
      <c r="M2233" s="310"/>
      <c r="N2233" s="310"/>
      <c r="O2233" s="310"/>
      <c r="P2233" s="356"/>
      <c r="R2233" s="348" t="str">
        <f t="shared" ref="R2233:R2235" si="176">R$2199</f>
        <v>DELETE</v>
      </c>
    </row>
    <row r="2234" spans="2:18" ht="36" customHeight="1" x14ac:dyDescent="0.5">
      <c r="B2234" s="316"/>
      <c r="C2234" s="456"/>
      <c r="D2234" s="450"/>
      <c r="E2234" s="450"/>
      <c r="F2234" s="450"/>
      <c r="G2234" s="450"/>
      <c r="H2234" s="450"/>
      <c r="I2234" s="450"/>
      <c r="J2234" s="450"/>
      <c r="M2234" s="310"/>
      <c r="N2234" s="310"/>
      <c r="O2234" s="310"/>
      <c r="P2234" s="356"/>
      <c r="R2234" s="348" t="str">
        <f t="shared" si="176"/>
        <v>DELETE</v>
      </c>
    </row>
    <row r="2235" spans="2:18" ht="36" customHeight="1" x14ac:dyDescent="0.5">
      <c r="B2235" s="316"/>
      <c r="C2235" s="456"/>
      <c r="D2235" s="450"/>
      <c r="E2235" s="450"/>
      <c r="F2235" s="450"/>
      <c r="G2235" s="450"/>
      <c r="H2235" s="450"/>
      <c r="I2235" s="450"/>
      <c r="J2235" s="450"/>
      <c r="M2235" s="296"/>
      <c r="N2235" s="296"/>
      <c r="O2235" s="296"/>
      <c r="R2235" s="348" t="str">
        <f t="shared" si="176"/>
        <v>DELETE</v>
      </c>
    </row>
    <row r="2236" spans="2:18" ht="36" customHeight="1" x14ac:dyDescent="0.5">
      <c r="B2236" s="354"/>
      <c r="C2236" s="450"/>
      <c r="D2236" s="450"/>
      <c r="E2236" s="450"/>
      <c r="F2236" s="450"/>
      <c r="G2236" s="450"/>
      <c r="H2236" s="450"/>
      <c r="I2236" s="450"/>
      <c r="J2236" s="450"/>
      <c r="M2236" s="310"/>
      <c r="N2236" s="310"/>
      <c r="O2236" s="296" t="s">
        <v>89</v>
      </c>
      <c r="Q2236" s="292">
        <f>MAX($Q$105:Q2235)+1</f>
        <v>62</v>
      </c>
    </row>
    <row r="2237" spans="2:18" ht="36" customHeight="1" x14ac:dyDescent="0.5">
      <c r="B2237" s="354"/>
      <c r="C2237" s="450"/>
      <c r="D2237" s="456" t="str">
        <f>Criteria!E9</f>
        <v>HOLDING COMPANY 268 (PROPRIETARY) LIMITED</v>
      </c>
      <c r="E2237" s="450"/>
      <c r="F2237" s="450"/>
      <c r="G2237" s="450"/>
      <c r="H2237" s="450"/>
      <c r="I2237" s="450"/>
      <c r="J2237" s="450"/>
      <c r="M2237" s="351"/>
      <c r="N2237" s="351"/>
      <c r="O2237" s="347"/>
    </row>
    <row r="2238" spans="2:18" ht="36" customHeight="1" x14ac:dyDescent="0.5">
      <c r="B2238" s="354"/>
      <c r="C2238" s="450"/>
      <c r="D2238" s="456" t="str">
        <f>Criteria!E10</f>
        <v>CONSOLIDATED FINANCIAL STATEMENTS</v>
      </c>
      <c r="E2238" s="450"/>
      <c r="F2238" s="450"/>
      <c r="G2238" s="450"/>
      <c r="H2238" s="450"/>
      <c r="I2238" s="450"/>
      <c r="J2238" s="450"/>
      <c r="M2238" s="351"/>
      <c r="N2238" s="351"/>
      <c r="O2238" s="351"/>
      <c r="R2238" s="348" t="str">
        <f>IF(D2238=0,"DELETE"," ")</f>
        <v xml:space="preserve"> </v>
      </c>
    </row>
    <row r="2239" spans="2:18" ht="36" customHeight="1" x14ac:dyDescent="0.5">
      <c r="B2239" s="354"/>
      <c r="C2239" s="450"/>
      <c r="D2239" s="450"/>
      <c r="E2239" s="450"/>
      <c r="F2239" s="450"/>
      <c r="G2239" s="450"/>
      <c r="H2239" s="450"/>
      <c r="I2239" s="450"/>
      <c r="J2239" s="450"/>
      <c r="M2239" s="351"/>
      <c r="N2239" s="351"/>
      <c r="O2239" s="351"/>
    </row>
    <row r="2240" spans="2:18" ht="36" customHeight="1" x14ac:dyDescent="0.5">
      <c r="B2240" s="354"/>
      <c r="C2240" s="450"/>
      <c r="D2240" s="456" t="s">
        <v>351</v>
      </c>
      <c r="E2240" s="450"/>
      <c r="F2240" s="450"/>
      <c r="G2240" s="450"/>
      <c r="H2240" s="450"/>
      <c r="I2240" s="450"/>
      <c r="J2240" s="450"/>
      <c r="M2240" s="351"/>
      <c r="N2240" s="351"/>
      <c r="O2240" s="351"/>
    </row>
    <row r="2241" spans="2:18" ht="36" customHeight="1" x14ac:dyDescent="0.5">
      <c r="B2241" s="354"/>
      <c r="C2241" s="450"/>
      <c r="D2241" s="456" t="str">
        <f>Criteria!E20</f>
        <v>28 FEBRUARY 2025</v>
      </c>
      <c r="E2241" s="450"/>
      <c r="F2241" s="450"/>
      <c r="G2241" s="450"/>
      <c r="H2241" s="450"/>
      <c r="I2241" s="450"/>
      <c r="J2241" s="450" t="s">
        <v>231</v>
      </c>
      <c r="M2241" s="351"/>
      <c r="N2241" s="351"/>
      <c r="O2241" s="351"/>
    </row>
    <row r="2242" spans="2:18" ht="36" customHeight="1" x14ac:dyDescent="0.5">
      <c r="B2242" s="354"/>
      <c r="C2242" s="450"/>
      <c r="D2242" s="450"/>
      <c r="E2242" s="450"/>
      <c r="F2242" s="450"/>
      <c r="G2242" s="450"/>
      <c r="H2242" s="450"/>
      <c r="I2242" s="450"/>
      <c r="J2242" s="450"/>
      <c r="M2242" s="310"/>
      <c r="N2242" s="310"/>
      <c r="O2242" s="310"/>
      <c r="P2242" s="356"/>
    </row>
    <row r="2243" spans="2:18" ht="36" customHeight="1" x14ac:dyDescent="0.5">
      <c r="B2243" s="368"/>
      <c r="C2243" s="460"/>
      <c r="D2243" s="460"/>
      <c r="E2243" s="460"/>
      <c r="F2243" s="460"/>
      <c r="G2243" s="460"/>
      <c r="H2243" s="460"/>
      <c r="I2243" s="460"/>
      <c r="J2243" s="460"/>
      <c r="K2243" s="364"/>
      <c r="L2243" s="364"/>
      <c r="M2243" s="297"/>
      <c r="N2243" s="297"/>
      <c r="O2243" s="297"/>
      <c r="P2243" s="367"/>
      <c r="Q2243" s="364"/>
    </row>
    <row r="2244" spans="2:18" ht="36" customHeight="1" x14ac:dyDescent="0.5">
      <c r="B2244" s="316">
        <f>MAX(B$602:B2243)+1</f>
        <v>32</v>
      </c>
      <c r="C2244" s="461" t="s">
        <v>1072</v>
      </c>
      <c r="D2244" s="450"/>
      <c r="E2244" s="450"/>
      <c r="F2244" s="450"/>
      <c r="G2244" s="450"/>
      <c r="H2244" s="450"/>
      <c r="I2244" s="450"/>
      <c r="J2244" s="450"/>
      <c r="M2244" s="310"/>
      <c r="N2244" s="310"/>
      <c r="O2244" s="310"/>
      <c r="P2244" s="356"/>
    </row>
    <row r="2245" spans="2:18" ht="36" customHeight="1" x14ac:dyDescent="0.5">
      <c r="B2245" s="354"/>
      <c r="C2245" s="450"/>
      <c r="D2245" s="450"/>
      <c r="E2245" s="450"/>
      <c r="F2245" s="450"/>
      <c r="G2245" s="450"/>
      <c r="H2245" s="450"/>
      <c r="I2245" s="450"/>
      <c r="J2245" s="450"/>
      <c r="M2245" s="310"/>
      <c r="N2245" s="310"/>
      <c r="O2245" s="310"/>
      <c r="P2245" s="356"/>
    </row>
    <row r="2246" spans="2:18" ht="36" customHeight="1" x14ac:dyDescent="0.5">
      <c r="B2246" s="354"/>
      <c r="C2246" s="450" t="s">
        <v>998</v>
      </c>
      <c r="D2246" s="450"/>
      <c r="E2246" s="450"/>
      <c r="F2246" s="450"/>
      <c r="G2246" s="450"/>
      <c r="H2246" s="450"/>
      <c r="I2246" s="450"/>
      <c r="J2246" s="450"/>
      <c r="M2246" s="310"/>
      <c r="N2246" s="310"/>
      <c r="O2246" s="310"/>
      <c r="P2246" s="356"/>
    </row>
    <row r="2247" spans="2:18" ht="36" customHeight="1" x14ac:dyDescent="0.5">
      <c r="B2247" s="354"/>
      <c r="C2247" s="450"/>
      <c r="D2247" s="450"/>
      <c r="E2247" s="450"/>
      <c r="F2247" s="450"/>
      <c r="G2247" s="450"/>
      <c r="H2247" s="450"/>
      <c r="I2247" s="450"/>
      <c r="J2247" s="450"/>
      <c r="M2247" s="310"/>
      <c r="N2247" s="310"/>
      <c r="O2247" s="310"/>
      <c r="P2247" s="356"/>
    </row>
    <row r="2248" spans="2:18" ht="36" customHeight="1" x14ac:dyDescent="0.5">
      <c r="B2248" s="354"/>
      <c r="C2248" s="462" t="s">
        <v>779</v>
      </c>
      <c r="D2248" s="450"/>
      <c r="E2248" s="450"/>
      <c r="F2248" s="450"/>
      <c r="G2248" s="450"/>
      <c r="H2248" s="450"/>
      <c r="I2248" s="450"/>
      <c r="J2248" s="462" t="s">
        <v>770</v>
      </c>
      <c r="M2248" s="310"/>
      <c r="N2248" s="310"/>
      <c r="O2248" s="310"/>
      <c r="P2248" s="356"/>
    </row>
    <row r="2249" spans="2:18" ht="36" customHeight="1" x14ac:dyDescent="0.5">
      <c r="B2249" s="354"/>
      <c r="C2249" s="450" t="str">
        <f>Criteria!E38</f>
        <v>A Director</v>
      </c>
      <c r="D2249" s="459"/>
      <c r="E2249" s="450"/>
      <c r="F2249" s="450"/>
      <c r="G2249" s="450"/>
      <c r="H2249" s="450"/>
      <c r="I2249" s="450"/>
      <c r="J2249" s="450" t="s">
        <v>771</v>
      </c>
      <c r="M2249" s="310"/>
      <c r="N2249" s="310"/>
      <c r="O2249" s="310"/>
      <c r="P2249" s="356"/>
      <c r="R2249" s="348" t="str">
        <f>IF(C2249=0,"DELETE"," ")</f>
        <v xml:space="preserve"> </v>
      </c>
    </row>
    <row r="2250" spans="2:18" ht="36" customHeight="1" x14ac:dyDescent="0.5">
      <c r="B2250" s="354"/>
      <c r="C2250" s="450" t="str">
        <f>Criteria!E39</f>
        <v>B Director</v>
      </c>
      <c r="D2250" s="459"/>
      <c r="E2250" s="450"/>
      <c r="F2250" s="450"/>
      <c r="G2250" s="450"/>
      <c r="H2250" s="450"/>
      <c r="I2250" s="450"/>
      <c r="J2250" s="450" t="s">
        <v>771</v>
      </c>
      <c r="M2250" s="310"/>
      <c r="N2250" s="310"/>
      <c r="O2250" s="310"/>
      <c r="P2250" s="356"/>
      <c r="R2250" s="348" t="str">
        <f>IF(C2250=0,"DELETE"," ")</f>
        <v xml:space="preserve"> </v>
      </c>
    </row>
    <row r="2251" spans="2:18" ht="36" customHeight="1" x14ac:dyDescent="0.5">
      <c r="B2251" s="354"/>
      <c r="C2251" s="450">
        <f>Criteria!E40</f>
        <v>0</v>
      </c>
      <c r="D2251" s="459"/>
      <c r="E2251" s="450"/>
      <c r="F2251" s="450"/>
      <c r="G2251" s="450"/>
      <c r="H2251" s="450"/>
      <c r="I2251" s="450"/>
      <c r="J2251" s="450" t="s">
        <v>771</v>
      </c>
      <c r="M2251" s="310"/>
      <c r="N2251" s="310"/>
      <c r="O2251" s="310"/>
      <c r="P2251" s="356"/>
      <c r="R2251" s="348" t="str">
        <f>IF(C2251=0,"DELETE"," ")</f>
        <v>DELETE</v>
      </c>
    </row>
    <row r="2252" spans="2:18" ht="36" customHeight="1" x14ac:dyDescent="0.5">
      <c r="B2252" s="354"/>
      <c r="C2252" s="450">
        <f>Criteria!E41</f>
        <v>0</v>
      </c>
      <c r="D2252" s="459"/>
      <c r="E2252" s="450"/>
      <c r="F2252" s="450"/>
      <c r="G2252" s="450"/>
      <c r="H2252" s="450"/>
      <c r="I2252" s="450"/>
      <c r="J2252" s="450" t="s">
        <v>771</v>
      </c>
      <c r="M2252" s="310"/>
      <c r="N2252" s="310"/>
      <c r="O2252" s="310"/>
      <c r="P2252" s="356"/>
      <c r="R2252" s="348" t="str">
        <f>IF(C2252=0,"DELETE"," ")</f>
        <v>DELETE</v>
      </c>
    </row>
    <row r="2253" spans="2:18" ht="36" customHeight="1" x14ac:dyDescent="0.5">
      <c r="B2253" s="354"/>
      <c r="C2253" s="450">
        <f>Criteria!E42</f>
        <v>0</v>
      </c>
      <c r="D2253" s="459"/>
      <c r="E2253" s="450"/>
      <c r="F2253" s="450"/>
      <c r="G2253" s="450"/>
      <c r="H2253" s="450"/>
      <c r="I2253" s="450"/>
      <c r="J2253" s="450" t="s">
        <v>771</v>
      </c>
      <c r="M2253" s="310"/>
      <c r="N2253" s="310"/>
      <c r="O2253" s="310"/>
      <c r="P2253" s="356"/>
      <c r="R2253" s="348" t="str">
        <f>IF(C2253=0,"DELETE"," ")</f>
        <v>DELETE</v>
      </c>
    </row>
    <row r="2254" spans="2:18" ht="36" customHeight="1" x14ac:dyDescent="0.5">
      <c r="B2254" s="354"/>
      <c r="C2254" s="450"/>
      <c r="D2254" s="450"/>
      <c r="E2254" s="450"/>
      <c r="F2254" s="450"/>
      <c r="G2254" s="450"/>
      <c r="H2254" s="450"/>
      <c r="I2254" s="450"/>
      <c r="J2254" s="450"/>
      <c r="M2254" s="310"/>
      <c r="N2254" s="310"/>
      <c r="O2254" s="310"/>
      <c r="P2254" s="356"/>
    </row>
    <row r="2255" spans="2:18" ht="36" customHeight="1" x14ac:dyDescent="0.5">
      <c r="B2255" s="354"/>
      <c r="C2255" s="450" t="str">
        <f>CONCATENATE("The details of ",IF(MAX(Criteria!I38:I42)&gt;1,"directors' remuneration","the director's remuneration")," are comprehensively disclosed in Note ",B958," of the")</f>
        <v>The details of directors' remuneration are comprehensively disclosed in Note 5 of the</v>
      </c>
      <c r="D2255" s="450"/>
      <c r="E2255" s="450"/>
      <c r="F2255" s="450"/>
      <c r="G2255" s="450"/>
      <c r="H2255" s="450"/>
      <c r="I2255" s="450"/>
      <c r="J2255" s="450"/>
      <c r="M2255" s="310"/>
      <c r="N2255" s="310"/>
      <c r="O2255" s="310"/>
      <c r="P2255" s="356"/>
    </row>
    <row r="2256" spans="2:18" ht="36" customHeight="1" x14ac:dyDescent="0.5">
      <c r="B2256" s="354"/>
      <c r="C2256" s="450" t="s">
        <v>1203</v>
      </c>
      <c r="D2256" s="450"/>
      <c r="E2256" s="450"/>
      <c r="F2256" s="450"/>
      <c r="G2256" s="450"/>
      <c r="H2256" s="450"/>
      <c r="I2256" s="450"/>
      <c r="J2256" s="450"/>
      <c r="M2256" s="310"/>
      <c r="N2256" s="310"/>
      <c r="O2256" s="310"/>
      <c r="P2256" s="356"/>
    </row>
    <row r="2257" spans="2:18" ht="36" customHeight="1" x14ac:dyDescent="0.5">
      <c r="B2257" s="354"/>
      <c r="C2257" s="450"/>
      <c r="D2257" s="450"/>
      <c r="E2257" s="450"/>
      <c r="F2257" s="450"/>
      <c r="G2257" s="450"/>
      <c r="H2257" s="450"/>
      <c r="I2257" s="450"/>
      <c r="J2257" s="450"/>
      <c r="M2257" s="310"/>
      <c r="N2257" s="310"/>
      <c r="O2257" s="310"/>
      <c r="P2257" s="356"/>
    </row>
    <row r="2258" spans="2:18" ht="36" customHeight="1" x14ac:dyDescent="0.5">
      <c r="B2258" s="354"/>
      <c r="C2258" s="450" t="str">
        <f>IF(SUM(Criteria!G376:H376)&gt;0,"Related party balances and transactions with entities with control, joint control or","There were no related party balances outstanding at year end and no further transactions")</f>
        <v>There were no related party balances outstanding at year end and no further transactions</v>
      </c>
      <c r="D2258" s="450"/>
      <c r="E2258" s="450"/>
      <c r="F2258" s="450"/>
      <c r="G2258" s="450"/>
      <c r="H2258" s="450"/>
      <c r="I2258" s="450"/>
      <c r="J2258" s="450"/>
      <c r="M2258" s="310"/>
      <c r="N2258" s="310"/>
      <c r="O2258" s="310"/>
      <c r="P2258" s="356"/>
    </row>
    <row r="2259" spans="2:18" ht="36" customHeight="1" x14ac:dyDescent="0.5">
      <c r="B2259" s="354"/>
      <c r="C2259" s="450" t="str">
        <f>IF(SUM(Criteria!G376:H376)&gt;0,"significant influence over the group are as follows:","with entities with control, joint control or significant influence over the group.")</f>
        <v>with entities with control, joint control or significant influence over the group.</v>
      </c>
      <c r="D2259" s="450"/>
      <c r="E2259" s="450"/>
      <c r="F2259" s="450"/>
      <c r="G2259" s="450"/>
      <c r="H2259" s="450"/>
      <c r="I2259" s="450"/>
      <c r="J2259" s="450"/>
      <c r="M2259" s="310"/>
      <c r="N2259" s="310"/>
      <c r="O2259" s="310"/>
      <c r="P2259" s="356"/>
    </row>
    <row r="2260" spans="2:18" ht="36" customHeight="1" x14ac:dyDescent="0.5">
      <c r="B2260" s="354"/>
      <c r="C2260" s="450"/>
      <c r="D2260" s="450"/>
      <c r="E2260" s="450"/>
      <c r="F2260" s="450"/>
      <c r="G2260" s="450"/>
      <c r="H2260" s="450"/>
      <c r="I2260" s="450"/>
      <c r="J2260" s="450"/>
      <c r="L2260" s="475" t="s">
        <v>644</v>
      </c>
      <c r="M2260" s="475"/>
      <c r="N2260" s="475"/>
      <c r="O2260" s="482" t="s">
        <v>84</v>
      </c>
      <c r="P2260" s="482"/>
      <c r="R2260" s="348" t="str">
        <f>IF(SUM(Criteria!G376:H376)&gt;0," ","DELETE")</f>
        <v>DELETE</v>
      </c>
    </row>
    <row r="2261" spans="2:18" ht="36" customHeight="1" x14ac:dyDescent="0.5">
      <c r="B2261" s="354"/>
      <c r="C2261" s="462" t="s">
        <v>772</v>
      </c>
      <c r="D2261" s="450"/>
      <c r="E2261" s="450"/>
      <c r="F2261" s="450"/>
      <c r="G2261" s="450"/>
      <c r="H2261" s="450"/>
      <c r="I2261" s="450"/>
      <c r="J2261" s="450"/>
      <c r="L2261" s="474" t="s">
        <v>776</v>
      </c>
      <c r="M2261" s="474"/>
      <c r="N2261" s="474"/>
      <c r="O2261" s="483" t="s">
        <v>773</v>
      </c>
      <c r="P2261" s="483"/>
      <c r="R2261" s="348" t="str">
        <f>R2260</f>
        <v>DELETE</v>
      </c>
    </row>
    <row r="2262" spans="2:18" ht="36" customHeight="1" x14ac:dyDescent="0.5">
      <c r="B2262" s="354"/>
      <c r="C2262" s="450"/>
      <c r="D2262" s="450"/>
      <c r="E2262" s="450"/>
      <c r="F2262" s="450"/>
      <c r="G2262" s="450"/>
      <c r="H2262" s="450"/>
      <c r="I2262" s="450"/>
      <c r="J2262" s="450"/>
      <c r="M2262" s="310"/>
      <c r="N2262" s="310"/>
      <c r="O2262" s="310"/>
      <c r="P2262" s="356"/>
    </row>
    <row r="2263" spans="2:18" ht="36" customHeight="1" x14ac:dyDescent="0.5">
      <c r="B2263" s="354"/>
      <c r="C2263" s="450">
        <f>Criteria!C376</f>
        <v>0</v>
      </c>
      <c r="D2263" s="450"/>
      <c r="E2263" s="450"/>
      <c r="F2263" s="450"/>
      <c r="G2263" s="450"/>
      <c r="H2263" s="450"/>
      <c r="I2263" s="450"/>
      <c r="J2263" s="450"/>
      <c r="M2263" s="310">
        <f>-Criteria!F376</f>
        <v>0</v>
      </c>
      <c r="N2263" s="310"/>
      <c r="O2263" s="310">
        <f>Criteria!E376</f>
        <v>0</v>
      </c>
      <c r="P2263" s="356"/>
      <c r="R2263" s="348" t="str">
        <f>IF(M2263=0,IF(O2263=0,"DELETE"," ")," ")</f>
        <v>DELETE</v>
      </c>
    </row>
    <row r="2264" spans="2:18" ht="36" customHeight="1" x14ac:dyDescent="0.5">
      <c r="B2264" s="354"/>
      <c r="C2264" s="450">
        <f>Criteria!C377</f>
        <v>0</v>
      </c>
      <c r="D2264" s="450"/>
      <c r="E2264" s="450"/>
      <c r="F2264" s="450"/>
      <c r="G2264" s="450"/>
      <c r="H2264" s="450"/>
      <c r="I2264" s="450"/>
      <c r="J2264" s="450"/>
      <c r="M2264" s="310">
        <f>-Criteria!F377</f>
        <v>0</v>
      </c>
      <c r="N2264" s="310"/>
      <c r="O2264" s="310">
        <f>Criteria!E377</f>
        <v>0</v>
      </c>
      <c r="P2264" s="356"/>
      <c r="R2264" s="348" t="str">
        <f t="shared" ref="R2264:R2272" si="177">IF(M2264=0,IF(O2264=0,"DELETE"," ")," ")</f>
        <v>DELETE</v>
      </c>
    </row>
    <row r="2265" spans="2:18" ht="36" customHeight="1" x14ac:dyDescent="0.5">
      <c r="B2265" s="354"/>
      <c r="C2265" s="450">
        <f>Criteria!C378</f>
        <v>0</v>
      </c>
      <c r="D2265" s="450"/>
      <c r="E2265" s="450"/>
      <c r="F2265" s="450"/>
      <c r="G2265" s="450"/>
      <c r="H2265" s="450"/>
      <c r="I2265" s="450"/>
      <c r="J2265" s="450"/>
      <c r="M2265" s="310">
        <f>-Criteria!F378</f>
        <v>0</v>
      </c>
      <c r="N2265" s="310"/>
      <c r="O2265" s="310">
        <f>Criteria!E378</f>
        <v>0</v>
      </c>
      <c r="P2265" s="356"/>
      <c r="R2265" s="348" t="str">
        <f t="shared" si="177"/>
        <v>DELETE</v>
      </c>
    </row>
    <row r="2266" spans="2:18" ht="36" customHeight="1" x14ac:dyDescent="0.5">
      <c r="B2266" s="354"/>
      <c r="C2266" s="450">
        <f>Criteria!C379</f>
        <v>0</v>
      </c>
      <c r="D2266" s="450"/>
      <c r="E2266" s="450"/>
      <c r="F2266" s="450"/>
      <c r="G2266" s="450"/>
      <c r="H2266" s="450"/>
      <c r="I2266" s="450"/>
      <c r="J2266" s="450"/>
      <c r="M2266" s="310">
        <f>-Criteria!F379</f>
        <v>0</v>
      </c>
      <c r="N2266" s="310"/>
      <c r="O2266" s="310">
        <f>Criteria!E379</f>
        <v>0</v>
      </c>
      <c r="P2266" s="356"/>
      <c r="R2266" s="348" t="str">
        <f t="shared" si="177"/>
        <v>DELETE</v>
      </c>
    </row>
    <row r="2267" spans="2:18" ht="36" customHeight="1" x14ac:dyDescent="0.5">
      <c r="B2267" s="354"/>
      <c r="C2267" s="450">
        <f>Criteria!C380</f>
        <v>0</v>
      </c>
      <c r="D2267" s="450"/>
      <c r="E2267" s="450"/>
      <c r="F2267" s="450"/>
      <c r="G2267" s="450"/>
      <c r="H2267" s="450"/>
      <c r="I2267" s="450"/>
      <c r="J2267" s="450"/>
      <c r="M2267" s="310">
        <f>-Criteria!F380</f>
        <v>0</v>
      </c>
      <c r="N2267" s="310"/>
      <c r="O2267" s="310">
        <f>Criteria!E380</f>
        <v>0</v>
      </c>
      <c r="P2267" s="356"/>
      <c r="R2267" s="348" t="str">
        <f t="shared" si="177"/>
        <v>DELETE</v>
      </c>
    </row>
    <row r="2268" spans="2:18" ht="36" customHeight="1" x14ac:dyDescent="0.5">
      <c r="B2268" s="354"/>
      <c r="C2268" s="450">
        <f>Criteria!C381</f>
        <v>0</v>
      </c>
      <c r="D2268" s="450"/>
      <c r="E2268" s="450"/>
      <c r="F2268" s="450"/>
      <c r="G2268" s="450"/>
      <c r="H2268" s="450"/>
      <c r="I2268" s="450"/>
      <c r="J2268" s="450"/>
      <c r="M2268" s="310">
        <f>-Criteria!F381</f>
        <v>0</v>
      </c>
      <c r="N2268" s="310"/>
      <c r="O2268" s="310">
        <f>Criteria!E381</f>
        <v>0</v>
      </c>
      <c r="P2268" s="356"/>
      <c r="R2268" s="348" t="str">
        <f t="shared" si="177"/>
        <v>DELETE</v>
      </c>
    </row>
    <row r="2269" spans="2:18" ht="36" customHeight="1" x14ac:dyDescent="0.5">
      <c r="B2269" s="354"/>
      <c r="C2269" s="450">
        <f>Criteria!C382</f>
        <v>0</v>
      </c>
      <c r="D2269" s="450"/>
      <c r="E2269" s="450"/>
      <c r="F2269" s="450"/>
      <c r="G2269" s="450"/>
      <c r="H2269" s="450"/>
      <c r="I2269" s="450"/>
      <c r="J2269" s="450"/>
      <c r="M2269" s="310">
        <f>-Criteria!F382</f>
        <v>0</v>
      </c>
      <c r="N2269" s="310"/>
      <c r="O2269" s="310">
        <f>Criteria!E382</f>
        <v>0</v>
      </c>
      <c r="P2269" s="356"/>
      <c r="R2269" s="348" t="str">
        <f t="shared" si="177"/>
        <v>DELETE</v>
      </c>
    </row>
    <row r="2270" spans="2:18" ht="36" customHeight="1" x14ac:dyDescent="0.5">
      <c r="B2270" s="354"/>
      <c r="C2270" s="450">
        <f>Criteria!C383</f>
        <v>0</v>
      </c>
      <c r="D2270" s="450"/>
      <c r="E2270" s="450"/>
      <c r="F2270" s="450"/>
      <c r="G2270" s="450"/>
      <c r="H2270" s="450"/>
      <c r="I2270" s="450"/>
      <c r="J2270" s="450"/>
      <c r="M2270" s="310">
        <f>-Criteria!F383</f>
        <v>0</v>
      </c>
      <c r="N2270" s="310"/>
      <c r="O2270" s="310">
        <f>Criteria!E383</f>
        <v>0</v>
      </c>
      <c r="P2270" s="356"/>
      <c r="R2270" s="348" t="str">
        <f t="shared" si="177"/>
        <v>DELETE</v>
      </c>
    </row>
    <row r="2271" spans="2:18" ht="36" customHeight="1" x14ac:dyDescent="0.5">
      <c r="B2271" s="354"/>
      <c r="C2271" s="450">
        <f>Criteria!C384</f>
        <v>0</v>
      </c>
      <c r="D2271" s="450"/>
      <c r="E2271" s="450"/>
      <c r="F2271" s="450"/>
      <c r="G2271" s="450"/>
      <c r="H2271" s="450"/>
      <c r="I2271" s="450"/>
      <c r="J2271" s="450"/>
      <c r="M2271" s="310">
        <f>-Criteria!F384</f>
        <v>0</v>
      </c>
      <c r="N2271" s="310"/>
      <c r="O2271" s="310">
        <f>Criteria!E384</f>
        <v>0</v>
      </c>
      <c r="P2271" s="356"/>
      <c r="R2271" s="348" t="str">
        <f t="shared" si="177"/>
        <v>DELETE</v>
      </c>
    </row>
    <row r="2272" spans="2:18" ht="36" customHeight="1" x14ac:dyDescent="0.5">
      <c r="B2272" s="354"/>
      <c r="C2272" s="450">
        <f>Criteria!C385</f>
        <v>0</v>
      </c>
      <c r="D2272" s="450"/>
      <c r="E2272" s="450"/>
      <c r="F2272" s="450"/>
      <c r="G2272" s="450"/>
      <c r="H2272" s="450"/>
      <c r="I2272" s="450"/>
      <c r="J2272" s="450"/>
      <c r="M2272" s="310">
        <f>-Criteria!F385</f>
        <v>0</v>
      </c>
      <c r="N2272" s="310"/>
      <c r="O2272" s="310">
        <f>Criteria!E385</f>
        <v>0</v>
      </c>
      <c r="P2272" s="356"/>
      <c r="R2272" s="348" t="str">
        <f t="shared" si="177"/>
        <v>DELETE</v>
      </c>
    </row>
    <row r="2273" spans="2:22" ht="36" customHeight="1" x14ac:dyDescent="0.5">
      <c r="B2273" s="354"/>
      <c r="C2273" s="450"/>
      <c r="D2273" s="450"/>
      <c r="E2273" s="450"/>
      <c r="F2273" s="450"/>
      <c r="G2273" s="450"/>
      <c r="H2273" s="450"/>
      <c r="I2273" s="450"/>
      <c r="J2273" s="450"/>
      <c r="M2273" s="310"/>
      <c r="N2273" s="310"/>
      <c r="O2273" s="310"/>
      <c r="P2273" s="356"/>
    </row>
    <row r="2274" spans="2:22" ht="36" customHeight="1" x14ac:dyDescent="0.5">
      <c r="B2274" s="354"/>
      <c r="C2274" s="450"/>
      <c r="D2274" s="450"/>
      <c r="E2274" s="450"/>
      <c r="F2274" s="450"/>
      <c r="G2274" s="450"/>
      <c r="H2274" s="450"/>
      <c r="I2274" s="450"/>
      <c r="J2274" s="450"/>
      <c r="M2274" s="310"/>
      <c r="N2274" s="310"/>
      <c r="O2274" s="310"/>
      <c r="P2274" s="356"/>
    </row>
    <row r="2275" spans="2:22" ht="36" customHeight="1" x14ac:dyDescent="0.5">
      <c r="B2275" s="354"/>
      <c r="C2275" s="450"/>
      <c r="D2275" s="450"/>
      <c r="E2275" s="450"/>
      <c r="F2275" s="450"/>
      <c r="G2275" s="450"/>
      <c r="H2275" s="450"/>
      <c r="I2275" s="450"/>
      <c r="J2275" s="450"/>
      <c r="M2275" s="310"/>
      <c r="N2275" s="310"/>
      <c r="O2275" s="310"/>
      <c r="P2275" s="356"/>
    </row>
    <row r="2276" spans="2:22" ht="36" customHeight="1" x14ac:dyDescent="0.5">
      <c r="C2276" s="450"/>
      <c r="D2276" s="450"/>
      <c r="E2276" s="450"/>
      <c r="F2276" s="450"/>
      <c r="G2276" s="450"/>
      <c r="H2276" s="450"/>
      <c r="I2276" s="450"/>
      <c r="J2276" s="450"/>
      <c r="M2276" s="351"/>
      <c r="N2276" s="351"/>
      <c r="O2276" s="351"/>
    </row>
    <row r="2277" spans="2:22" ht="36" customHeight="1" x14ac:dyDescent="0.5">
      <c r="C2277" s="450"/>
      <c r="D2277" s="450"/>
      <c r="E2277" s="450"/>
      <c r="F2277" s="450"/>
      <c r="G2277" s="450"/>
      <c r="H2277" s="450"/>
      <c r="I2277" s="450"/>
      <c r="J2277" s="450"/>
      <c r="M2277" s="351"/>
      <c r="N2277" s="351"/>
      <c r="O2277" s="296" t="s">
        <v>89</v>
      </c>
      <c r="Q2277" s="292">
        <f>MAX($Q$105:Q2276)+1</f>
        <v>63</v>
      </c>
    </row>
    <row r="2278" spans="2:22" ht="36" customHeight="1" x14ac:dyDescent="0.5">
      <c r="C2278" s="353"/>
      <c r="D2278" s="433" t="str">
        <f>Criteria!E9</f>
        <v>HOLDING COMPANY 268 (PROPRIETARY) LIMITED</v>
      </c>
      <c r="E2278" s="434"/>
      <c r="F2278" s="434"/>
      <c r="G2278" s="434"/>
      <c r="H2278" s="434"/>
      <c r="I2278" s="434"/>
      <c r="J2278" s="434"/>
      <c r="M2278" s="351"/>
      <c r="N2278" s="351"/>
      <c r="O2278" s="347"/>
    </row>
    <row r="2279" spans="2:22" ht="36" customHeight="1" x14ac:dyDescent="0.5">
      <c r="C2279" s="353"/>
      <c r="D2279" s="433" t="str">
        <f>IF(Criteria!E13=0," ",CONCATENATE("T/A ",Criteria!E13))</f>
        <v>T/A FINANCIAL INSTRUMENTS</v>
      </c>
      <c r="E2279" s="434"/>
      <c r="F2279" s="434"/>
      <c r="G2279" s="434"/>
      <c r="H2279" s="434"/>
      <c r="I2279" s="434"/>
      <c r="J2279" s="434"/>
      <c r="M2279" s="351"/>
      <c r="N2279" s="351"/>
      <c r="O2279" s="351"/>
      <c r="R2279" s="348" t="str">
        <f>IF(Criteria!E13=0,"DELETE"," ")</f>
        <v xml:space="preserve"> </v>
      </c>
    </row>
    <row r="2280" spans="2:22" ht="36" customHeight="1" x14ac:dyDescent="0.5">
      <c r="C2280" s="353"/>
      <c r="D2280" s="434"/>
      <c r="E2280" s="434"/>
      <c r="F2280" s="434"/>
      <c r="G2280" s="434"/>
      <c r="H2280" s="434"/>
      <c r="I2280" s="434"/>
      <c r="J2280" s="434"/>
      <c r="M2280" s="351"/>
      <c r="N2280" s="351"/>
      <c r="O2280" s="351"/>
    </row>
    <row r="2281" spans="2:22" ht="36" customHeight="1" x14ac:dyDescent="0.5">
      <c r="C2281" s="353"/>
      <c r="D2281" s="433" t="s">
        <v>86</v>
      </c>
      <c r="E2281" s="434"/>
      <c r="F2281" s="434"/>
      <c r="G2281" s="434"/>
      <c r="H2281" s="434"/>
      <c r="I2281" s="434"/>
      <c r="J2281" s="434"/>
      <c r="M2281" s="351"/>
      <c r="N2281" s="351"/>
      <c r="O2281" s="351"/>
    </row>
    <row r="2282" spans="2:22" ht="36" customHeight="1" x14ac:dyDescent="0.5">
      <c r="C2282" s="353"/>
      <c r="D2282" s="433" t="str">
        <f>Criteria!E20</f>
        <v>28 FEBRUARY 2025</v>
      </c>
      <c r="E2282" s="434"/>
      <c r="F2282" s="434"/>
      <c r="G2282" s="434"/>
      <c r="H2282" s="434"/>
      <c r="I2282" s="434"/>
      <c r="J2282" s="434"/>
      <c r="M2282" s="351"/>
      <c r="N2282" s="351"/>
      <c r="O2282" s="351"/>
    </row>
    <row r="2283" spans="2:22" ht="36" customHeight="1" x14ac:dyDescent="0.5">
      <c r="C2283" s="353"/>
      <c r="D2283" s="434"/>
      <c r="E2283" s="434"/>
      <c r="F2283" s="434"/>
      <c r="G2283" s="434"/>
      <c r="H2283" s="434"/>
      <c r="I2283" s="434"/>
      <c r="J2283" s="434"/>
      <c r="M2283" s="351"/>
      <c r="N2283" s="351"/>
      <c r="O2283" s="351"/>
    </row>
    <row r="2284" spans="2:22" ht="36" customHeight="1" x14ac:dyDescent="0.5">
      <c r="C2284" s="353"/>
      <c r="D2284" s="444"/>
      <c r="E2284" s="444"/>
      <c r="F2284" s="444"/>
      <c r="G2284" s="444"/>
      <c r="H2284" s="444"/>
      <c r="I2284" s="444"/>
      <c r="J2284" s="444"/>
      <c r="K2284" s="364"/>
      <c r="L2284" s="364"/>
      <c r="M2284" s="378"/>
      <c r="N2284" s="378"/>
      <c r="O2284" s="378"/>
      <c r="P2284" s="367"/>
      <c r="Q2284" s="364"/>
    </row>
    <row r="2285" spans="2:22" ht="36" customHeight="1" x14ac:dyDescent="0.5">
      <c r="C2285" s="353"/>
      <c r="D2285" s="434"/>
      <c r="E2285" s="434"/>
      <c r="F2285" s="434"/>
      <c r="G2285" s="434"/>
      <c r="H2285" s="434"/>
      <c r="I2285" s="434"/>
      <c r="J2285" s="449"/>
      <c r="K2285" s="292" t="s">
        <v>1041</v>
      </c>
      <c r="L2285" s="350"/>
      <c r="M2285" s="350"/>
      <c r="N2285" s="292"/>
      <c r="O2285" s="294">
        <f>Criteria!E22</f>
        <v>2025</v>
      </c>
      <c r="P2285" s="295"/>
    </row>
    <row r="2286" spans="2:22" ht="36" customHeight="1" x14ac:dyDescent="0.5">
      <c r="C2286" s="353"/>
      <c r="D2286" s="434"/>
      <c r="E2286" s="434"/>
      <c r="F2286" s="434"/>
      <c r="G2286" s="434"/>
      <c r="H2286" s="434"/>
      <c r="I2286" s="434"/>
      <c r="J2286" s="449"/>
      <c r="K2286" s="292"/>
      <c r="L2286" s="350"/>
      <c r="M2286" s="350"/>
      <c r="N2286" s="292"/>
      <c r="O2286" s="296"/>
      <c r="P2286" s="295"/>
    </row>
    <row r="2287" spans="2:22" ht="36" customHeight="1" x14ac:dyDescent="0.45">
      <c r="D2287" s="433" t="s">
        <v>836</v>
      </c>
      <c r="E2287" s="434"/>
      <c r="F2287" s="434"/>
      <c r="G2287" s="434"/>
      <c r="H2287" s="434"/>
      <c r="I2287" s="434"/>
      <c r="J2287" s="449"/>
      <c r="K2287" s="292"/>
      <c r="L2287" s="350"/>
      <c r="M2287" s="350"/>
      <c r="N2287" s="292"/>
      <c r="O2287" s="296">
        <f>-SUM(TrialBalance!L5:L10)</f>
        <v>0</v>
      </c>
      <c r="P2287" s="295"/>
      <c r="R2287" s="348" t="str">
        <f>IF(O2287=0,IF(O2289=0," ","DELETE")," ")</f>
        <v xml:space="preserve"> </v>
      </c>
      <c r="S2287" s="333">
        <f>O2287</f>
        <v>0</v>
      </c>
      <c r="T2287" s="333"/>
      <c r="U2287" s="333"/>
      <c r="V2287" s="333"/>
    </row>
    <row r="2288" spans="2:22" ht="36" customHeight="1" x14ac:dyDescent="0.45">
      <c r="D2288" s="433"/>
      <c r="E2288" s="434"/>
      <c r="F2288" s="434"/>
      <c r="G2288" s="434"/>
      <c r="H2288" s="434"/>
      <c r="I2288" s="434"/>
      <c r="J2288" s="449"/>
      <c r="K2288" s="292"/>
      <c r="L2288" s="350"/>
      <c r="M2288" s="350"/>
      <c r="N2288" s="292"/>
      <c r="O2288" s="296"/>
      <c r="P2288" s="295"/>
      <c r="R2288" s="348" t="str">
        <f>R2287</f>
        <v xml:space="preserve"> </v>
      </c>
      <c r="S2288" s="333"/>
      <c r="T2288" s="333"/>
      <c r="U2288" s="333"/>
      <c r="V2288" s="333"/>
    </row>
    <row r="2289" spans="3:22" ht="36" customHeight="1" x14ac:dyDescent="0.45">
      <c r="D2289" s="433" t="s">
        <v>334</v>
      </c>
      <c r="E2289" s="434"/>
      <c r="F2289" s="434"/>
      <c r="G2289" s="434"/>
      <c r="H2289" s="434"/>
      <c r="I2289" s="434"/>
      <c r="J2289" s="449"/>
      <c r="K2289" s="292"/>
      <c r="L2289" s="350"/>
      <c r="M2289" s="350"/>
      <c r="N2289" s="292"/>
      <c r="O2289" s="296">
        <f>-TrialBalance!L11</f>
        <v>0</v>
      </c>
      <c r="P2289" s="295"/>
      <c r="R2289" s="348" t="str">
        <f t="shared" ref="R2289" si="178">IF(O2289=0,"DELETE"," ")</f>
        <v>DELETE</v>
      </c>
      <c r="S2289" s="333">
        <f>O2289</f>
        <v>0</v>
      </c>
      <c r="T2289" s="333"/>
      <c r="U2289" s="333"/>
      <c r="V2289" s="333"/>
    </row>
    <row r="2290" spans="3:22" ht="36" customHeight="1" x14ac:dyDescent="0.45">
      <c r="D2290" s="433"/>
      <c r="E2290" s="434"/>
      <c r="F2290" s="434"/>
      <c r="G2290" s="434"/>
      <c r="H2290" s="434"/>
      <c r="I2290" s="434"/>
      <c r="J2290" s="449"/>
      <c r="K2290" s="292"/>
      <c r="L2290" s="350"/>
      <c r="M2290" s="350"/>
      <c r="N2290" s="292"/>
      <c r="O2290" s="296"/>
      <c r="P2290" s="295"/>
      <c r="R2290" s="348" t="str">
        <f>R2289</f>
        <v>DELETE</v>
      </c>
    </row>
    <row r="2291" spans="3:22" ht="36" customHeight="1" x14ac:dyDescent="0.45">
      <c r="D2291" s="433" t="s">
        <v>1074</v>
      </c>
      <c r="E2291" s="434"/>
      <c r="F2291" s="434"/>
      <c r="G2291" s="434"/>
      <c r="H2291" s="434"/>
      <c r="I2291" s="434"/>
      <c r="J2291" s="449"/>
      <c r="K2291" s="292"/>
      <c r="L2291" s="350"/>
      <c r="M2291" s="350"/>
      <c r="N2291" s="292"/>
      <c r="O2291" s="296">
        <f>SUM(O2294:O2301)</f>
        <v>0</v>
      </c>
      <c r="P2291" s="295"/>
      <c r="R2291" s="348" t="str">
        <f t="shared" ref="R2291" si="179">IF(O2291=0,"DELETE"," ")</f>
        <v>DELETE</v>
      </c>
      <c r="S2291" s="333">
        <f>-O2291</f>
        <v>0</v>
      </c>
      <c r="T2291" s="333"/>
      <c r="U2291" s="333"/>
      <c r="V2291" s="333"/>
    </row>
    <row r="2292" spans="3:22" ht="9" customHeight="1" x14ac:dyDescent="0.45">
      <c r="C2292" s="397"/>
      <c r="D2292" s="434"/>
      <c r="E2292" s="434"/>
      <c r="F2292" s="434"/>
      <c r="G2292" s="434"/>
      <c r="H2292" s="434"/>
      <c r="I2292" s="434"/>
      <c r="J2292" s="449"/>
      <c r="K2292" s="292"/>
      <c r="L2292" s="350"/>
      <c r="M2292" s="350"/>
      <c r="N2292" s="292"/>
      <c r="O2292" s="296"/>
      <c r="P2292" s="295"/>
      <c r="R2292" s="348" t="str">
        <f>R2291</f>
        <v>DELETE</v>
      </c>
    </row>
    <row r="2293" spans="3:22" ht="9" customHeight="1" x14ac:dyDescent="0.45">
      <c r="C2293" s="397"/>
      <c r="D2293" s="434"/>
      <c r="E2293" s="434"/>
      <c r="F2293" s="434"/>
      <c r="G2293" s="434"/>
      <c r="H2293" s="434"/>
      <c r="I2293" s="434"/>
      <c r="J2293" s="449"/>
      <c r="K2293" s="292"/>
      <c r="L2293" s="350"/>
      <c r="M2293" s="350"/>
      <c r="N2293" s="292"/>
      <c r="O2293" s="407"/>
      <c r="P2293" s="295"/>
      <c r="R2293" s="348" t="str">
        <f>R2292</f>
        <v>DELETE</v>
      </c>
    </row>
    <row r="2294" spans="3:22" ht="36" customHeight="1" x14ac:dyDescent="0.45">
      <c r="C2294" s="397"/>
      <c r="D2294" s="434" t="s">
        <v>492</v>
      </c>
      <c r="E2294" s="434"/>
      <c r="F2294" s="434"/>
      <c r="G2294" s="434"/>
      <c r="H2294" s="434"/>
      <c r="I2294" s="434"/>
      <c r="J2294" s="449"/>
      <c r="K2294" s="292"/>
      <c r="L2294" s="350"/>
      <c r="M2294" s="350"/>
      <c r="N2294" s="292"/>
      <c r="O2294" s="408">
        <f>SUM(TrialBalance!L13:L16)</f>
        <v>0</v>
      </c>
      <c r="P2294" s="295"/>
      <c r="R2294" s="348" t="str">
        <f t="shared" ref="R2294:R2301" si="180">IF(O2294=0,"DELETE"," ")</f>
        <v>DELETE</v>
      </c>
    </row>
    <row r="2295" spans="3:22" ht="36" customHeight="1" x14ac:dyDescent="0.45">
      <c r="C2295" s="397"/>
      <c r="D2295" s="434" t="s">
        <v>249</v>
      </c>
      <c r="E2295" s="434"/>
      <c r="F2295" s="434"/>
      <c r="G2295" s="434"/>
      <c r="H2295" s="434"/>
      <c r="I2295" s="434"/>
      <c r="J2295" s="449"/>
      <c r="K2295" s="292"/>
      <c r="L2295" s="350"/>
      <c r="M2295" s="350"/>
      <c r="N2295" s="292"/>
      <c r="O2295" s="408">
        <f>TrialBalance!L17</f>
        <v>0</v>
      </c>
      <c r="P2295" s="295"/>
      <c r="R2295" s="348" t="str">
        <f t="shared" si="180"/>
        <v>DELETE</v>
      </c>
    </row>
    <row r="2296" spans="3:22" ht="36" customHeight="1" x14ac:dyDescent="0.45">
      <c r="C2296" s="397"/>
      <c r="D2296" s="434">
        <f>TrialBalance!C18</f>
        <v>0</v>
      </c>
      <c r="E2296" s="434"/>
      <c r="F2296" s="434"/>
      <c r="G2296" s="434"/>
      <c r="H2296" s="434"/>
      <c r="I2296" s="434"/>
      <c r="J2296" s="449"/>
      <c r="K2296" s="292"/>
      <c r="L2296" s="350"/>
      <c r="M2296" s="350"/>
      <c r="N2296" s="292"/>
      <c r="O2296" s="408">
        <f>TrialBalance!L18</f>
        <v>0</v>
      </c>
      <c r="P2296" s="295"/>
      <c r="R2296" s="348" t="str">
        <f t="shared" si="180"/>
        <v>DELETE</v>
      </c>
    </row>
    <row r="2297" spans="3:22" ht="36" customHeight="1" x14ac:dyDescent="0.45">
      <c r="C2297" s="397"/>
      <c r="D2297" s="434">
        <f>TrialBalance!C19</f>
        <v>0</v>
      </c>
      <c r="E2297" s="434"/>
      <c r="F2297" s="434"/>
      <c r="G2297" s="434"/>
      <c r="H2297" s="434"/>
      <c r="I2297" s="434"/>
      <c r="J2297" s="449"/>
      <c r="K2297" s="292"/>
      <c r="L2297" s="350"/>
      <c r="M2297" s="350"/>
      <c r="N2297" s="292"/>
      <c r="O2297" s="408">
        <f>TrialBalance!L19</f>
        <v>0</v>
      </c>
      <c r="P2297" s="295"/>
      <c r="R2297" s="348" t="str">
        <f t="shared" si="180"/>
        <v>DELETE</v>
      </c>
    </row>
    <row r="2298" spans="3:22" ht="36" customHeight="1" x14ac:dyDescent="0.45">
      <c r="C2298" s="397"/>
      <c r="D2298" s="434">
        <f>TrialBalance!C20</f>
        <v>0</v>
      </c>
      <c r="E2298" s="434"/>
      <c r="F2298" s="434"/>
      <c r="G2298" s="434"/>
      <c r="H2298" s="434"/>
      <c r="I2298" s="434"/>
      <c r="J2298" s="449"/>
      <c r="K2298" s="292"/>
      <c r="L2298" s="350"/>
      <c r="M2298" s="350"/>
      <c r="N2298" s="292"/>
      <c r="O2298" s="408">
        <f>TrialBalance!L20</f>
        <v>0</v>
      </c>
      <c r="P2298" s="295"/>
      <c r="R2298" s="348" t="str">
        <f t="shared" si="180"/>
        <v>DELETE</v>
      </c>
    </row>
    <row r="2299" spans="3:22" ht="36" customHeight="1" x14ac:dyDescent="0.45">
      <c r="C2299" s="397"/>
      <c r="D2299" s="434">
        <f>TrialBalance!C21</f>
        <v>0</v>
      </c>
      <c r="E2299" s="434"/>
      <c r="F2299" s="434"/>
      <c r="G2299" s="434"/>
      <c r="H2299" s="434"/>
      <c r="I2299" s="434"/>
      <c r="J2299" s="449"/>
      <c r="K2299" s="292"/>
      <c r="L2299" s="350"/>
      <c r="M2299" s="350"/>
      <c r="N2299" s="292"/>
      <c r="O2299" s="408">
        <f>TrialBalance!L21</f>
        <v>0</v>
      </c>
      <c r="P2299" s="295"/>
      <c r="R2299" s="348" t="str">
        <f t="shared" si="180"/>
        <v>DELETE</v>
      </c>
    </row>
    <row r="2300" spans="3:22" ht="36" customHeight="1" x14ac:dyDescent="0.45">
      <c r="C2300" s="397"/>
      <c r="D2300" s="434">
        <f>TrialBalance!C22</f>
        <v>0</v>
      </c>
      <c r="E2300" s="434"/>
      <c r="F2300" s="434"/>
      <c r="G2300" s="434"/>
      <c r="H2300" s="434"/>
      <c r="I2300" s="434"/>
      <c r="J2300" s="449"/>
      <c r="K2300" s="292"/>
      <c r="L2300" s="350"/>
      <c r="M2300" s="350"/>
      <c r="N2300" s="292"/>
      <c r="O2300" s="408">
        <f>TrialBalance!L22</f>
        <v>0</v>
      </c>
      <c r="P2300" s="295"/>
      <c r="R2300" s="348" t="str">
        <f t="shared" si="180"/>
        <v>DELETE</v>
      </c>
    </row>
    <row r="2301" spans="3:22" ht="36" customHeight="1" x14ac:dyDescent="0.45">
      <c r="C2301" s="397"/>
      <c r="D2301" s="434" t="s">
        <v>493</v>
      </c>
      <c r="E2301" s="434"/>
      <c r="F2301" s="434"/>
      <c r="G2301" s="434"/>
      <c r="H2301" s="434"/>
      <c r="I2301" s="434"/>
      <c r="J2301" s="449"/>
      <c r="K2301" s="292"/>
      <c r="L2301" s="350"/>
      <c r="M2301" s="350"/>
      <c r="N2301" s="292"/>
      <c r="O2301" s="408">
        <f>SUM(TrialBalance!L23:L26)</f>
        <v>0</v>
      </c>
      <c r="P2301" s="295"/>
      <c r="R2301" s="348" t="str">
        <f t="shared" si="180"/>
        <v>DELETE</v>
      </c>
    </row>
    <row r="2302" spans="3:22" ht="9" customHeight="1" x14ac:dyDescent="0.45">
      <c r="C2302" s="397"/>
      <c r="D2302" s="434"/>
      <c r="E2302" s="434"/>
      <c r="F2302" s="434"/>
      <c r="G2302" s="434"/>
      <c r="H2302" s="434"/>
      <c r="I2302" s="434"/>
      <c r="J2302" s="449"/>
      <c r="K2302" s="292"/>
      <c r="L2302" s="350"/>
      <c r="M2302" s="350"/>
      <c r="N2302" s="292"/>
      <c r="O2302" s="409"/>
      <c r="P2302" s="295"/>
      <c r="R2302" s="348" t="str">
        <f>R2291</f>
        <v>DELETE</v>
      </c>
    </row>
    <row r="2303" spans="3:22" ht="9" customHeight="1" x14ac:dyDescent="0.45">
      <c r="C2303" s="397"/>
      <c r="D2303" s="434"/>
      <c r="E2303" s="434"/>
      <c r="F2303" s="434"/>
      <c r="G2303" s="434"/>
      <c r="H2303" s="434"/>
      <c r="I2303" s="434"/>
      <c r="J2303" s="449"/>
      <c r="K2303" s="292"/>
      <c r="L2303" s="350"/>
      <c r="M2303" s="350"/>
      <c r="N2303" s="292"/>
      <c r="O2303" s="298"/>
      <c r="P2303" s="295"/>
      <c r="R2303" s="348" t="str">
        <f>R2291</f>
        <v>DELETE</v>
      </c>
    </row>
    <row r="2304" spans="3:22" ht="9" customHeight="1" x14ac:dyDescent="0.45">
      <c r="C2304" s="397"/>
      <c r="D2304" s="434"/>
      <c r="E2304" s="434"/>
      <c r="F2304" s="434"/>
      <c r="G2304" s="434"/>
      <c r="H2304" s="434"/>
      <c r="I2304" s="434"/>
      <c r="J2304" s="449"/>
      <c r="K2304" s="292"/>
      <c r="L2304" s="350"/>
      <c r="M2304" s="350"/>
      <c r="N2304" s="292"/>
      <c r="O2304" s="296"/>
      <c r="P2304" s="295"/>
      <c r="R2304" s="348" t="str">
        <f>R2303</f>
        <v>DELETE</v>
      </c>
    </row>
    <row r="2305" spans="3:23" ht="36" customHeight="1" x14ac:dyDescent="0.45">
      <c r="D2305" s="446" t="str">
        <f>IF(W2305=2,"Gross profit","Gross loss")</f>
        <v>Gross profit</v>
      </c>
      <c r="E2305" s="434"/>
      <c r="F2305" s="434"/>
      <c r="G2305" s="434"/>
      <c r="H2305" s="434"/>
      <c r="I2305" s="434"/>
      <c r="J2305" s="449"/>
      <c r="K2305" s="292"/>
      <c r="L2305" s="350"/>
      <c r="M2305" s="350"/>
      <c r="N2305" s="292"/>
      <c r="O2305" s="296">
        <f>SUM(S2287:S2302)</f>
        <v>0</v>
      </c>
      <c r="P2305" s="295"/>
      <c r="R2305" s="348" t="str">
        <f>R2304</f>
        <v>DELETE</v>
      </c>
      <c r="W2305" s="331">
        <f>IF(O2305&lt;0,1,2)</f>
        <v>2</v>
      </c>
    </row>
    <row r="2306" spans="3:23" ht="36" customHeight="1" x14ac:dyDescent="0.45">
      <c r="C2306" s="397"/>
      <c r="D2306" s="434"/>
      <c r="E2306" s="434"/>
      <c r="F2306" s="434"/>
      <c r="G2306" s="434"/>
      <c r="H2306" s="434"/>
      <c r="I2306" s="434"/>
      <c r="J2306" s="449"/>
      <c r="K2306" s="292"/>
      <c r="L2306" s="350"/>
      <c r="M2306" s="350"/>
      <c r="N2306" s="292"/>
      <c r="O2306" s="296"/>
      <c r="P2306" s="295"/>
      <c r="R2306" s="348" t="str">
        <f>R2305</f>
        <v>DELETE</v>
      </c>
    </row>
    <row r="2307" spans="3:23" ht="36" customHeight="1" x14ac:dyDescent="0.45">
      <c r="D2307" s="433" t="s">
        <v>1037</v>
      </c>
      <c r="E2307" s="434"/>
      <c r="F2307" s="434"/>
      <c r="G2307" s="434"/>
      <c r="H2307" s="434"/>
      <c r="I2307" s="434"/>
      <c r="J2307" s="449"/>
      <c r="K2307" s="292"/>
      <c r="L2307" s="350"/>
      <c r="M2307" s="350"/>
      <c r="N2307" s="292"/>
      <c r="O2307" s="296">
        <f>SUM(O2309:O2316)</f>
        <v>0</v>
      </c>
      <c r="P2307" s="295"/>
      <c r="R2307" s="348" t="str">
        <f t="shared" ref="R2307" si="181">IF(O2307=0,"DELETE"," ")</f>
        <v>DELETE</v>
      </c>
      <c r="S2307" s="333">
        <f>O2307</f>
        <v>0</v>
      </c>
      <c r="T2307" s="333"/>
    </row>
    <row r="2308" spans="3:23" ht="9" customHeight="1" x14ac:dyDescent="0.45">
      <c r="C2308" s="397"/>
      <c r="D2308" s="434"/>
      <c r="E2308" s="434"/>
      <c r="F2308" s="434"/>
      <c r="G2308" s="434"/>
      <c r="H2308" s="434"/>
      <c r="I2308" s="434"/>
      <c r="J2308" s="449"/>
      <c r="K2308" s="292"/>
      <c r="L2308" s="350"/>
      <c r="M2308" s="350"/>
      <c r="N2308" s="292"/>
      <c r="O2308" s="296"/>
      <c r="P2308" s="295"/>
      <c r="R2308" s="348" t="str">
        <f>R2307</f>
        <v>DELETE</v>
      </c>
    </row>
    <row r="2309" spans="3:23" ht="9" customHeight="1" x14ac:dyDescent="0.45">
      <c r="C2309" s="397"/>
      <c r="D2309" s="434"/>
      <c r="E2309" s="434"/>
      <c r="F2309" s="434"/>
      <c r="G2309" s="434"/>
      <c r="H2309" s="434"/>
      <c r="I2309" s="434"/>
      <c r="J2309" s="449"/>
      <c r="K2309" s="292"/>
      <c r="L2309" s="350"/>
      <c r="M2309" s="350"/>
      <c r="N2309" s="292"/>
      <c r="O2309" s="407"/>
      <c r="P2309" s="295"/>
      <c r="R2309" s="348" t="str">
        <f>R2307</f>
        <v>DELETE</v>
      </c>
    </row>
    <row r="2310" spans="3:23" ht="36" customHeight="1" x14ac:dyDescent="0.45">
      <c r="C2310" s="397"/>
      <c r="D2310" s="434" t="str">
        <f>TrialBalance!C28</f>
        <v>Insurance claims - Financial instruments</v>
      </c>
      <c r="E2310" s="434"/>
      <c r="F2310" s="434"/>
      <c r="G2310" s="434"/>
      <c r="H2310" s="434"/>
      <c r="I2310" s="434"/>
      <c r="J2310" s="449"/>
      <c r="K2310" s="292"/>
      <c r="L2310" s="350"/>
      <c r="M2310" s="350"/>
      <c r="N2310" s="292"/>
      <c r="O2310" s="408">
        <f>-TrialBalance!L28</f>
        <v>0</v>
      </c>
      <c r="P2310" s="295"/>
      <c r="R2310" s="348" t="str">
        <f t="shared" ref="R2310:R2314" si="182">IF(O2310=0,"DELETE"," ")</f>
        <v>DELETE</v>
      </c>
    </row>
    <row r="2311" spans="3:23" ht="36" customHeight="1" x14ac:dyDescent="0.45">
      <c r="C2311" s="397"/>
      <c r="D2311" s="434" t="str">
        <f>TrialBalance!C29</f>
        <v>Government grants received</v>
      </c>
      <c r="E2311" s="434"/>
      <c r="F2311" s="434"/>
      <c r="G2311" s="434"/>
      <c r="H2311" s="434"/>
      <c r="I2311" s="434"/>
      <c r="J2311" s="449"/>
      <c r="K2311" s="292"/>
      <c r="L2311" s="350"/>
      <c r="M2311" s="350"/>
      <c r="N2311" s="292"/>
      <c r="O2311" s="408">
        <f>-TrialBalance!L29</f>
        <v>0</v>
      </c>
      <c r="P2311" s="295"/>
      <c r="R2311" s="348" t="str">
        <f t="shared" si="182"/>
        <v>DELETE</v>
      </c>
    </row>
    <row r="2312" spans="3:23" ht="36" customHeight="1" x14ac:dyDescent="0.45">
      <c r="C2312" s="397"/>
      <c r="D2312" s="434">
        <f>TrialBalance!C30</f>
        <v>0</v>
      </c>
      <c r="E2312" s="434"/>
      <c r="F2312" s="434"/>
      <c r="G2312" s="434"/>
      <c r="H2312" s="434"/>
      <c r="I2312" s="434"/>
      <c r="J2312" s="449"/>
      <c r="K2312" s="292"/>
      <c r="L2312" s="350"/>
      <c r="M2312" s="350"/>
      <c r="N2312" s="292"/>
      <c r="O2312" s="408">
        <f>-TrialBalance!L30</f>
        <v>0</v>
      </c>
      <c r="P2312" s="295"/>
      <c r="R2312" s="348" t="str">
        <f t="shared" si="182"/>
        <v>DELETE</v>
      </c>
    </row>
    <row r="2313" spans="3:23" ht="36" customHeight="1" x14ac:dyDescent="0.45">
      <c r="C2313" s="397"/>
      <c r="D2313" s="434">
        <f>TrialBalance!C31</f>
        <v>0</v>
      </c>
      <c r="E2313" s="434"/>
      <c r="F2313" s="434"/>
      <c r="G2313" s="434"/>
      <c r="H2313" s="434"/>
      <c r="I2313" s="434"/>
      <c r="J2313" s="449"/>
      <c r="K2313" s="292"/>
      <c r="L2313" s="350"/>
      <c r="M2313" s="350"/>
      <c r="N2313" s="292"/>
      <c r="O2313" s="408">
        <f>-TrialBalance!L31</f>
        <v>0</v>
      </c>
      <c r="P2313" s="295"/>
      <c r="R2313" s="348" t="str">
        <f t="shared" si="182"/>
        <v>DELETE</v>
      </c>
    </row>
    <row r="2314" spans="3:23" ht="36" customHeight="1" x14ac:dyDescent="0.45">
      <c r="C2314" s="397"/>
      <c r="D2314" s="434">
        <f>TrialBalance!C32</f>
        <v>0</v>
      </c>
      <c r="E2314" s="434"/>
      <c r="F2314" s="434"/>
      <c r="G2314" s="434"/>
      <c r="H2314" s="434"/>
      <c r="I2314" s="434"/>
      <c r="J2314" s="449"/>
      <c r="K2314" s="292"/>
      <c r="L2314" s="350"/>
      <c r="M2314" s="350"/>
      <c r="N2314" s="292"/>
      <c r="O2314" s="408">
        <f>-TrialBalance!L32</f>
        <v>0</v>
      </c>
      <c r="P2314" s="295"/>
      <c r="R2314" s="348" t="str">
        <f t="shared" si="182"/>
        <v>DELETE</v>
      </c>
    </row>
    <row r="2315" spans="3:23" ht="36" customHeight="1" x14ac:dyDescent="0.45">
      <c r="C2315" s="397"/>
      <c r="D2315" s="434" t="str">
        <f>TrialBalance!C33</f>
        <v>Recoupment of depreciation</v>
      </c>
      <c r="E2315" s="434"/>
      <c r="F2315" s="434"/>
      <c r="G2315" s="434"/>
      <c r="H2315" s="434"/>
      <c r="I2315" s="434"/>
      <c r="J2315" s="449"/>
      <c r="K2315" s="292"/>
      <c r="L2315" s="350"/>
      <c r="M2315" s="350"/>
      <c r="N2315" s="292"/>
      <c r="O2315" s="408">
        <f>-TrialBalance!L33</f>
        <v>0</v>
      </c>
      <c r="P2315" s="295"/>
      <c r="R2315" s="348" t="str">
        <f t="shared" ref="R2315" si="183">IF(O2315=0,"DELETE"," ")</f>
        <v>DELETE</v>
      </c>
    </row>
    <row r="2316" spans="3:23" ht="9" customHeight="1" x14ac:dyDescent="0.45">
      <c r="C2316" s="397"/>
      <c r="D2316" s="434"/>
      <c r="E2316" s="434"/>
      <c r="F2316" s="434"/>
      <c r="G2316" s="434"/>
      <c r="H2316" s="434"/>
      <c r="I2316" s="434"/>
      <c r="J2316" s="449"/>
      <c r="K2316" s="292"/>
      <c r="L2316" s="350"/>
      <c r="M2316" s="350"/>
      <c r="N2316" s="292"/>
      <c r="O2316" s="409"/>
      <c r="P2316" s="295"/>
      <c r="R2316" s="348" t="str">
        <f>R2307</f>
        <v>DELETE</v>
      </c>
    </row>
    <row r="2317" spans="3:23" ht="9" customHeight="1" x14ac:dyDescent="0.45">
      <c r="C2317" s="397"/>
      <c r="D2317" s="434"/>
      <c r="E2317" s="434"/>
      <c r="F2317" s="434"/>
      <c r="G2317" s="434"/>
      <c r="H2317" s="434"/>
      <c r="I2317" s="434"/>
      <c r="J2317" s="449"/>
      <c r="K2317" s="292"/>
      <c r="L2317" s="350"/>
      <c r="M2317" s="350"/>
      <c r="N2317" s="292"/>
      <c r="O2317" s="314"/>
      <c r="P2317" s="295"/>
      <c r="R2317" s="348" t="str">
        <f>R2316</f>
        <v>DELETE</v>
      </c>
    </row>
    <row r="2318" spans="3:23" ht="9" customHeight="1" x14ac:dyDescent="0.45">
      <c r="C2318" s="397"/>
      <c r="D2318" s="434"/>
      <c r="E2318" s="434"/>
      <c r="F2318" s="434"/>
      <c r="G2318" s="434"/>
      <c r="H2318" s="434"/>
      <c r="I2318" s="434"/>
      <c r="J2318" s="449"/>
      <c r="K2318" s="292"/>
      <c r="L2318" s="350"/>
      <c r="M2318" s="350"/>
      <c r="N2318" s="292"/>
      <c r="O2318" s="296"/>
      <c r="P2318" s="295"/>
      <c r="R2318" s="348" t="str">
        <f>R2317</f>
        <v>DELETE</v>
      </c>
    </row>
    <row r="2319" spans="3:23" ht="36" customHeight="1" x14ac:dyDescent="0.45">
      <c r="C2319" s="397"/>
      <c r="D2319" s="434"/>
      <c r="E2319" s="434"/>
      <c r="F2319" s="434"/>
      <c r="G2319" s="434"/>
      <c r="H2319" s="434"/>
      <c r="I2319" s="434"/>
      <c r="J2319" s="449"/>
      <c r="K2319" s="292"/>
      <c r="L2319" s="350"/>
      <c r="M2319" s="350"/>
      <c r="N2319" s="292"/>
      <c r="O2319" s="296">
        <f>SUM(S2287:S2307)</f>
        <v>0</v>
      </c>
      <c r="P2319" s="295"/>
      <c r="R2319" s="348" t="str">
        <f>R2307</f>
        <v>DELETE</v>
      </c>
    </row>
    <row r="2320" spans="3:23" ht="36" customHeight="1" x14ac:dyDescent="0.45">
      <c r="C2320" s="397"/>
      <c r="D2320" s="434"/>
      <c r="E2320" s="434"/>
      <c r="F2320" s="434"/>
      <c r="G2320" s="434"/>
      <c r="H2320" s="434"/>
      <c r="I2320" s="434"/>
      <c r="J2320" s="449"/>
      <c r="K2320" s="292"/>
      <c r="L2320" s="350"/>
      <c r="M2320" s="350"/>
      <c r="N2320" s="292"/>
      <c r="O2320" s="296"/>
      <c r="P2320" s="295"/>
      <c r="R2320" s="348" t="str">
        <f>R2319</f>
        <v>DELETE</v>
      </c>
    </row>
    <row r="2321" spans="3:22" ht="36" customHeight="1" x14ac:dyDescent="0.45">
      <c r="D2321" s="433" t="s">
        <v>1075</v>
      </c>
      <c r="E2321" s="434"/>
      <c r="F2321" s="434"/>
      <c r="G2321" s="434"/>
      <c r="H2321" s="434"/>
      <c r="I2321" s="434"/>
      <c r="J2321" s="449"/>
      <c r="K2321" s="292"/>
      <c r="L2321" s="350"/>
      <c r="M2321" s="350"/>
      <c r="N2321" s="292"/>
      <c r="O2321" s="296">
        <f>SUM(O2323:O2352)</f>
        <v>0</v>
      </c>
      <c r="P2321" s="295"/>
      <c r="R2321" s="348" t="str">
        <f t="shared" ref="R2321" si="184">IF(O2321=0,"DELETE"," ")</f>
        <v>DELETE</v>
      </c>
      <c r="S2321" s="333">
        <f>-O2321</f>
        <v>0</v>
      </c>
      <c r="T2321" s="333"/>
      <c r="U2321" s="333"/>
      <c r="V2321" s="333"/>
    </row>
    <row r="2322" spans="3:22" ht="9" customHeight="1" x14ac:dyDescent="0.45">
      <c r="C2322" s="397"/>
      <c r="D2322" s="434"/>
      <c r="E2322" s="434"/>
      <c r="F2322" s="434"/>
      <c r="G2322" s="434"/>
      <c r="H2322" s="434"/>
      <c r="I2322" s="434"/>
      <c r="J2322" s="449"/>
      <c r="K2322" s="292"/>
      <c r="L2322" s="350"/>
      <c r="M2322" s="350"/>
      <c r="N2322" s="292"/>
      <c r="O2322" s="296"/>
      <c r="P2322" s="295"/>
      <c r="R2322" s="348" t="str">
        <f>R2321</f>
        <v>DELETE</v>
      </c>
    </row>
    <row r="2323" spans="3:22" ht="9" customHeight="1" x14ac:dyDescent="0.45">
      <c r="C2323" s="397"/>
      <c r="D2323" s="434"/>
      <c r="E2323" s="434"/>
      <c r="F2323" s="434"/>
      <c r="G2323" s="434"/>
      <c r="H2323" s="434"/>
      <c r="I2323" s="434"/>
      <c r="J2323" s="449"/>
      <c r="K2323" s="292"/>
      <c r="L2323" s="350"/>
      <c r="M2323" s="350"/>
      <c r="N2323" s="292"/>
      <c r="O2323" s="407"/>
      <c r="P2323" s="295"/>
      <c r="R2323" s="348" t="str">
        <f>R2322</f>
        <v>DELETE</v>
      </c>
    </row>
    <row r="2324" spans="3:22" ht="36" customHeight="1" x14ac:dyDescent="0.45">
      <c r="C2324" s="397"/>
      <c r="D2324" s="434" t="s">
        <v>250</v>
      </c>
      <c r="E2324" s="434"/>
      <c r="F2324" s="434"/>
      <c r="G2324" s="434"/>
      <c r="H2324" s="434"/>
      <c r="I2324" s="434"/>
      <c r="J2324" s="449"/>
      <c r="K2324" s="292"/>
      <c r="L2324" s="350"/>
      <c r="M2324" s="350"/>
      <c r="N2324" s="292"/>
      <c r="O2324" s="408">
        <f>TrialBalance!L40</f>
        <v>0</v>
      </c>
      <c r="P2324" s="295"/>
      <c r="R2324" s="348" t="str">
        <f t="shared" ref="R2324:R2351" si="185">IF(O2324=0,"DELETE"," ")</f>
        <v>DELETE</v>
      </c>
    </row>
    <row r="2325" spans="3:22" ht="36" customHeight="1" x14ac:dyDescent="0.45">
      <c r="C2325" s="397"/>
      <c r="D2325" s="434" t="s">
        <v>658</v>
      </c>
      <c r="E2325" s="434"/>
      <c r="F2325" s="434"/>
      <c r="G2325" s="434"/>
      <c r="H2325" s="434"/>
      <c r="I2325" s="434"/>
      <c r="J2325" s="449"/>
      <c r="K2325" s="292"/>
      <c r="L2325" s="350"/>
      <c r="M2325" s="350"/>
      <c r="N2325" s="292"/>
      <c r="O2325" s="408">
        <f>TrialBalance!L41</f>
        <v>0</v>
      </c>
      <c r="P2325" s="295"/>
      <c r="R2325" s="348" t="str">
        <f t="shared" si="185"/>
        <v>DELETE</v>
      </c>
    </row>
    <row r="2326" spans="3:22" ht="36" customHeight="1" x14ac:dyDescent="0.45">
      <c r="C2326" s="397"/>
      <c r="D2326" s="434" t="s">
        <v>251</v>
      </c>
      <c r="E2326" s="434"/>
      <c r="F2326" s="434"/>
      <c r="G2326" s="434"/>
      <c r="H2326" s="434"/>
      <c r="I2326" s="434"/>
      <c r="J2326" s="449"/>
      <c r="K2326" s="292"/>
      <c r="L2326" s="350"/>
      <c r="M2326" s="350"/>
      <c r="N2326" s="292"/>
      <c r="O2326" s="408">
        <f>TrialBalance!L42</f>
        <v>0</v>
      </c>
      <c r="P2326" s="295"/>
      <c r="R2326" s="348" t="str">
        <f t="shared" si="185"/>
        <v>DELETE</v>
      </c>
    </row>
    <row r="2327" spans="3:22" ht="36" customHeight="1" x14ac:dyDescent="0.45">
      <c r="C2327" s="397"/>
      <c r="D2327" s="434" t="s">
        <v>252</v>
      </c>
      <c r="E2327" s="434"/>
      <c r="F2327" s="434"/>
      <c r="G2327" s="434"/>
      <c r="H2327" s="434"/>
      <c r="I2327" s="434"/>
      <c r="J2327" s="449"/>
      <c r="K2327" s="292">
        <f>B$958</f>
        <v>5</v>
      </c>
      <c r="L2327" s="350"/>
      <c r="M2327" s="350"/>
      <c r="N2327" s="292"/>
      <c r="O2327" s="408">
        <f>SUM(TrialBalance!L44:L46)</f>
        <v>0</v>
      </c>
      <c r="P2327" s="295"/>
      <c r="R2327" s="348" t="str">
        <f t="shared" si="185"/>
        <v>DELETE</v>
      </c>
    </row>
    <row r="2328" spans="3:22" ht="36" customHeight="1" x14ac:dyDescent="0.45">
      <c r="C2328" s="397"/>
      <c r="D2328" s="434" t="s">
        <v>494</v>
      </c>
      <c r="E2328" s="434"/>
      <c r="F2328" s="434"/>
      <c r="G2328" s="434"/>
      <c r="H2328" s="434"/>
      <c r="I2328" s="434"/>
      <c r="J2328" s="449"/>
      <c r="K2328" s="292"/>
      <c r="L2328" s="350"/>
      <c r="M2328" s="350"/>
      <c r="N2328" s="292"/>
      <c r="O2328" s="408">
        <f>TrialBalance!L47</f>
        <v>0</v>
      </c>
      <c r="P2328" s="295"/>
      <c r="R2328" s="348" t="str">
        <f t="shared" si="185"/>
        <v>DELETE</v>
      </c>
      <c r="S2328" s="336"/>
      <c r="T2328" s="336"/>
      <c r="U2328" s="336"/>
      <c r="V2328" s="336"/>
    </row>
    <row r="2329" spans="3:22" ht="36" customHeight="1" x14ac:dyDescent="0.45">
      <c r="C2329" s="397"/>
      <c r="D2329" s="434" t="s">
        <v>678</v>
      </c>
      <c r="E2329" s="434"/>
      <c r="F2329" s="434"/>
      <c r="G2329" s="434"/>
      <c r="H2329" s="434"/>
      <c r="I2329" s="434"/>
      <c r="J2329" s="449"/>
      <c r="K2329" s="292"/>
      <c r="L2329" s="350"/>
      <c r="M2329" s="350"/>
      <c r="N2329" s="292"/>
      <c r="O2329" s="408">
        <f>TrialBalance!L48</f>
        <v>0</v>
      </c>
      <c r="P2329" s="295"/>
      <c r="R2329" s="348" t="str">
        <f t="shared" si="185"/>
        <v>DELETE</v>
      </c>
    </row>
    <row r="2330" spans="3:22" ht="36" customHeight="1" x14ac:dyDescent="0.45">
      <c r="C2330" s="397"/>
      <c r="D2330" s="434" t="s">
        <v>54</v>
      </c>
      <c r="E2330" s="434"/>
      <c r="F2330" s="434"/>
      <c r="G2330" s="434"/>
      <c r="H2330" s="434"/>
      <c r="I2330" s="434"/>
      <c r="J2330" s="449"/>
      <c r="K2330" s="292"/>
      <c r="L2330" s="350"/>
      <c r="M2330" s="350"/>
      <c r="N2330" s="292"/>
      <c r="O2330" s="408">
        <f>TrialBalance!L49</f>
        <v>0</v>
      </c>
      <c r="P2330" s="295"/>
      <c r="R2330" s="348" t="str">
        <f t="shared" si="185"/>
        <v>DELETE</v>
      </c>
    </row>
    <row r="2331" spans="3:22" ht="36" customHeight="1" x14ac:dyDescent="0.45">
      <c r="C2331" s="397"/>
      <c r="D2331" s="434" t="s">
        <v>253</v>
      </c>
      <c r="E2331" s="434"/>
      <c r="F2331" s="434"/>
      <c r="G2331" s="434"/>
      <c r="H2331" s="434"/>
      <c r="I2331" s="434"/>
      <c r="J2331" s="449"/>
      <c r="K2331" s="292"/>
      <c r="L2331" s="350"/>
      <c r="M2331" s="350"/>
      <c r="N2331" s="292"/>
      <c r="O2331" s="408">
        <f>TrialBalance!L50</f>
        <v>0</v>
      </c>
      <c r="P2331" s="295"/>
      <c r="R2331" s="348" t="str">
        <f t="shared" si="185"/>
        <v>DELETE</v>
      </c>
    </row>
    <row r="2332" spans="3:22" ht="36" customHeight="1" x14ac:dyDescent="0.45">
      <c r="C2332" s="397"/>
      <c r="D2332" s="434" t="s">
        <v>511</v>
      </c>
      <c r="E2332" s="434"/>
      <c r="F2332" s="434"/>
      <c r="G2332" s="434"/>
      <c r="H2332" s="434"/>
      <c r="I2332" s="434"/>
      <c r="J2332" s="449"/>
      <c r="K2332" s="292"/>
      <c r="L2332" s="350"/>
      <c r="M2332" s="350"/>
      <c r="N2332" s="292"/>
      <c r="O2332" s="408">
        <f>SUM(TrialBalance!L51:L52)</f>
        <v>0</v>
      </c>
      <c r="P2332" s="295"/>
      <c r="R2332" s="348" t="str">
        <f t="shared" si="185"/>
        <v>DELETE</v>
      </c>
    </row>
    <row r="2333" spans="3:22" ht="36" customHeight="1" x14ac:dyDescent="0.45">
      <c r="C2333" s="397"/>
      <c r="D2333" s="434" t="s">
        <v>510</v>
      </c>
      <c r="E2333" s="434"/>
      <c r="F2333" s="434"/>
      <c r="G2333" s="434"/>
      <c r="H2333" s="434"/>
      <c r="I2333" s="434"/>
      <c r="J2333" s="449"/>
      <c r="K2333" s="292"/>
      <c r="L2333" s="350"/>
      <c r="M2333" s="350"/>
      <c r="N2333" s="292"/>
      <c r="O2333" s="408">
        <f>TrialBalance!L53</f>
        <v>0</v>
      </c>
      <c r="P2333" s="295"/>
      <c r="R2333" s="348" t="str">
        <f t="shared" si="185"/>
        <v>DELETE</v>
      </c>
    </row>
    <row r="2334" spans="3:22" ht="36" customHeight="1" x14ac:dyDescent="0.45">
      <c r="C2334" s="397"/>
      <c r="D2334" s="434" t="s">
        <v>495</v>
      </c>
      <c r="E2334" s="434"/>
      <c r="F2334" s="434"/>
      <c r="G2334" s="434"/>
      <c r="H2334" s="434"/>
      <c r="I2334" s="434"/>
      <c r="J2334" s="449"/>
      <c r="K2334" s="292"/>
      <c r="L2334" s="350"/>
      <c r="M2334" s="350"/>
      <c r="N2334" s="292"/>
      <c r="O2334" s="408">
        <f>SUM(TrialBalance!L55:L59)</f>
        <v>0</v>
      </c>
      <c r="P2334" s="295"/>
      <c r="R2334" s="348" t="str">
        <f t="shared" si="185"/>
        <v>DELETE</v>
      </c>
    </row>
    <row r="2335" spans="3:22" ht="36" customHeight="1" x14ac:dyDescent="0.45">
      <c r="C2335" s="397"/>
      <c r="D2335" s="434" t="s">
        <v>479</v>
      </c>
      <c r="E2335" s="434"/>
      <c r="F2335" s="434"/>
      <c r="G2335" s="434"/>
      <c r="H2335" s="434"/>
      <c r="I2335" s="434"/>
      <c r="J2335" s="449"/>
      <c r="K2335" s="292">
        <f>B$958</f>
        <v>5</v>
      </c>
      <c r="L2335" s="350"/>
      <c r="M2335" s="350"/>
      <c r="N2335" s="292"/>
      <c r="O2335" s="408">
        <f>SUM(TrialBalance!L61:L63)</f>
        <v>0</v>
      </c>
      <c r="P2335" s="295"/>
      <c r="R2335" s="348" t="str">
        <f t="shared" si="185"/>
        <v>DELETE</v>
      </c>
    </row>
    <row r="2336" spans="3:22" ht="36" customHeight="1" x14ac:dyDescent="0.45">
      <c r="C2336" s="397"/>
      <c r="D2336" s="434" t="s">
        <v>57</v>
      </c>
      <c r="E2336" s="434"/>
      <c r="F2336" s="434"/>
      <c r="G2336" s="434"/>
      <c r="H2336" s="434"/>
      <c r="I2336" s="434"/>
      <c r="J2336" s="449"/>
      <c r="K2336" s="292"/>
      <c r="L2336" s="350"/>
      <c r="M2336" s="350"/>
      <c r="N2336" s="292"/>
      <c r="O2336" s="408">
        <f>TrialBalance!L64</f>
        <v>0</v>
      </c>
      <c r="P2336" s="295"/>
      <c r="R2336" s="348" t="str">
        <f t="shared" si="185"/>
        <v>DELETE</v>
      </c>
    </row>
    <row r="2337" spans="3:18" ht="36" customHeight="1" x14ac:dyDescent="0.45">
      <c r="C2337" s="397"/>
      <c r="D2337" s="434" t="s">
        <v>1210</v>
      </c>
      <c r="E2337" s="434"/>
      <c r="F2337" s="434"/>
      <c r="G2337" s="434"/>
      <c r="H2337" s="434"/>
      <c r="I2337" s="434"/>
      <c r="J2337" s="449"/>
      <c r="K2337" s="292"/>
      <c r="L2337" s="350"/>
      <c r="M2337" s="350"/>
      <c r="N2337" s="292"/>
      <c r="O2337" s="408">
        <f>TrialBalance!L65</f>
        <v>0</v>
      </c>
      <c r="P2337" s="295"/>
      <c r="R2337" s="348" t="str">
        <f>IF(O2337=0,"DELETE"," ")</f>
        <v>DELETE</v>
      </c>
    </row>
    <row r="2338" spans="3:18" ht="36" customHeight="1" x14ac:dyDescent="0.45">
      <c r="C2338" s="397"/>
      <c r="D2338" s="434" t="s">
        <v>235</v>
      </c>
      <c r="E2338" s="434"/>
      <c r="F2338" s="434"/>
      <c r="G2338" s="434"/>
      <c r="H2338" s="434"/>
      <c r="I2338" s="434"/>
      <c r="J2338" s="449"/>
      <c r="K2338" s="292"/>
      <c r="L2338" s="350"/>
      <c r="M2338" s="350"/>
      <c r="N2338" s="292"/>
      <c r="O2338" s="408">
        <f>SUM(TrialBalance!L66:L68)</f>
        <v>0</v>
      </c>
      <c r="P2338" s="295"/>
      <c r="R2338" s="348" t="str">
        <f t="shared" si="185"/>
        <v>DELETE</v>
      </c>
    </row>
    <row r="2339" spans="3:18" ht="36" customHeight="1" x14ac:dyDescent="0.45">
      <c r="C2339" s="397"/>
      <c r="D2339" s="434" t="s">
        <v>679</v>
      </c>
      <c r="E2339" s="434"/>
      <c r="F2339" s="434"/>
      <c r="G2339" s="434"/>
      <c r="H2339" s="434"/>
      <c r="I2339" s="434"/>
      <c r="J2339" s="449"/>
      <c r="K2339" s="292"/>
      <c r="L2339" s="350"/>
      <c r="M2339" s="350"/>
      <c r="N2339" s="292"/>
      <c r="O2339" s="408">
        <f>SUM(TrialBalance!L69:L70)</f>
        <v>0</v>
      </c>
      <c r="P2339" s="295"/>
      <c r="R2339" s="348" t="str">
        <f t="shared" si="185"/>
        <v>DELETE</v>
      </c>
    </row>
    <row r="2340" spans="3:18" ht="36" customHeight="1" x14ac:dyDescent="0.45">
      <c r="C2340" s="397"/>
      <c r="D2340" s="434" t="s">
        <v>236</v>
      </c>
      <c r="E2340" s="434"/>
      <c r="F2340" s="434"/>
      <c r="G2340" s="434"/>
      <c r="H2340" s="434"/>
      <c r="I2340" s="434"/>
      <c r="J2340" s="449"/>
      <c r="K2340" s="292"/>
      <c r="L2340" s="350"/>
      <c r="M2340" s="350"/>
      <c r="N2340" s="292"/>
      <c r="O2340" s="408">
        <f>TrialBalance!L71</f>
        <v>0</v>
      </c>
      <c r="P2340" s="295"/>
      <c r="R2340" s="348" t="str">
        <f t="shared" si="185"/>
        <v>DELETE</v>
      </c>
    </row>
    <row r="2341" spans="3:18" ht="36" customHeight="1" x14ac:dyDescent="0.45">
      <c r="C2341" s="397"/>
      <c r="D2341" s="434" t="s">
        <v>361</v>
      </c>
      <c r="E2341" s="434"/>
      <c r="F2341" s="434"/>
      <c r="G2341" s="434"/>
      <c r="H2341" s="434"/>
      <c r="I2341" s="434"/>
      <c r="J2341" s="449"/>
      <c r="K2341" s="292"/>
      <c r="L2341" s="350"/>
      <c r="M2341" s="350"/>
      <c r="N2341" s="292"/>
      <c r="O2341" s="408">
        <f>TrialBalance!L72</f>
        <v>0</v>
      </c>
      <c r="P2341" s="295"/>
      <c r="R2341" s="348" t="str">
        <f t="shared" si="185"/>
        <v>DELETE</v>
      </c>
    </row>
    <row r="2342" spans="3:18" ht="36" customHeight="1" x14ac:dyDescent="0.45">
      <c r="C2342" s="397"/>
      <c r="D2342" s="434">
        <f>TrialBalance!C73</f>
        <v>0</v>
      </c>
      <c r="E2342" s="434"/>
      <c r="F2342" s="434"/>
      <c r="G2342" s="434"/>
      <c r="H2342" s="434"/>
      <c r="I2342" s="434"/>
      <c r="J2342" s="449"/>
      <c r="K2342" s="292"/>
      <c r="L2342" s="350"/>
      <c r="M2342" s="350"/>
      <c r="N2342" s="292"/>
      <c r="O2342" s="408">
        <f>TrialBalance!L73</f>
        <v>0</v>
      </c>
      <c r="P2342" s="295"/>
      <c r="R2342" s="348" t="str">
        <f t="shared" si="185"/>
        <v>DELETE</v>
      </c>
    </row>
    <row r="2343" spans="3:18" ht="36" customHeight="1" x14ac:dyDescent="0.45">
      <c r="C2343" s="397"/>
      <c r="D2343" s="434">
        <f>TrialBalance!C74</f>
        <v>0</v>
      </c>
      <c r="E2343" s="434"/>
      <c r="F2343" s="434"/>
      <c r="G2343" s="434"/>
      <c r="H2343" s="434"/>
      <c r="I2343" s="434"/>
      <c r="J2343" s="449"/>
      <c r="K2343" s="292"/>
      <c r="L2343" s="350"/>
      <c r="M2343" s="350"/>
      <c r="N2343" s="292"/>
      <c r="O2343" s="408">
        <f>TrialBalance!L74</f>
        <v>0</v>
      </c>
      <c r="P2343" s="295"/>
      <c r="R2343" s="348" t="str">
        <f t="shared" si="185"/>
        <v>DELETE</v>
      </c>
    </row>
    <row r="2344" spans="3:18" ht="36" customHeight="1" x14ac:dyDescent="0.45">
      <c r="C2344" s="397"/>
      <c r="D2344" s="434">
        <f>TrialBalance!C75</f>
        <v>0</v>
      </c>
      <c r="E2344" s="434"/>
      <c r="F2344" s="434"/>
      <c r="G2344" s="434"/>
      <c r="H2344" s="434"/>
      <c r="I2344" s="434"/>
      <c r="J2344" s="449"/>
      <c r="K2344" s="292"/>
      <c r="L2344" s="350"/>
      <c r="M2344" s="350"/>
      <c r="N2344" s="292"/>
      <c r="O2344" s="408">
        <f>TrialBalance!L75</f>
        <v>0</v>
      </c>
      <c r="P2344" s="295"/>
      <c r="R2344" s="348" t="str">
        <f t="shared" si="185"/>
        <v>DELETE</v>
      </c>
    </row>
    <row r="2345" spans="3:18" ht="36" customHeight="1" x14ac:dyDescent="0.45">
      <c r="C2345" s="397"/>
      <c r="D2345" s="434">
        <f>TrialBalance!C76</f>
        <v>0</v>
      </c>
      <c r="E2345" s="434"/>
      <c r="F2345" s="434"/>
      <c r="G2345" s="434"/>
      <c r="H2345" s="434"/>
      <c r="I2345" s="434"/>
      <c r="J2345" s="449"/>
      <c r="K2345" s="292"/>
      <c r="L2345" s="350"/>
      <c r="M2345" s="350"/>
      <c r="N2345" s="292"/>
      <c r="O2345" s="408">
        <f>TrialBalance!L76</f>
        <v>0</v>
      </c>
      <c r="P2345" s="295"/>
      <c r="R2345" s="348" t="str">
        <f t="shared" si="185"/>
        <v>DELETE</v>
      </c>
    </row>
    <row r="2346" spans="3:18" ht="36" customHeight="1" x14ac:dyDescent="0.45">
      <c r="C2346" s="397"/>
      <c r="D2346" s="434">
        <f>TrialBalance!C77</f>
        <v>0</v>
      </c>
      <c r="E2346" s="434"/>
      <c r="F2346" s="434"/>
      <c r="G2346" s="434"/>
      <c r="H2346" s="434"/>
      <c r="I2346" s="434"/>
      <c r="J2346" s="449"/>
      <c r="K2346" s="292"/>
      <c r="L2346" s="350"/>
      <c r="M2346" s="350"/>
      <c r="N2346" s="292"/>
      <c r="O2346" s="408">
        <f>TrialBalance!L77</f>
        <v>0</v>
      </c>
      <c r="P2346" s="295"/>
      <c r="R2346" s="348" t="str">
        <f t="shared" si="185"/>
        <v>DELETE</v>
      </c>
    </row>
    <row r="2347" spans="3:18" ht="36" customHeight="1" x14ac:dyDescent="0.45">
      <c r="C2347" s="397"/>
      <c r="D2347" s="434">
        <f>TrialBalance!C78</f>
        <v>0</v>
      </c>
      <c r="E2347" s="434"/>
      <c r="F2347" s="434"/>
      <c r="G2347" s="434"/>
      <c r="H2347" s="434"/>
      <c r="I2347" s="434"/>
      <c r="J2347" s="449"/>
      <c r="K2347" s="292"/>
      <c r="L2347" s="350"/>
      <c r="M2347" s="350"/>
      <c r="N2347" s="292"/>
      <c r="O2347" s="408">
        <f>TrialBalance!L78</f>
        <v>0</v>
      </c>
      <c r="P2347" s="295"/>
      <c r="R2347" s="348" t="str">
        <f t="shared" si="185"/>
        <v>DELETE</v>
      </c>
    </row>
    <row r="2348" spans="3:18" ht="36" customHeight="1" x14ac:dyDescent="0.45">
      <c r="C2348" s="397"/>
      <c r="D2348" s="434">
        <f>TrialBalance!C79</f>
        <v>0</v>
      </c>
      <c r="E2348" s="434"/>
      <c r="F2348" s="434"/>
      <c r="G2348" s="434"/>
      <c r="H2348" s="434"/>
      <c r="I2348" s="434"/>
      <c r="J2348" s="449"/>
      <c r="K2348" s="292"/>
      <c r="L2348" s="350"/>
      <c r="M2348" s="350"/>
      <c r="N2348" s="292"/>
      <c r="O2348" s="408">
        <f>TrialBalance!L79</f>
        <v>0</v>
      </c>
      <c r="P2348" s="295"/>
      <c r="R2348" s="348" t="str">
        <f t="shared" si="185"/>
        <v>DELETE</v>
      </c>
    </row>
    <row r="2349" spans="3:18" ht="36" customHeight="1" x14ac:dyDescent="0.45">
      <c r="C2349" s="397"/>
      <c r="D2349" s="434">
        <f>TrialBalance!C80</f>
        <v>0</v>
      </c>
      <c r="E2349" s="434"/>
      <c r="F2349" s="434"/>
      <c r="G2349" s="434"/>
      <c r="H2349" s="434"/>
      <c r="I2349" s="434"/>
      <c r="J2349" s="449"/>
      <c r="K2349" s="292"/>
      <c r="L2349" s="350"/>
      <c r="M2349" s="350"/>
      <c r="N2349" s="292"/>
      <c r="O2349" s="408">
        <f>TrialBalance!L80</f>
        <v>0</v>
      </c>
      <c r="P2349" s="295"/>
      <c r="R2349" s="348" t="str">
        <f t="shared" si="185"/>
        <v>DELETE</v>
      </c>
    </row>
    <row r="2350" spans="3:18" ht="36" customHeight="1" x14ac:dyDescent="0.45">
      <c r="C2350" s="397"/>
      <c r="D2350" s="434">
        <f>TrialBalance!C81</f>
        <v>0</v>
      </c>
      <c r="E2350" s="434"/>
      <c r="F2350" s="434"/>
      <c r="G2350" s="434"/>
      <c r="H2350" s="434"/>
      <c r="I2350" s="434"/>
      <c r="J2350" s="449"/>
      <c r="K2350" s="292"/>
      <c r="L2350" s="350"/>
      <c r="M2350" s="350"/>
      <c r="N2350" s="292"/>
      <c r="O2350" s="408">
        <f>TrialBalance!L81</f>
        <v>0</v>
      </c>
      <c r="P2350" s="295"/>
      <c r="R2350" s="348" t="str">
        <f t="shared" si="185"/>
        <v>DELETE</v>
      </c>
    </row>
    <row r="2351" spans="3:18" ht="36" customHeight="1" x14ac:dyDescent="0.45">
      <c r="C2351" s="397"/>
      <c r="D2351" s="434">
        <f>TrialBalance!C82</f>
        <v>0</v>
      </c>
      <c r="E2351" s="434"/>
      <c r="F2351" s="434"/>
      <c r="G2351" s="434"/>
      <c r="H2351" s="434"/>
      <c r="I2351" s="434"/>
      <c r="J2351" s="449"/>
      <c r="K2351" s="292"/>
      <c r="L2351" s="350"/>
      <c r="M2351" s="350"/>
      <c r="N2351" s="292"/>
      <c r="O2351" s="408">
        <f>TrialBalance!L82</f>
        <v>0</v>
      </c>
      <c r="P2351" s="295"/>
      <c r="R2351" s="348" t="str">
        <f t="shared" si="185"/>
        <v>DELETE</v>
      </c>
    </row>
    <row r="2352" spans="3:18" ht="9" customHeight="1" x14ac:dyDescent="0.45">
      <c r="C2352" s="397"/>
      <c r="D2352" s="434"/>
      <c r="E2352" s="434"/>
      <c r="F2352" s="434"/>
      <c r="G2352" s="434"/>
      <c r="H2352" s="434"/>
      <c r="I2352" s="434"/>
      <c r="J2352" s="449"/>
      <c r="K2352" s="292"/>
      <c r="L2352" s="350"/>
      <c r="M2352" s="350"/>
      <c r="N2352" s="292"/>
      <c r="O2352" s="409"/>
      <c r="P2352" s="295"/>
      <c r="R2352" s="348" t="str">
        <f>R2321</f>
        <v>DELETE</v>
      </c>
    </row>
    <row r="2353" spans="3:23" ht="9" customHeight="1" x14ac:dyDescent="0.45">
      <c r="C2353" s="397"/>
      <c r="D2353" s="434"/>
      <c r="E2353" s="434"/>
      <c r="F2353" s="434"/>
      <c r="G2353" s="434"/>
      <c r="H2353" s="434"/>
      <c r="I2353" s="434"/>
      <c r="J2353" s="449"/>
      <c r="K2353" s="292"/>
      <c r="L2353" s="350"/>
      <c r="M2353" s="350"/>
      <c r="N2353" s="292"/>
      <c r="O2353" s="298"/>
      <c r="P2353" s="295"/>
    </row>
    <row r="2354" spans="3:23" ht="9" customHeight="1" x14ac:dyDescent="0.45">
      <c r="C2354" s="397"/>
      <c r="D2354" s="434"/>
      <c r="E2354" s="434"/>
      <c r="F2354" s="434"/>
      <c r="G2354" s="434"/>
      <c r="H2354" s="434"/>
      <c r="I2354" s="434"/>
      <c r="J2354" s="449"/>
      <c r="K2354" s="292"/>
      <c r="L2354" s="350"/>
      <c r="M2354" s="350"/>
      <c r="N2354" s="292"/>
      <c r="O2354" s="296"/>
      <c r="P2354" s="295"/>
    </row>
    <row r="2355" spans="3:23" ht="36" customHeight="1" x14ac:dyDescent="0.45">
      <c r="D2355" s="446" t="str">
        <f>IF(W2355=2,"Operating profit","Operating loss")</f>
        <v>Operating profit</v>
      </c>
      <c r="E2355" s="434"/>
      <c r="F2355" s="434"/>
      <c r="G2355" s="434"/>
      <c r="H2355" s="434"/>
      <c r="I2355" s="434"/>
      <c r="J2355" s="449"/>
      <c r="K2355" s="292"/>
      <c r="L2355" s="350"/>
      <c r="M2355" s="350"/>
      <c r="N2355" s="292"/>
      <c r="O2355" s="296">
        <f>SUM(S2287:S2353)</f>
        <v>0</v>
      </c>
      <c r="P2355" s="295"/>
      <c r="W2355" s="331">
        <f>IF(O2355&lt;0,1,2)</f>
        <v>2</v>
      </c>
    </row>
    <row r="2356" spans="3:23" ht="36" customHeight="1" x14ac:dyDescent="0.45">
      <c r="C2356" s="397"/>
      <c r="D2356" s="434"/>
      <c r="E2356" s="434" t="s">
        <v>238</v>
      </c>
      <c r="F2356" s="434"/>
      <c r="G2356" s="434"/>
      <c r="H2356" s="434"/>
      <c r="I2356" s="434"/>
      <c r="J2356" s="449"/>
      <c r="K2356" s="292"/>
      <c r="L2356" s="350"/>
      <c r="M2356" s="350"/>
      <c r="N2356" s="292"/>
      <c r="O2356" s="296"/>
      <c r="P2356" s="295"/>
    </row>
    <row r="2357" spans="3:23" ht="36" customHeight="1" x14ac:dyDescent="0.45">
      <c r="C2357" s="397"/>
      <c r="D2357" s="434"/>
      <c r="E2357" s="434"/>
      <c r="F2357" s="434"/>
      <c r="G2357" s="434"/>
      <c r="H2357" s="434"/>
      <c r="I2357" s="434"/>
      <c r="J2357" s="449"/>
      <c r="K2357" s="292"/>
      <c r="L2357" s="292"/>
      <c r="M2357" s="296"/>
      <c r="N2357" s="296"/>
      <c r="O2357" s="296"/>
      <c r="P2357" s="295"/>
    </row>
    <row r="2358" spans="3:23" ht="36" customHeight="1" x14ac:dyDescent="0.45">
      <c r="C2358" s="397"/>
      <c r="D2358" s="434"/>
      <c r="E2358" s="434"/>
      <c r="F2358" s="434"/>
      <c r="G2358" s="434"/>
      <c r="H2358" s="434"/>
      <c r="I2358" s="434"/>
      <c r="J2358" s="449"/>
      <c r="K2358" s="292"/>
      <c r="L2358" s="292"/>
      <c r="M2358" s="296"/>
      <c r="N2358" s="296"/>
      <c r="O2358" s="296"/>
      <c r="P2358" s="295"/>
    </row>
    <row r="2359" spans="3:23" ht="36" customHeight="1" x14ac:dyDescent="0.45">
      <c r="C2359" s="397"/>
      <c r="D2359" s="434"/>
      <c r="E2359" s="434"/>
      <c r="F2359" s="434"/>
      <c r="G2359" s="434"/>
      <c r="H2359" s="434"/>
      <c r="I2359" s="434"/>
      <c r="J2359" s="449"/>
      <c r="K2359" s="292"/>
      <c r="L2359" s="292"/>
      <c r="M2359" s="310"/>
      <c r="N2359" s="310"/>
      <c r="O2359" s="310"/>
      <c r="P2359" s="330"/>
    </row>
    <row r="2360" spans="3:23" ht="36" customHeight="1" x14ac:dyDescent="0.45">
      <c r="C2360" s="397"/>
      <c r="D2360" s="434"/>
      <c r="E2360" s="434"/>
      <c r="F2360" s="434"/>
      <c r="G2360" s="434"/>
      <c r="H2360" s="434"/>
      <c r="I2360" s="434"/>
      <c r="J2360" s="449"/>
      <c r="K2360" s="292"/>
      <c r="L2360" s="292"/>
      <c r="M2360" s="296"/>
      <c r="N2360" s="296"/>
      <c r="O2360" s="296"/>
      <c r="P2360" s="295"/>
    </row>
    <row r="2361" spans="3:23" ht="36" customHeight="1" x14ac:dyDescent="0.45">
      <c r="C2361" s="397"/>
      <c r="D2361" s="434"/>
      <c r="E2361" s="434"/>
      <c r="F2361" s="434"/>
      <c r="G2361" s="434"/>
      <c r="H2361" s="434"/>
      <c r="I2361" s="434"/>
      <c r="J2361" s="449"/>
      <c r="K2361" s="292"/>
      <c r="L2361" s="292"/>
      <c r="M2361" s="296"/>
      <c r="N2361" s="296"/>
      <c r="O2361" s="296" t="s">
        <v>89</v>
      </c>
      <c r="P2361" s="295"/>
      <c r="Q2361" s="292">
        <f>MAX($Q$105:Q2360)+1</f>
        <v>64</v>
      </c>
    </row>
    <row r="2362" spans="3:23" ht="36" customHeight="1" x14ac:dyDescent="0.45">
      <c r="C2362" s="397"/>
      <c r="D2362" s="433" t="str">
        <f>Criteria!E9</f>
        <v>HOLDING COMPANY 268 (PROPRIETARY) LIMITED</v>
      </c>
      <c r="E2362" s="434"/>
      <c r="F2362" s="434"/>
      <c r="G2362" s="434"/>
      <c r="H2362" s="434"/>
      <c r="I2362" s="434"/>
      <c r="J2362" s="449"/>
      <c r="K2362" s="292"/>
      <c r="L2362" s="292"/>
      <c r="M2362" s="296"/>
      <c r="N2362" s="296"/>
      <c r="O2362" s="347"/>
    </row>
    <row r="2363" spans="3:23" ht="36" customHeight="1" x14ac:dyDescent="0.45">
      <c r="C2363" s="397"/>
      <c r="D2363" s="433" t="str">
        <f>IF(Criteria!E13=0," ",CONCATENATE("T/A ",Criteria!E13))</f>
        <v>T/A FINANCIAL INSTRUMENTS</v>
      </c>
      <c r="E2363" s="434"/>
      <c r="F2363" s="434"/>
      <c r="G2363" s="434"/>
      <c r="H2363" s="434"/>
      <c r="I2363" s="434"/>
      <c r="J2363" s="449"/>
      <c r="K2363" s="292"/>
      <c r="L2363" s="292"/>
      <c r="M2363" s="296"/>
      <c r="N2363" s="296"/>
      <c r="O2363" s="296"/>
      <c r="P2363" s="295"/>
      <c r="R2363" s="348" t="str">
        <f>IF(Criteria!E13=0,"DELETE"," ")</f>
        <v xml:space="preserve"> </v>
      </c>
    </row>
    <row r="2364" spans="3:23" ht="36" customHeight="1" x14ac:dyDescent="0.45">
      <c r="C2364" s="397"/>
      <c r="D2364" s="434"/>
      <c r="E2364" s="434"/>
      <c r="F2364" s="434"/>
      <c r="G2364" s="434"/>
      <c r="H2364" s="434"/>
      <c r="I2364" s="434"/>
      <c r="J2364" s="449"/>
      <c r="K2364" s="292"/>
      <c r="L2364" s="292"/>
      <c r="M2364" s="296"/>
      <c r="N2364" s="296"/>
      <c r="O2364" s="296"/>
      <c r="P2364" s="295"/>
    </row>
    <row r="2365" spans="3:23" ht="36" customHeight="1" x14ac:dyDescent="0.45">
      <c r="C2365" s="397"/>
      <c r="D2365" s="433" t="s">
        <v>86</v>
      </c>
      <c r="E2365" s="434"/>
      <c r="F2365" s="434"/>
      <c r="G2365" s="434"/>
      <c r="H2365" s="434"/>
      <c r="I2365" s="434"/>
      <c r="J2365" s="449"/>
      <c r="K2365" s="292"/>
      <c r="L2365" s="292"/>
      <c r="M2365" s="296"/>
      <c r="N2365" s="296"/>
      <c r="O2365" s="296"/>
      <c r="P2365" s="295"/>
    </row>
    <row r="2366" spans="3:23" ht="36" customHeight="1" x14ac:dyDescent="0.45">
      <c r="C2366" s="397"/>
      <c r="D2366" s="433" t="str">
        <f>D2282</f>
        <v>28 FEBRUARY 2025</v>
      </c>
      <c r="E2366" s="434"/>
      <c r="F2366" s="434"/>
      <c r="G2366" s="434"/>
      <c r="H2366" s="434"/>
      <c r="I2366" s="434"/>
      <c r="J2366" s="434" t="s">
        <v>95</v>
      </c>
      <c r="K2366" s="292"/>
      <c r="L2366" s="292"/>
      <c r="M2366" s="296"/>
      <c r="N2366" s="296"/>
      <c r="O2366" s="296"/>
      <c r="P2366" s="295"/>
    </row>
    <row r="2367" spans="3:23" ht="36" customHeight="1" x14ac:dyDescent="0.45">
      <c r="C2367" s="397"/>
      <c r="D2367" s="434"/>
      <c r="E2367" s="434"/>
      <c r="F2367" s="434"/>
      <c r="G2367" s="434"/>
      <c r="H2367" s="434"/>
      <c r="I2367" s="434"/>
      <c r="J2367" s="449"/>
      <c r="K2367" s="304"/>
      <c r="L2367" s="304"/>
      <c r="M2367" s="298"/>
      <c r="N2367" s="298"/>
      <c r="O2367" s="298"/>
      <c r="P2367" s="295"/>
    </row>
    <row r="2368" spans="3:23" ht="36" customHeight="1" x14ac:dyDescent="0.45">
      <c r="C2368" s="397"/>
      <c r="D2368" s="444"/>
      <c r="E2368" s="444"/>
      <c r="F2368" s="444"/>
      <c r="G2368" s="444"/>
      <c r="H2368" s="444"/>
      <c r="I2368" s="444"/>
      <c r="J2368" s="453"/>
      <c r="M2368" s="351"/>
      <c r="N2368" s="351"/>
      <c r="O2368" s="351"/>
      <c r="P2368" s="313"/>
      <c r="Q2368" s="364"/>
    </row>
    <row r="2369" spans="3:23" ht="36" customHeight="1" x14ac:dyDescent="0.45">
      <c r="C2369" s="397"/>
      <c r="D2369" s="434"/>
      <c r="E2369" s="434"/>
      <c r="F2369" s="434"/>
      <c r="G2369" s="434"/>
      <c r="H2369" s="434"/>
      <c r="I2369" s="434"/>
      <c r="J2369" s="449"/>
      <c r="K2369" s="292" t="s">
        <v>1041</v>
      </c>
      <c r="L2369" s="350"/>
      <c r="M2369" s="350"/>
      <c r="N2369" s="292"/>
      <c r="O2369" s="294">
        <f>Criteria!E22</f>
        <v>2025</v>
      </c>
      <c r="P2369" s="295"/>
    </row>
    <row r="2370" spans="3:23" ht="36" customHeight="1" x14ac:dyDescent="0.45">
      <c r="C2370" s="397"/>
      <c r="D2370" s="434"/>
      <c r="E2370" s="434"/>
      <c r="F2370" s="434"/>
      <c r="G2370" s="434"/>
      <c r="H2370" s="434"/>
      <c r="I2370" s="434"/>
      <c r="J2370" s="449"/>
      <c r="K2370" s="292"/>
      <c r="L2370" s="350"/>
      <c r="M2370" s="350"/>
      <c r="N2370" s="292"/>
      <c r="O2370" s="296"/>
      <c r="P2370" s="295"/>
    </row>
    <row r="2371" spans="3:23" ht="36" customHeight="1" x14ac:dyDescent="0.45">
      <c r="D2371" s="446" t="str">
        <f>IF(W2371=2,"Operating profit","Operating loss")</f>
        <v>Operating profit</v>
      </c>
      <c r="E2371" s="434"/>
      <c r="F2371" s="434"/>
      <c r="G2371" s="434"/>
      <c r="H2371" s="434"/>
      <c r="I2371" s="434"/>
      <c r="J2371" s="449"/>
      <c r="K2371" s="292"/>
      <c r="L2371" s="350"/>
      <c r="M2371" s="350"/>
      <c r="N2371" s="292"/>
      <c r="O2371" s="296">
        <f>SUM(S2287:S2352)</f>
        <v>0</v>
      </c>
      <c r="P2371" s="295"/>
      <c r="U2371" s="331" t="b">
        <f>O2371=O2355</f>
        <v>1</v>
      </c>
      <c r="W2371" s="331">
        <f>IF(O2371&lt;0,1,2)</f>
        <v>2</v>
      </c>
    </row>
    <row r="2372" spans="3:23" ht="36" customHeight="1" x14ac:dyDescent="0.45">
      <c r="C2372" s="397"/>
      <c r="D2372" s="434"/>
      <c r="E2372" s="434" t="s">
        <v>239</v>
      </c>
      <c r="F2372" s="434"/>
      <c r="G2372" s="434"/>
      <c r="H2372" s="434"/>
      <c r="I2372" s="434"/>
      <c r="J2372" s="449"/>
      <c r="K2372" s="292"/>
      <c r="L2372" s="350"/>
      <c r="M2372" s="350"/>
      <c r="N2372" s="292"/>
      <c r="O2372" s="296"/>
      <c r="P2372" s="295"/>
    </row>
    <row r="2373" spans="3:23" ht="36" customHeight="1" x14ac:dyDescent="0.45">
      <c r="C2373" s="397"/>
      <c r="D2373" s="434"/>
      <c r="E2373" s="434"/>
      <c r="F2373" s="434"/>
      <c r="G2373" s="434"/>
      <c r="H2373" s="434"/>
      <c r="I2373" s="434"/>
      <c r="J2373" s="449"/>
      <c r="K2373" s="292"/>
      <c r="L2373" s="350"/>
      <c r="M2373" s="350"/>
      <c r="N2373" s="292"/>
      <c r="O2373" s="296"/>
      <c r="P2373" s="295"/>
    </row>
    <row r="2374" spans="3:23" ht="36" customHeight="1" x14ac:dyDescent="0.45">
      <c r="D2374" s="433" t="s">
        <v>1076</v>
      </c>
      <c r="E2374" s="434"/>
      <c r="F2374" s="434"/>
      <c r="G2374" s="434"/>
      <c r="H2374" s="434"/>
      <c r="I2374" s="434"/>
      <c r="J2374" s="449"/>
      <c r="K2374" s="292"/>
      <c r="L2374" s="350"/>
      <c r="M2374" s="350"/>
      <c r="N2374" s="292"/>
      <c r="O2374" s="296">
        <f>SUM(O2377:O2411)</f>
        <v>0</v>
      </c>
      <c r="P2374" s="295"/>
      <c r="R2374" s="348" t="str">
        <f t="shared" ref="R2374" si="186">IF(O2374=0,"DELETE"," ")</f>
        <v>DELETE</v>
      </c>
      <c r="S2374" s="333">
        <f>-O2374</f>
        <v>0</v>
      </c>
      <c r="T2374" s="333"/>
      <c r="U2374" s="333"/>
      <c r="V2374" s="333"/>
    </row>
    <row r="2375" spans="3:23" ht="9" customHeight="1" x14ac:dyDescent="0.45">
      <c r="C2375" s="397"/>
      <c r="D2375" s="434"/>
      <c r="E2375" s="434"/>
      <c r="F2375" s="434"/>
      <c r="G2375" s="434"/>
      <c r="H2375" s="434"/>
      <c r="I2375" s="434"/>
      <c r="J2375" s="449"/>
      <c r="K2375" s="292"/>
      <c r="L2375" s="350"/>
      <c r="M2375" s="350"/>
      <c r="N2375" s="292"/>
      <c r="O2375" s="296"/>
      <c r="P2375" s="295"/>
      <c r="R2375" s="348" t="str">
        <f>R2374</f>
        <v>DELETE</v>
      </c>
    </row>
    <row r="2376" spans="3:23" ht="9" customHeight="1" x14ac:dyDescent="0.45">
      <c r="C2376" s="397"/>
      <c r="D2376" s="434"/>
      <c r="E2376" s="434"/>
      <c r="F2376" s="434"/>
      <c r="G2376" s="434"/>
      <c r="H2376" s="434"/>
      <c r="I2376" s="434"/>
      <c r="J2376" s="449"/>
      <c r="K2376" s="292"/>
      <c r="L2376" s="350"/>
      <c r="M2376" s="350"/>
      <c r="N2376" s="292"/>
      <c r="O2376" s="407"/>
      <c r="P2376" s="295"/>
      <c r="R2376" s="348" t="str">
        <f>R2375</f>
        <v>DELETE</v>
      </c>
    </row>
    <row r="2377" spans="3:23" ht="36" customHeight="1" x14ac:dyDescent="0.45">
      <c r="C2377" s="397"/>
      <c r="D2377" s="434" t="s">
        <v>199</v>
      </c>
      <c r="E2377" s="434"/>
      <c r="F2377" s="434"/>
      <c r="G2377" s="434"/>
      <c r="H2377" s="434"/>
      <c r="I2377" s="434"/>
      <c r="J2377" s="449"/>
      <c r="K2377" s="292"/>
      <c r="L2377" s="350"/>
      <c r="M2377" s="350"/>
      <c r="N2377" s="292"/>
      <c r="O2377" s="408">
        <f>SUM(TrialBalance!L102:L102)</f>
        <v>0</v>
      </c>
      <c r="P2377" s="295"/>
      <c r="R2377" s="348" t="str">
        <f t="shared" ref="R2377:R2409" si="187">IF(O2377=0,"DELETE"," ")</f>
        <v>DELETE</v>
      </c>
    </row>
    <row r="2378" spans="3:23" ht="36" customHeight="1" x14ac:dyDescent="0.45">
      <c r="C2378" s="397"/>
      <c r="D2378" s="434" t="s">
        <v>633</v>
      </c>
      <c r="E2378" s="434"/>
      <c r="F2378" s="434"/>
      <c r="G2378" s="434"/>
      <c r="H2378" s="434"/>
      <c r="I2378" s="434"/>
      <c r="J2378" s="449"/>
      <c r="K2378" s="292"/>
      <c r="L2378" s="350"/>
      <c r="M2378" s="350"/>
      <c r="N2378" s="292"/>
      <c r="O2378" s="408">
        <f>SUM(TrialBalance!L99:L101)</f>
        <v>0</v>
      </c>
      <c r="P2378" s="295"/>
      <c r="R2378" s="348" t="str">
        <f t="shared" si="187"/>
        <v>DELETE</v>
      </c>
    </row>
    <row r="2379" spans="3:23" ht="36" customHeight="1" x14ac:dyDescent="0.45">
      <c r="C2379" s="397"/>
      <c r="D2379" s="434" t="s">
        <v>201</v>
      </c>
      <c r="E2379" s="434"/>
      <c r="F2379" s="434"/>
      <c r="G2379" s="434"/>
      <c r="H2379" s="434"/>
      <c r="I2379" s="434"/>
      <c r="J2379" s="449"/>
      <c r="K2379" s="292"/>
      <c r="L2379" s="350"/>
      <c r="M2379" s="350"/>
      <c r="N2379" s="292"/>
      <c r="O2379" s="408">
        <f>TrialBalance!L103</f>
        <v>0</v>
      </c>
      <c r="P2379" s="295"/>
      <c r="R2379" s="348" t="str">
        <f t="shared" si="187"/>
        <v>DELETE</v>
      </c>
    </row>
    <row r="2380" spans="3:23" ht="36" customHeight="1" x14ac:dyDescent="0.45">
      <c r="C2380" s="397"/>
      <c r="D2380" s="434" t="s">
        <v>203</v>
      </c>
      <c r="E2380" s="434"/>
      <c r="F2380" s="434"/>
      <c r="G2380" s="434"/>
      <c r="H2380" s="434"/>
      <c r="I2380" s="434"/>
      <c r="J2380" s="449"/>
      <c r="K2380" s="292"/>
      <c r="L2380" s="350"/>
      <c r="M2380" s="350"/>
      <c r="N2380" s="292"/>
      <c r="O2380" s="408">
        <f>TrialBalance!L104</f>
        <v>0</v>
      </c>
      <c r="P2380" s="295"/>
      <c r="R2380" s="348" t="str">
        <f t="shared" si="187"/>
        <v>DELETE</v>
      </c>
    </row>
    <row r="2381" spans="3:23" ht="36" customHeight="1" x14ac:dyDescent="0.45">
      <c r="C2381" s="397"/>
      <c r="D2381" s="434" t="s">
        <v>240</v>
      </c>
      <c r="E2381" s="434"/>
      <c r="F2381" s="434"/>
      <c r="G2381" s="434"/>
      <c r="H2381" s="434"/>
      <c r="I2381" s="434"/>
      <c r="J2381" s="449"/>
      <c r="K2381" s="292"/>
      <c r="L2381" s="350"/>
      <c r="M2381" s="350"/>
      <c r="N2381" s="292"/>
      <c r="O2381" s="408">
        <f>TrialBalance!L105</f>
        <v>0</v>
      </c>
      <c r="P2381" s="295"/>
      <c r="R2381" s="348" t="str">
        <f t="shared" si="187"/>
        <v>DELETE</v>
      </c>
    </row>
    <row r="2382" spans="3:23" ht="36" customHeight="1" x14ac:dyDescent="0.45">
      <c r="C2382" s="397"/>
      <c r="D2382" s="434" t="s">
        <v>206</v>
      </c>
      <c r="E2382" s="434"/>
      <c r="F2382" s="434"/>
      <c r="G2382" s="434"/>
      <c r="H2382" s="434"/>
      <c r="I2382" s="434"/>
      <c r="J2382" s="449"/>
      <c r="K2382" s="292"/>
      <c r="L2382" s="350"/>
      <c r="M2382" s="350"/>
      <c r="N2382" s="292"/>
      <c r="O2382" s="408">
        <f>TrialBalance!L106</f>
        <v>0</v>
      </c>
      <c r="P2382" s="295"/>
      <c r="R2382" s="348" t="str">
        <f t="shared" si="187"/>
        <v>DELETE</v>
      </c>
    </row>
    <row r="2383" spans="3:23" ht="36" customHeight="1" x14ac:dyDescent="0.45">
      <c r="C2383" s="397"/>
      <c r="D2383" s="434" t="s">
        <v>680</v>
      </c>
      <c r="E2383" s="434"/>
      <c r="F2383" s="434"/>
      <c r="G2383" s="434"/>
      <c r="H2383" s="434"/>
      <c r="I2383" s="434"/>
      <c r="J2383" s="449"/>
      <c r="K2383" s="292"/>
      <c r="L2383" s="350"/>
      <c r="M2383" s="350"/>
      <c r="N2383" s="292"/>
      <c r="O2383" s="408">
        <f>TrialBalance!L107</f>
        <v>0</v>
      </c>
      <c r="P2383" s="295"/>
      <c r="R2383" s="348" t="str">
        <f t="shared" si="187"/>
        <v>DELETE</v>
      </c>
    </row>
    <row r="2384" spans="3:23" ht="36" customHeight="1" x14ac:dyDescent="0.45">
      <c r="C2384" s="397"/>
      <c r="D2384" s="434" t="s">
        <v>1212</v>
      </c>
      <c r="E2384" s="434"/>
      <c r="F2384" s="434"/>
      <c r="G2384" s="434"/>
      <c r="H2384" s="434"/>
      <c r="I2384" s="434"/>
      <c r="J2384" s="449"/>
      <c r="K2384" s="292"/>
      <c r="L2384" s="350"/>
      <c r="M2384" s="350"/>
      <c r="N2384" s="292"/>
      <c r="O2384" s="408">
        <f>TrialBalance!L108</f>
        <v>0</v>
      </c>
      <c r="P2384" s="295"/>
      <c r="R2384" s="348" t="str">
        <f>IF(O2384=0,"DELETE"," ")</f>
        <v>DELETE</v>
      </c>
    </row>
    <row r="2385" spans="3:18" ht="36" customHeight="1" x14ac:dyDescent="0.45">
      <c r="C2385" s="397"/>
      <c r="D2385" s="434" t="s">
        <v>252</v>
      </c>
      <c r="E2385" s="434"/>
      <c r="F2385" s="434"/>
      <c r="G2385" s="434"/>
      <c r="H2385" s="434"/>
      <c r="I2385" s="434"/>
      <c r="J2385" s="449"/>
      <c r="K2385" s="292">
        <f>B$958</f>
        <v>5</v>
      </c>
      <c r="L2385" s="350"/>
      <c r="M2385" s="350"/>
      <c r="N2385" s="292"/>
      <c r="O2385" s="408">
        <f>SUM(TrialBalance!L110:L111)</f>
        <v>0</v>
      </c>
      <c r="P2385" s="295"/>
      <c r="R2385" s="348" t="str">
        <f t="shared" si="187"/>
        <v>DELETE</v>
      </c>
    </row>
    <row r="2386" spans="3:18" ht="36" customHeight="1" x14ac:dyDescent="0.45">
      <c r="C2386" s="397"/>
      <c r="D2386" s="434" t="str">
        <f>IF(MAX(Criteria!I38:I42)&gt;1,"Directors' remuneration","Director's remuneration")</f>
        <v>Directors' remuneration</v>
      </c>
      <c r="E2386" s="434"/>
      <c r="F2386" s="434"/>
      <c r="G2386" s="434"/>
      <c r="H2386" s="434"/>
      <c r="I2386" s="434"/>
      <c r="J2386" s="449"/>
      <c r="K2386" s="292">
        <f>B$958</f>
        <v>5</v>
      </c>
      <c r="L2386" s="350"/>
      <c r="M2386" s="350"/>
      <c r="N2386" s="292"/>
      <c r="O2386" s="408">
        <f>SUM(TrialBalance!L113:L117)</f>
        <v>0</v>
      </c>
      <c r="P2386" s="295"/>
      <c r="R2386" s="348" t="str">
        <f t="shared" si="187"/>
        <v>DELETE</v>
      </c>
    </row>
    <row r="2387" spans="3:18" ht="36" customHeight="1" x14ac:dyDescent="0.45">
      <c r="C2387" s="397"/>
      <c r="D2387" s="434" t="s">
        <v>241</v>
      </c>
      <c r="E2387" s="434"/>
      <c r="F2387" s="434"/>
      <c r="G2387" s="434"/>
      <c r="H2387" s="434"/>
      <c r="I2387" s="434"/>
      <c r="J2387" s="449"/>
      <c r="K2387" s="292"/>
      <c r="L2387" s="350"/>
      <c r="M2387" s="350"/>
      <c r="N2387" s="292"/>
      <c r="O2387" s="408">
        <f>TrialBalance!L118</f>
        <v>0</v>
      </c>
      <c r="P2387" s="295"/>
      <c r="R2387" s="348" t="str">
        <f t="shared" si="187"/>
        <v>DELETE</v>
      </c>
    </row>
    <row r="2388" spans="3:18" ht="36" customHeight="1" x14ac:dyDescent="0.45">
      <c r="C2388" s="397"/>
      <c r="D2388" s="434" t="s">
        <v>344</v>
      </c>
      <c r="E2388" s="434"/>
      <c r="F2388" s="434"/>
      <c r="G2388" s="434"/>
      <c r="H2388" s="434"/>
      <c r="I2388" s="434"/>
      <c r="J2388" s="449"/>
      <c r="K2388" s="292"/>
      <c r="L2388" s="350"/>
      <c r="M2388" s="350"/>
      <c r="N2388" s="292"/>
      <c r="O2388" s="408">
        <f>TrialBalance!L119</f>
        <v>0</v>
      </c>
      <c r="P2388" s="295"/>
      <c r="R2388" s="348" t="str">
        <f t="shared" si="187"/>
        <v>DELETE</v>
      </c>
    </row>
    <row r="2389" spans="3:18" ht="36" customHeight="1" x14ac:dyDescent="0.45">
      <c r="C2389" s="397"/>
      <c r="D2389" s="434" t="s">
        <v>305</v>
      </c>
      <c r="E2389" s="434"/>
      <c r="F2389" s="434"/>
      <c r="G2389" s="434"/>
      <c r="H2389" s="434"/>
      <c r="I2389" s="434"/>
      <c r="J2389" s="449"/>
      <c r="K2389" s="292"/>
      <c r="L2389" s="350"/>
      <c r="M2389" s="350"/>
      <c r="N2389" s="292"/>
      <c r="O2389" s="408">
        <f>TrialBalance!L120</f>
        <v>0</v>
      </c>
      <c r="P2389" s="295"/>
      <c r="R2389" s="348" t="str">
        <f t="shared" si="187"/>
        <v>DELETE</v>
      </c>
    </row>
    <row r="2390" spans="3:18" ht="36" customHeight="1" x14ac:dyDescent="0.45">
      <c r="C2390" s="397"/>
      <c r="D2390" s="434" t="s">
        <v>346</v>
      </c>
      <c r="E2390" s="434"/>
      <c r="F2390" s="434"/>
      <c r="G2390" s="434"/>
      <c r="H2390" s="434"/>
      <c r="I2390" s="434"/>
      <c r="J2390" s="449"/>
      <c r="K2390" s="292"/>
      <c r="L2390" s="350"/>
      <c r="M2390" s="350"/>
      <c r="N2390" s="292"/>
      <c r="O2390" s="408">
        <f>TrialBalance!L121</f>
        <v>0</v>
      </c>
      <c r="P2390" s="295"/>
      <c r="R2390" s="348" t="str">
        <f t="shared" si="187"/>
        <v>DELETE</v>
      </c>
    </row>
    <row r="2391" spans="3:18" ht="36" customHeight="1" x14ac:dyDescent="0.45">
      <c r="C2391" s="397"/>
      <c r="D2391" s="434" t="str">
        <f>TrialBalance!C156</f>
        <v>Impairment losses</v>
      </c>
      <c r="E2391" s="434"/>
      <c r="F2391" s="434"/>
      <c r="G2391" s="434"/>
      <c r="H2391" s="434"/>
      <c r="I2391" s="434"/>
      <c r="J2391" s="449"/>
      <c r="K2391" s="292"/>
      <c r="L2391" s="350"/>
      <c r="M2391" s="350"/>
      <c r="N2391" s="292"/>
      <c r="O2391" s="408">
        <f>TrialBalance!L156</f>
        <v>0</v>
      </c>
      <c r="P2391" s="295"/>
      <c r="R2391" s="348" t="str">
        <f>IF(O2391=0,"DELETE"," ")</f>
        <v>DELETE</v>
      </c>
    </row>
    <row r="2392" spans="3:18" ht="36" customHeight="1" x14ac:dyDescent="0.45">
      <c r="C2392" s="397"/>
      <c r="D2392" s="434" t="s">
        <v>490</v>
      </c>
      <c r="E2392" s="434"/>
      <c r="F2392" s="434"/>
      <c r="G2392" s="434"/>
      <c r="H2392" s="434"/>
      <c r="I2392" s="434"/>
      <c r="J2392" s="449"/>
      <c r="K2392" s="292"/>
      <c r="L2392" s="350"/>
      <c r="M2392" s="350"/>
      <c r="N2392" s="292"/>
      <c r="O2392" s="408">
        <f>TrialBalance!L122+TrialBalance!L123</f>
        <v>0</v>
      </c>
      <c r="P2392" s="295"/>
      <c r="R2392" s="348" t="str">
        <f t="shared" si="187"/>
        <v>DELETE</v>
      </c>
    </row>
    <row r="2393" spans="3:18" ht="36" customHeight="1" x14ac:dyDescent="0.45">
      <c r="C2393" s="397"/>
      <c r="D2393" s="434" t="s">
        <v>512</v>
      </c>
      <c r="E2393" s="434"/>
      <c r="F2393" s="434"/>
      <c r="G2393" s="434"/>
      <c r="H2393" s="434"/>
      <c r="I2393" s="434"/>
      <c r="J2393" s="449"/>
      <c r="K2393" s="292"/>
      <c r="L2393" s="350"/>
      <c r="M2393" s="350"/>
      <c r="N2393" s="292"/>
      <c r="O2393" s="408">
        <f>IF(TrialBalance!L94&gt;0,TrialBalance!L94,0)</f>
        <v>0</v>
      </c>
      <c r="P2393" s="295"/>
      <c r="R2393" s="348" t="str">
        <f>IF(O2393=0,"DELETE"," ")</f>
        <v>DELETE</v>
      </c>
    </row>
    <row r="2394" spans="3:18" ht="36" customHeight="1" x14ac:dyDescent="0.45">
      <c r="C2394" s="397"/>
      <c r="D2394" s="434" t="s">
        <v>681</v>
      </c>
      <c r="E2394" s="434"/>
      <c r="F2394" s="434"/>
      <c r="G2394" s="434"/>
      <c r="H2394" s="434"/>
      <c r="I2394" s="434"/>
      <c r="J2394" s="449"/>
      <c r="K2394" s="292"/>
      <c r="L2394" s="350"/>
      <c r="M2394" s="350"/>
      <c r="N2394" s="292"/>
      <c r="O2394" s="408">
        <f>TrialBalance!L124</f>
        <v>0</v>
      </c>
      <c r="P2394" s="295"/>
      <c r="R2394" s="348" t="str">
        <f t="shared" si="187"/>
        <v>DELETE</v>
      </c>
    </row>
    <row r="2395" spans="3:18" ht="36" customHeight="1" x14ac:dyDescent="0.45">
      <c r="C2395" s="397"/>
      <c r="D2395" s="434" t="s">
        <v>242</v>
      </c>
      <c r="E2395" s="434"/>
      <c r="F2395" s="434"/>
      <c r="G2395" s="434"/>
      <c r="H2395" s="434"/>
      <c r="I2395" s="434"/>
      <c r="J2395" s="449"/>
      <c r="K2395" s="292"/>
      <c r="L2395" s="350"/>
      <c r="M2395" s="350"/>
      <c r="N2395" s="292"/>
      <c r="O2395" s="408">
        <f>TrialBalance!L125</f>
        <v>0</v>
      </c>
      <c r="P2395" s="295"/>
      <c r="R2395" s="348" t="str">
        <f t="shared" si="187"/>
        <v>DELETE</v>
      </c>
    </row>
    <row r="2396" spans="3:18" ht="36" customHeight="1" x14ac:dyDescent="0.45">
      <c r="C2396" s="397"/>
      <c r="D2396" s="434" t="s">
        <v>235</v>
      </c>
      <c r="E2396" s="434"/>
      <c r="F2396" s="434"/>
      <c r="G2396" s="434"/>
      <c r="H2396" s="434"/>
      <c r="I2396" s="434"/>
      <c r="J2396" s="449"/>
      <c r="K2396" s="292"/>
      <c r="L2396" s="350"/>
      <c r="M2396" s="350"/>
      <c r="N2396" s="292"/>
      <c r="O2396" s="408">
        <f>SUM(TrialBalance!L126:L127)</f>
        <v>0</v>
      </c>
      <c r="P2396" s="295"/>
      <c r="R2396" s="348" t="str">
        <f t="shared" si="187"/>
        <v>DELETE</v>
      </c>
    </row>
    <row r="2397" spans="3:18" ht="36" customHeight="1" x14ac:dyDescent="0.45">
      <c r="C2397" s="397"/>
      <c r="D2397" s="434" t="s">
        <v>243</v>
      </c>
      <c r="E2397" s="434"/>
      <c r="F2397" s="434"/>
      <c r="G2397" s="434"/>
      <c r="H2397" s="434"/>
      <c r="I2397" s="434"/>
      <c r="J2397" s="449"/>
      <c r="K2397" s="292"/>
      <c r="L2397" s="350"/>
      <c r="M2397" s="350"/>
      <c r="N2397" s="292"/>
      <c r="O2397" s="408">
        <f>TrialBalance!L128</f>
        <v>0</v>
      </c>
      <c r="P2397" s="295"/>
      <c r="R2397" s="348" t="str">
        <f t="shared" si="187"/>
        <v>DELETE</v>
      </c>
    </row>
    <row r="2398" spans="3:18" ht="36" customHeight="1" x14ac:dyDescent="0.45">
      <c r="C2398" s="397"/>
      <c r="D2398" s="434" t="s">
        <v>682</v>
      </c>
      <c r="E2398" s="434"/>
      <c r="F2398" s="434"/>
      <c r="G2398" s="434"/>
      <c r="H2398" s="434"/>
      <c r="I2398" s="434"/>
      <c r="J2398" s="449"/>
      <c r="K2398" s="292"/>
      <c r="L2398" s="350"/>
      <c r="M2398" s="350"/>
      <c r="N2398" s="292"/>
      <c r="O2398" s="408">
        <f>TrialBalance!L129</f>
        <v>0</v>
      </c>
      <c r="P2398" s="295"/>
      <c r="R2398" s="348" t="str">
        <f t="shared" si="187"/>
        <v>DELETE</v>
      </c>
    </row>
    <row r="2399" spans="3:18" ht="36" customHeight="1" x14ac:dyDescent="0.45">
      <c r="C2399" s="397"/>
      <c r="D2399" s="434" t="s">
        <v>74</v>
      </c>
      <c r="E2399" s="434"/>
      <c r="F2399" s="434"/>
      <c r="G2399" s="434"/>
      <c r="H2399" s="434"/>
      <c r="I2399" s="434"/>
      <c r="J2399" s="449"/>
      <c r="K2399" s="292"/>
      <c r="L2399" s="350"/>
      <c r="M2399" s="350"/>
      <c r="N2399" s="292"/>
      <c r="O2399" s="408">
        <f>TrialBalance!L130</f>
        <v>0</v>
      </c>
      <c r="P2399" s="295"/>
      <c r="R2399" s="348" t="str">
        <f t="shared" si="187"/>
        <v>DELETE</v>
      </c>
    </row>
    <row r="2400" spans="3:18" ht="36" customHeight="1" x14ac:dyDescent="0.45">
      <c r="C2400" s="397"/>
      <c r="D2400" s="434">
        <f>TrialBalance!C131</f>
        <v>0</v>
      </c>
      <c r="E2400" s="434"/>
      <c r="F2400" s="434"/>
      <c r="G2400" s="434"/>
      <c r="H2400" s="434"/>
      <c r="I2400" s="434"/>
      <c r="J2400" s="449"/>
      <c r="K2400" s="292"/>
      <c r="L2400" s="350"/>
      <c r="M2400" s="350"/>
      <c r="N2400" s="292"/>
      <c r="O2400" s="408">
        <f>TrialBalance!L131</f>
        <v>0</v>
      </c>
      <c r="P2400" s="295"/>
      <c r="R2400" s="348" t="str">
        <f t="shared" si="187"/>
        <v>DELETE</v>
      </c>
    </row>
    <row r="2401" spans="3:23" ht="36" customHeight="1" x14ac:dyDescent="0.45">
      <c r="C2401" s="397"/>
      <c r="D2401" s="434">
        <f>TrialBalance!C132</f>
        <v>0</v>
      </c>
      <c r="E2401" s="434"/>
      <c r="F2401" s="434"/>
      <c r="G2401" s="434"/>
      <c r="H2401" s="434"/>
      <c r="I2401" s="434"/>
      <c r="J2401" s="449"/>
      <c r="K2401" s="292"/>
      <c r="L2401" s="350"/>
      <c r="M2401" s="350"/>
      <c r="N2401" s="292"/>
      <c r="O2401" s="408">
        <f>TrialBalance!L132</f>
        <v>0</v>
      </c>
      <c r="P2401" s="295"/>
      <c r="R2401" s="348" t="str">
        <f t="shared" si="187"/>
        <v>DELETE</v>
      </c>
    </row>
    <row r="2402" spans="3:23" ht="36" customHeight="1" x14ac:dyDescent="0.45">
      <c r="C2402" s="397"/>
      <c r="D2402" s="434">
        <f>TrialBalance!C133</f>
        <v>0</v>
      </c>
      <c r="E2402" s="434"/>
      <c r="F2402" s="434"/>
      <c r="G2402" s="434"/>
      <c r="H2402" s="434"/>
      <c r="I2402" s="434"/>
      <c r="J2402" s="449"/>
      <c r="K2402" s="292"/>
      <c r="L2402" s="350"/>
      <c r="M2402" s="350"/>
      <c r="N2402" s="292"/>
      <c r="O2402" s="408">
        <f>TrialBalance!L133</f>
        <v>0</v>
      </c>
      <c r="P2402" s="295"/>
      <c r="R2402" s="348" t="str">
        <f t="shared" si="187"/>
        <v>DELETE</v>
      </c>
    </row>
    <row r="2403" spans="3:23" ht="36" customHeight="1" x14ac:dyDescent="0.45">
      <c r="C2403" s="397"/>
      <c r="D2403" s="434">
        <f>TrialBalance!C134</f>
        <v>0</v>
      </c>
      <c r="E2403" s="434"/>
      <c r="F2403" s="434"/>
      <c r="G2403" s="434"/>
      <c r="H2403" s="434"/>
      <c r="I2403" s="434"/>
      <c r="J2403" s="449"/>
      <c r="K2403" s="292"/>
      <c r="L2403" s="350"/>
      <c r="M2403" s="350"/>
      <c r="N2403" s="292"/>
      <c r="O2403" s="408">
        <f>TrialBalance!L134</f>
        <v>0</v>
      </c>
      <c r="P2403" s="295"/>
      <c r="R2403" s="348" t="str">
        <f t="shared" si="187"/>
        <v>DELETE</v>
      </c>
    </row>
    <row r="2404" spans="3:23" ht="36" customHeight="1" x14ac:dyDescent="0.45">
      <c r="C2404" s="397"/>
      <c r="D2404" s="434">
        <f>TrialBalance!C135</f>
        <v>0</v>
      </c>
      <c r="E2404" s="434"/>
      <c r="F2404" s="434"/>
      <c r="G2404" s="434"/>
      <c r="H2404" s="434"/>
      <c r="I2404" s="434"/>
      <c r="J2404" s="449"/>
      <c r="K2404" s="292"/>
      <c r="L2404" s="350"/>
      <c r="M2404" s="350"/>
      <c r="N2404" s="292"/>
      <c r="O2404" s="408">
        <f>TrialBalance!L135</f>
        <v>0</v>
      </c>
      <c r="P2404" s="295"/>
      <c r="R2404" s="348" t="str">
        <f t="shared" si="187"/>
        <v>DELETE</v>
      </c>
    </row>
    <row r="2405" spans="3:23" ht="36" customHeight="1" x14ac:dyDescent="0.45">
      <c r="C2405" s="397"/>
      <c r="D2405" s="434">
        <f>TrialBalance!C136</f>
        <v>0</v>
      </c>
      <c r="E2405" s="434"/>
      <c r="F2405" s="434"/>
      <c r="G2405" s="434"/>
      <c r="H2405" s="434"/>
      <c r="I2405" s="434"/>
      <c r="J2405" s="449"/>
      <c r="K2405" s="292"/>
      <c r="L2405" s="350"/>
      <c r="M2405" s="350"/>
      <c r="N2405" s="292"/>
      <c r="O2405" s="408">
        <f>TrialBalance!L136</f>
        <v>0</v>
      </c>
      <c r="P2405" s="295"/>
      <c r="R2405" s="348" t="str">
        <f t="shared" si="187"/>
        <v>DELETE</v>
      </c>
    </row>
    <row r="2406" spans="3:23" ht="36" customHeight="1" x14ac:dyDescent="0.45">
      <c r="C2406" s="397"/>
      <c r="D2406" s="434">
        <f>TrialBalance!C137</f>
        <v>0</v>
      </c>
      <c r="E2406" s="434"/>
      <c r="F2406" s="434"/>
      <c r="G2406" s="434"/>
      <c r="H2406" s="434"/>
      <c r="I2406" s="434"/>
      <c r="J2406" s="449"/>
      <c r="K2406" s="292"/>
      <c r="L2406" s="350"/>
      <c r="M2406" s="350"/>
      <c r="N2406" s="292"/>
      <c r="O2406" s="408">
        <f>TrialBalance!L137</f>
        <v>0</v>
      </c>
      <c r="P2406" s="295"/>
      <c r="R2406" s="348" t="str">
        <f t="shared" si="187"/>
        <v>DELETE</v>
      </c>
    </row>
    <row r="2407" spans="3:23" ht="36" customHeight="1" x14ac:dyDescent="0.45">
      <c r="C2407" s="397"/>
      <c r="D2407" s="434">
        <f>TrialBalance!C138</f>
        <v>0</v>
      </c>
      <c r="E2407" s="434"/>
      <c r="F2407" s="434"/>
      <c r="G2407" s="434"/>
      <c r="H2407" s="434"/>
      <c r="I2407" s="434"/>
      <c r="J2407" s="449"/>
      <c r="K2407" s="292"/>
      <c r="L2407" s="350"/>
      <c r="M2407" s="350"/>
      <c r="N2407" s="292"/>
      <c r="O2407" s="408">
        <f>TrialBalance!L138</f>
        <v>0</v>
      </c>
      <c r="P2407" s="295"/>
      <c r="R2407" s="348" t="str">
        <f t="shared" si="187"/>
        <v>DELETE</v>
      </c>
    </row>
    <row r="2408" spans="3:23" ht="36" customHeight="1" x14ac:dyDescent="0.45">
      <c r="C2408" s="397"/>
      <c r="D2408" s="434">
        <f>TrialBalance!C139</f>
        <v>0</v>
      </c>
      <c r="E2408" s="434"/>
      <c r="F2408" s="434"/>
      <c r="G2408" s="434"/>
      <c r="H2408" s="434"/>
      <c r="I2408" s="434"/>
      <c r="J2408" s="449"/>
      <c r="K2408" s="292"/>
      <c r="L2408" s="350"/>
      <c r="M2408" s="350"/>
      <c r="N2408" s="292"/>
      <c r="O2408" s="408">
        <f>TrialBalance!L139</f>
        <v>0</v>
      </c>
      <c r="P2408" s="295"/>
      <c r="R2408" s="348" t="str">
        <f t="shared" si="187"/>
        <v>DELETE</v>
      </c>
    </row>
    <row r="2409" spans="3:23" ht="36" customHeight="1" x14ac:dyDescent="0.45">
      <c r="C2409" s="397"/>
      <c r="D2409" s="434" t="str">
        <f>TrialBalance!C140</f>
        <v>Amortisation of prepaid lease agreement</v>
      </c>
      <c r="E2409" s="434"/>
      <c r="F2409" s="434"/>
      <c r="G2409" s="434"/>
      <c r="H2409" s="434"/>
      <c r="I2409" s="434"/>
      <c r="J2409" s="449"/>
      <c r="K2409" s="292"/>
      <c r="L2409" s="350"/>
      <c r="M2409" s="350"/>
      <c r="N2409" s="292"/>
      <c r="O2409" s="408">
        <f>TrialBalance!L140</f>
        <v>0</v>
      </c>
      <c r="P2409" s="295"/>
      <c r="R2409" s="348" t="str">
        <f t="shared" si="187"/>
        <v>DELETE</v>
      </c>
    </row>
    <row r="2410" spans="3:23" ht="36" customHeight="1" x14ac:dyDescent="0.45">
      <c r="C2410" s="397"/>
      <c r="D2410" s="434" t="str">
        <f>TrialBalance!C141</f>
        <v>Amortisation of goodwill</v>
      </c>
      <c r="E2410" s="434"/>
      <c r="F2410" s="434"/>
      <c r="G2410" s="434"/>
      <c r="H2410" s="434"/>
      <c r="I2410" s="434"/>
      <c r="J2410" s="449"/>
      <c r="K2410" s="292"/>
      <c r="L2410" s="350"/>
      <c r="M2410" s="350"/>
      <c r="N2410" s="292"/>
      <c r="O2410" s="408">
        <f>TrialBalance!L141</f>
        <v>0</v>
      </c>
      <c r="P2410" s="295"/>
      <c r="R2410" s="348" t="str">
        <f t="shared" ref="R2410" si="188">IF(O2410=0,"DELETE"," ")</f>
        <v>DELETE</v>
      </c>
    </row>
    <row r="2411" spans="3:23" ht="9" customHeight="1" x14ac:dyDescent="0.45">
      <c r="C2411" s="397"/>
      <c r="D2411" s="434"/>
      <c r="E2411" s="434"/>
      <c r="F2411" s="434"/>
      <c r="G2411" s="434"/>
      <c r="H2411" s="434"/>
      <c r="I2411" s="434"/>
      <c r="J2411" s="449"/>
      <c r="K2411" s="292"/>
      <c r="L2411" s="350"/>
      <c r="M2411" s="350"/>
      <c r="N2411" s="292"/>
      <c r="O2411" s="409"/>
      <c r="P2411" s="295"/>
      <c r="R2411" s="348" t="str">
        <f>R2374</f>
        <v>DELETE</v>
      </c>
    </row>
    <row r="2412" spans="3:23" ht="9" customHeight="1" x14ac:dyDescent="0.45">
      <c r="C2412" s="397"/>
      <c r="D2412" s="434"/>
      <c r="E2412" s="434"/>
      <c r="F2412" s="434"/>
      <c r="G2412" s="434"/>
      <c r="H2412" s="434"/>
      <c r="I2412" s="434"/>
      <c r="J2412" s="449"/>
      <c r="K2412" s="292"/>
      <c r="L2412" s="350"/>
      <c r="M2412" s="350"/>
      <c r="N2412" s="292"/>
      <c r="O2412" s="298"/>
      <c r="P2412" s="295"/>
    </row>
    <row r="2413" spans="3:23" ht="9" customHeight="1" x14ac:dyDescent="0.45">
      <c r="C2413" s="397"/>
      <c r="D2413" s="434"/>
      <c r="E2413" s="434"/>
      <c r="F2413" s="434"/>
      <c r="G2413" s="434"/>
      <c r="H2413" s="434"/>
      <c r="I2413" s="434"/>
      <c r="J2413" s="449"/>
      <c r="K2413" s="292"/>
      <c r="L2413" s="350"/>
      <c r="M2413" s="350"/>
      <c r="N2413" s="292"/>
      <c r="O2413" s="296"/>
      <c r="P2413" s="295"/>
    </row>
    <row r="2414" spans="3:23" ht="36" customHeight="1" x14ac:dyDescent="0.45">
      <c r="D2414" s="446" t="str">
        <f>IF(W2414=2,"Operating profit for the year","Operating loss for the year")</f>
        <v>Operating profit for the year</v>
      </c>
      <c r="E2414" s="434"/>
      <c r="F2414" s="434"/>
      <c r="G2414" s="434"/>
      <c r="H2414" s="434"/>
      <c r="I2414" s="434"/>
      <c r="J2414" s="449"/>
      <c r="K2414" s="292">
        <f>B958</f>
        <v>5</v>
      </c>
      <c r="L2414" s="350"/>
      <c r="M2414" s="350"/>
      <c r="N2414" s="292"/>
      <c r="O2414" s="296">
        <f>SUM(S2287:S2411)</f>
        <v>0</v>
      </c>
      <c r="P2414" s="295"/>
      <c r="W2414" s="331">
        <f>IF(O2414&lt;0,1,2)</f>
        <v>2</v>
      </c>
    </row>
    <row r="2415" spans="3:23" ht="36" customHeight="1" x14ac:dyDescent="0.45">
      <c r="C2415" s="397"/>
      <c r="D2415" s="434"/>
      <c r="E2415" s="434"/>
      <c r="F2415" s="434"/>
      <c r="G2415" s="434"/>
      <c r="H2415" s="434"/>
      <c r="I2415" s="434"/>
      <c r="J2415" s="449"/>
      <c r="K2415" s="292"/>
      <c r="L2415" s="350"/>
      <c r="M2415" s="350"/>
      <c r="N2415" s="292"/>
      <c r="O2415" s="296"/>
      <c r="P2415" s="295"/>
    </row>
    <row r="2416" spans="3:23" ht="36" customHeight="1" x14ac:dyDescent="0.45">
      <c r="D2416" s="433" t="s">
        <v>191</v>
      </c>
      <c r="E2416" s="434"/>
      <c r="F2416" s="434"/>
      <c r="G2416" s="434"/>
      <c r="H2416" s="434"/>
      <c r="I2416" s="434"/>
      <c r="J2416" s="449"/>
      <c r="K2416" s="292">
        <f>B1071</f>
        <v>6</v>
      </c>
      <c r="L2416" s="350"/>
      <c r="M2416" s="350"/>
      <c r="N2416" s="292"/>
      <c r="O2416" s="296">
        <f>SUM(O2419:O2426)</f>
        <v>0</v>
      </c>
      <c r="P2416" s="295"/>
      <c r="R2416" s="348" t="str">
        <f t="shared" ref="R2416" si="189">IF(O2416=0,"DELETE"," ")</f>
        <v>DELETE</v>
      </c>
      <c r="S2416" s="333">
        <f>O2416</f>
        <v>0</v>
      </c>
      <c r="T2416" s="333"/>
      <c r="U2416" s="333"/>
      <c r="V2416" s="333"/>
    </row>
    <row r="2417" spans="3:22" ht="9" customHeight="1" x14ac:dyDescent="0.45">
      <c r="C2417" s="397"/>
      <c r="D2417" s="434"/>
      <c r="E2417" s="434"/>
      <c r="F2417" s="434"/>
      <c r="G2417" s="434"/>
      <c r="H2417" s="434"/>
      <c r="I2417" s="434"/>
      <c r="J2417" s="449"/>
      <c r="K2417" s="292"/>
      <c r="L2417" s="350"/>
      <c r="M2417" s="350"/>
      <c r="N2417" s="292"/>
      <c r="O2417" s="296"/>
      <c r="P2417" s="295"/>
      <c r="R2417" s="348" t="str">
        <f>R2416</f>
        <v>DELETE</v>
      </c>
    </row>
    <row r="2418" spans="3:22" ht="9" customHeight="1" x14ac:dyDescent="0.45">
      <c r="C2418" s="397"/>
      <c r="D2418" s="434"/>
      <c r="E2418" s="434"/>
      <c r="F2418" s="434"/>
      <c r="G2418" s="434"/>
      <c r="H2418" s="434"/>
      <c r="I2418" s="434"/>
      <c r="J2418" s="449"/>
      <c r="K2418" s="292"/>
      <c r="L2418" s="350"/>
      <c r="M2418" s="350"/>
      <c r="N2418" s="292"/>
      <c r="O2418" s="407"/>
      <c r="P2418" s="295"/>
      <c r="R2418" s="348" t="str">
        <f>R2417</f>
        <v>DELETE</v>
      </c>
    </row>
    <row r="2419" spans="3:22" ht="36" customHeight="1" x14ac:dyDescent="0.45">
      <c r="C2419" s="397"/>
      <c r="D2419" s="434" t="s">
        <v>189</v>
      </c>
      <c r="E2419" s="434"/>
      <c r="F2419" s="434"/>
      <c r="G2419" s="434"/>
      <c r="H2419" s="434"/>
      <c r="I2419" s="434"/>
      <c r="J2419" s="449"/>
      <c r="K2419" s="292"/>
      <c r="L2419" s="350"/>
      <c r="M2419" s="350"/>
      <c r="N2419" s="292"/>
      <c r="O2419" s="408">
        <f>-TrialBalance!L95</f>
        <v>0</v>
      </c>
      <c r="P2419" s="295"/>
      <c r="R2419" s="348" t="str">
        <f t="shared" ref="R2419:R2424" si="190">IF(O2419=0,"DELETE"," ")</f>
        <v>DELETE</v>
      </c>
    </row>
    <row r="2420" spans="3:22" ht="36" customHeight="1" x14ac:dyDescent="0.45">
      <c r="C2420" s="397"/>
      <c r="D2420" s="434" t="s">
        <v>496</v>
      </c>
      <c r="E2420" s="434"/>
      <c r="F2420" s="434"/>
      <c r="G2420" s="434"/>
      <c r="H2420" s="434"/>
      <c r="I2420" s="434"/>
      <c r="J2420" s="449"/>
      <c r="K2420" s="292"/>
      <c r="L2420" s="350"/>
      <c r="M2420" s="350"/>
      <c r="N2420" s="292"/>
      <c r="O2420" s="408">
        <f>-SUM(TrialBalance!L91:L93)</f>
        <v>0</v>
      </c>
      <c r="P2420" s="295"/>
      <c r="R2420" s="348" t="str">
        <f t="shared" si="190"/>
        <v>DELETE</v>
      </c>
    </row>
    <row r="2421" spans="3:22" ht="36" customHeight="1" x14ac:dyDescent="0.45">
      <c r="C2421" s="397"/>
      <c r="D2421" s="434" t="s">
        <v>497</v>
      </c>
      <c r="E2421" s="434"/>
      <c r="F2421" s="434"/>
      <c r="G2421" s="434"/>
      <c r="H2421" s="434"/>
      <c r="I2421" s="434"/>
      <c r="J2421" s="449"/>
      <c r="K2421" s="292"/>
      <c r="L2421" s="350"/>
      <c r="M2421" s="350"/>
      <c r="N2421" s="292"/>
      <c r="O2421" s="419">
        <f>-SUM(TrialBalance!L86:L89)</f>
        <v>0</v>
      </c>
      <c r="P2421" s="295"/>
      <c r="R2421" s="348" t="str">
        <f t="shared" si="190"/>
        <v>DELETE</v>
      </c>
    </row>
    <row r="2422" spans="3:22" ht="36" customHeight="1" x14ac:dyDescent="0.45">
      <c r="C2422" s="397"/>
      <c r="D2422" s="434" t="s">
        <v>191</v>
      </c>
      <c r="E2422" s="434"/>
      <c r="F2422" s="434"/>
      <c r="G2422" s="434"/>
      <c r="H2422" s="434"/>
      <c r="I2422" s="434"/>
      <c r="J2422" s="449"/>
      <c r="K2422" s="292"/>
      <c r="L2422" s="350"/>
      <c r="M2422" s="350"/>
      <c r="N2422" s="292"/>
      <c r="O2422" s="419">
        <f>-SUM(TrialBalance!L96)</f>
        <v>0</v>
      </c>
      <c r="P2422" s="295"/>
      <c r="R2422" s="348" t="str">
        <f t="shared" si="190"/>
        <v>DELETE</v>
      </c>
    </row>
    <row r="2423" spans="3:22" ht="36" customHeight="1" x14ac:dyDescent="0.45">
      <c r="C2423" s="397"/>
      <c r="D2423" s="434" t="s">
        <v>513</v>
      </c>
      <c r="E2423" s="434"/>
      <c r="F2423" s="434"/>
      <c r="G2423" s="434"/>
      <c r="H2423" s="434"/>
      <c r="I2423" s="434"/>
      <c r="J2423" s="449"/>
      <c r="K2423" s="292"/>
      <c r="L2423" s="350"/>
      <c r="M2423" s="350"/>
      <c r="N2423" s="292"/>
      <c r="O2423" s="408">
        <f>IF(TrialBalance!L94&lt;0,-TrialBalance!L94,0)</f>
        <v>0</v>
      </c>
      <c r="P2423" s="295"/>
      <c r="R2423" s="348" t="str">
        <f t="shared" si="190"/>
        <v>DELETE</v>
      </c>
    </row>
    <row r="2424" spans="3:22" ht="36" customHeight="1" x14ac:dyDescent="0.45">
      <c r="C2424" s="397"/>
      <c r="D2424" s="434" t="s">
        <v>334</v>
      </c>
      <c r="E2424" s="434"/>
      <c r="F2424" s="434"/>
      <c r="G2424" s="434"/>
      <c r="H2424" s="434"/>
      <c r="I2424" s="434"/>
      <c r="J2424" s="449"/>
      <c r="K2424" s="292"/>
      <c r="L2424" s="350"/>
      <c r="M2424" s="350"/>
      <c r="N2424" s="292"/>
      <c r="O2424" s="408">
        <f>-TrialBalance!L84</f>
        <v>0</v>
      </c>
      <c r="P2424" s="295"/>
      <c r="R2424" s="348" t="str">
        <f t="shared" si="190"/>
        <v>DELETE</v>
      </c>
    </row>
    <row r="2425" spans="3:22" ht="36" customHeight="1" x14ac:dyDescent="0.45">
      <c r="C2425" s="397"/>
      <c r="D2425" s="434" t="str">
        <f>TrialBalance!C97</f>
        <v>Revaluation of investment property</v>
      </c>
      <c r="E2425" s="434"/>
      <c r="F2425" s="434"/>
      <c r="G2425" s="434"/>
      <c r="H2425" s="434"/>
      <c r="I2425" s="434"/>
      <c r="J2425" s="449"/>
      <c r="K2425" s="292"/>
      <c r="L2425" s="350"/>
      <c r="M2425" s="350"/>
      <c r="N2425" s="292"/>
      <c r="O2425" s="408">
        <f>-TrialBalance!L97</f>
        <v>0</v>
      </c>
      <c r="P2425" s="295"/>
      <c r="R2425" s="348" t="str">
        <f>IF(O2425=0,"DELETE"," ")</f>
        <v>DELETE</v>
      </c>
    </row>
    <row r="2426" spans="3:22" ht="9" customHeight="1" x14ac:dyDescent="0.45">
      <c r="C2426" s="397"/>
      <c r="D2426" s="434"/>
      <c r="E2426" s="434"/>
      <c r="F2426" s="434"/>
      <c r="G2426" s="434"/>
      <c r="H2426" s="434"/>
      <c r="I2426" s="434"/>
      <c r="J2426" s="449"/>
      <c r="K2426" s="292"/>
      <c r="L2426" s="350"/>
      <c r="M2426" s="350"/>
      <c r="N2426" s="292"/>
      <c r="O2426" s="409"/>
      <c r="P2426" s="295"/>
      <c r="R2426" s="348" t="str">
        <f>R2416</f>
        <v>DELETE</v>
      </c>
    </row>
    <row r="2427" spans="3:22" ht="9" customHeight="1" x14ac:dyDescent="0.45">
      <c r="C2427" s="397"/>
      <c r="D2427" s="434"/>
      <c r="E2427" s="434"/>
      <c r="F2427" s="434"/>
      <c r="G2427" s="434"/>
      <c r="H2427" s="434"/>
      <c r="I2427" s="434"/>
      <c r="J2427" s="449"/>
      <c r="K2427" s="292"/>
      <c r="L2427" s="350"/>
      <c r="M2427" s="350"/>
      <c r="N2427" s="292"/>
      <c r="O2427" s="298"/>
      <c r="P2427" s="295"/>
      <c r="R2427" s="348" t="str">
        <f>R2426</f>
        <v>DELETE</v>
      </c>
    </row>
    <row r="2428" spans="3:22" ht="9" customHeight="1" x14ac:dyDescent="0.45">
      <c r="C2428" s="397"/>
      <c r="D2428" s="434"/>
      <c r="E2428" s="434"/>
      <c r="F2428" s="434"/>
      <c r="G2428" s="434"/>
      <c r="H2428" s="434"/>
      <c r="I2428" s="434"/>
      <c r="J2428" s="449"/>
      <c r="K2428" s="292"/>
      <c r="L2428" s="350"/>
      <c r="M2428" s="350"/>
      <c r="N2428" s="292"/>
      <c r="O2428" s="296"/>
      <c r="P2428" s="295"/>
      <c r="R2428" s="348" t="str">
        <f>R2427</f>
        <v>DELETE</v>
      </c>
    </row>
    <row r="2429" spans="3:22" ht="36" customHeight="1" x14ac:dyDescent="0.45">
      <c r="C2429" s="397"/>
      <c r="D2429" s="434"/>
      <c r="E2429" s="434"/>
      <c r="F2429" s="434"/>
      <c r="G2429" s="434"/>
      <c r="H2429" s="434"/>
      <c r="I2429" s="434"/>
      <c r="J2429" s="449"/>
      <c r="K2429" s="292"/>
      <c r="L2429" s="350"/>
      <c r="M2429" s="350"/>
      <c r="N2429" s="292"/>
      <c r="O2429" s="296">
        <f>SUM(S2287:S2426)</f>
        <v>0</v>
      </c>
      <c r="P2429" s="295"/>
      <c r="R2429" s="348" t="str">
        <f t="shared" ref="R2429:R2430" si="191">R2428</f>
        <v>DELETE</v>
      </c>
    </row>
    <row r="2430" spans="3:22" ht="36" customHeight="1" x14ac:dyDescent="0.45">
      <c r="C2430" s="397"/>
      <c r="D2430" s="434"/>
      <c r="E2430" s="434"/>
      <c r="F2430" s="434"/>
      <c r="G2430" s="434"/>
      <c r="H2430" s="434"/>
      <c r="I2430" s="434"/>
      <c r="J2430" s="449"/>
      <c r="K2430" s="292"/>
      <c r="L2430" s="350"/>
      <c r="M2430" s="350"/>
      <c r="N2430" s="292"/>
      <c r="O2430" s="296"/>
      <c r="P2430" s="295"/>
      <c r="R2430" s="348" t="str">
        <f t="shared" si="191"/>
        <v>DELETE</v>
      </c>
    </row>
    <row r="2431" spans="3:22" ht="36" customHeight="1" x14ac:dyDescent="0.45">
      <c r="D2431" s="434" t="s">
        <v>1077</v>
      </c>
      <c r="E2431" s="434"/>
      <c r="F2431" s="434"/>
      <c r="G2431" s="434"/>
      <c r="H2431" s="434"/>
      <c r="I2431" s="434"/>
      <c r="J2431" s="449"/>
      <c r="K2431" s="292">
        <f>B1131</f>
        <v>7</v>
      </c>
      <c r="L2431" s="350"/>
      <c r="M2431" s="350"/>
      <c r="N2431" s="292"/>
      <c r="O2431" s="296">
        <f>SUM(TrialBalance!L144:L154)</f>
        <v>0</v>
      </c>
      <c r="P2431" s="295"/>
      <c r="R2431" s="348" t="str">
        <f t="shared" ref="R2431" si="192">IF(O2431=0,"DELETE"," ")</f>
        <v>DELETE</v>
      </c>
      <c r="S2431" s="333">
        <f>-O2431</f>
        <v>0</v>
      </c>
      <c r="T2431" s="333"/>
      <c r="U2431" s="333"/>
      <c r="V2431" s="333"/>
    </row>
    <row r="2432" spans="3:22" ht="9" customHeight="1" x14ac:dyDescent="0.45">
      <c r="C2432" s="397"/>
      <c r="D2432" s="434"/>
      <c r="E2432" s="434"/>
      <c r="F2432" s="434"/>
      <c r="G2432" s="434"/>
      <c r="H2432" s="434"/>
      <c r="I2432" s="434"/>
      <c r="J2432" s="449"/>
      <c r="K2432" s="292"/>
      <c r="L2432" s="350"/>
      <c r="M2432" s="350"/>
      <c r="N2432" s="292"/>
      <c r="O2432" s="298"/>
      <c r="P2432" s="295"/>
    </row>
    <row r="2433" spans="3:23" ht="9" customHeight="1" x14ac:dyDescent="0.45">
      <c r="C2433" s="397"/>
      <c r="D2433" s="434"/>
      <c r="E2433" s="434"/>
      <c r="F2433" s="434"/>
      <c r="G2433" s="434"/>
      <c r="H2433" s="434"/>
      <c r="I2433" s="434"/>
      <c r="J2433" s="449"/>
      <c r="K2433" s="292"/>
      <c r="L2433" s="350"/>
      <c r="M2433" s="350"/>
      <c r="N2433" s="292"/>
      <c r="O2433" s="296"/>
      <c r="P2433" s="295"/>
    </row>
    <row r="2434" spans="3:23" ht="36" customHeight="1" x14ac:dyDescent="0.45">
      <c r="D2434" s="446" t="str">
        <f>IF(W2434=2,"Profit before taxation","Loss before taxation")</f>
        <v>Profit before taxation</v>
      </c>
      <c r="E2434" s="434"/>
      <c r="F2434" s="434"/>
      <c r="G2434" s="434"/>
      <c r="H2434" s="434"/>
      <c r="I2434" s="434"/>
      <c r="J2434" s="449"/>
      <c r="K2434" s="292"/>
      <c r="L2434" s="350"/>
      <c r="M2434" s="350"/>
      <c r="N2434" s="292"/>
      <c r="O2434" s="296">
        <f>SUM(S2287:S2433)</f>
        <v>0</v>
      </c>
      <c r="P2434" s="295"/>
      <c r="W2434" s="331">
        <f>IF(O2434&lt;0,1,2)</f>
        <v>2</v>
      </c>
    </row>
    <row r="2435" spans="3:23" ht="36" customHeight="1" x14ac:dyDescent="0.45">
      <c r="C2435" s="448"/>
      <c r="D2435" s="434"/>
      <c r="E2435" s="434"/>
      <c r="F2435" s="434"/>
      <c r="G2435" s="434"/>
      <c r="H2435" s="434"/>
      <c r="I2435" s="434"/>
      <c r="J2435" s="449"/>
      <c r="K2435" s="292"/>
      <c r="L2435" s="350"/>
      <c r="M2435" s="350"/>
      <c r="N2435" s="292"/>
      <c r="O2435" s="296"/>
      <c r="P2435" s="295"/>
    </row>
    <row r="2436" spans="3:23" ht="36" customHeight="1" x14ac:dyDescent="0.45">
      <c r="D2436" s="446" t="s">
        <v>1078</v>
      </c>
      <c r="E2436" s="434"/>
      <c r="F2436" s="434"/>
      <c r="G2436" s="434"/>
      <c r="H2436" s="434"/>
      <c r="I2436" s="434"/>
      <c r="J2436" s="449"/>
      <c r="K2436" s="292"/>
      <c r="L2436" s="350"/>
      <c r="M2436" s="350"/>
      <c r="N2436" s="292"/>
      <c r="O2436" s="296"/>
      <c r="P2436" s="295"/>
      <c r="R2436" s="348" t="str">
        <f>IF(COUNTIF(O2437:O2439,"=0")=3,"DELETE"," ")</f>
        <v>DELETE</v>
      </c>
    </row>
    <row r="2437" spans="3:23" ht="36" customHeight="1" x14ac:dyDescent="0.45">
      <c r="C2437" s="448"/>
      <c r="D2437" s="443" t="str">
        <f>IF(W2437=2,CONCATENATE("Net profit - ",Criteria!H14),CONCATENATE("Net loss - ",Criteria!H14))</f>
        <v>Net profit - Subsidiary One 111 (Pty) Ltd</v>
      </c>
      <c r="E2437" s="434"/>
      <c r="F2437" s="434"/>
      <c r="G2437" s="434"/>
      <c r="H2437" s="434"/>
      <c r="I2437" s="434"/>
      <c r="J2437" s="434"/>
      <c r="L2437" s="350"/>
      <c r="M2437" s="345" t="s">
        <v>604</v>
      </c>
      <c r="N2437" s="345"/>
      <c r="O2437" s="296">
        <f>-SUM(TrialBalanceA!I5:I156)</f>
        <v>0</v>
      </c>
      <c r="R2437" s="348" t="str">
        <f t="shared" ref="R2437:R2439" si="193">IF(O2437=0,"DELETE"," ")</f>
        <v>DELETE</v>
      </c>
      <c r="S2437" s="333">
        <f>O2437</f>
        <v>0</v>
      </c>
      <c r="W2437" s="331">
        <f>IF(O2437&lt;0,1,2)</f>
        <v>2</v>
      </c>
    </row>
    <row r="2438" spans="3:23" ht="36" customHeight="1" x14ac:dyDescent="0.45">
      <c r="C2438" s="448"/>
      <c r="D2438" s="443" t="str">
        <f>IF(W2438=2,CONCATENATE("Net profit - ",Criteria!H15),CONCATENATE("Net loss - ",Criteria!H15))</f>
        <v>Net profit - Subsidiary Two 15 (Pty) Ltd</v>
      </c>
      <c r="E2438" s="434"/>
      <c r="F2438" s="434"/>
      <c r="G2438" s="434"/>
      <c r="H2438" s="434"/>
      <c r="I2438" s="434"/>
      <c r="J2438" s="434"/>
      <c r="L2438" s="350"/>
      <c r="M2438" s="345" t="s">
        <v>605</v>
      </c>
      <c r="N2438" s="345"/>
      <c r="O2438" s="296">
        <f>-SUM(TrialBalanceB!I5:I156)</f>
        <v>0</v>
      </c>
      <c r="R2438" s="348" t="str">
        <f t="shared" si="193"/>
        <v>DELETE</v>
      </c>
      <c r="S2438" s="333">
        <f>O2438</f>
        <v>0</v>
      </c>
      <c r="W2438" s="331">
        <f>IF(O2438&lt;0,1,2)</f>
        <v>2</v>
      </c>
    </row>
    <row r="2439" spans="3:23" ht="36" customHeight="1" x14ac:dyDescent="0.45">
      <c r="C2439" s="448"/>
      <c r="D2439" s="443" t="str">
        <f>IF(W2439=2,CONCATENATE("Net profit - ",Criteria!H16),CONCATENATE("Net loss - ",Criteria!H16))</f>
        <v xml:space="preserve">Net profit - </v>
      </c>
      <c r="E2439" s="434"/>
      <c r="F2439" s="434"/>
      <c r="G2439" s="434"/>
      <c r="H2439" s="434"/>
      <c r="I2439" s="434"/>
      <c r="J2439" s="434"/>
      <c r="L2439" s="350"/>
      <c r="M2439" s="345" t="s">
        <v>606</v>
      </c>
      <c r="N2439" s="345"/>
      <c r="O2439" s="296">
        <f>-SUM(TrialBalanceC!I5:I156)</f>
        <v>0</v>
      </c>
      <c r="R2439" s="348" t="str">
        <f t="shared" si="193"/>
        <v>DELETE</v>
      </c>
      <c r="S2439" s="333">
        <f>O2439</f>
        <v>0</v>
      </c>
      <c r="W2439" s="331">
        <f>IF(O2439&lt;0,1,2)</f>
        <v>2</v>
      </c>
    </row>
    <row r="2440" spans="3:23" ht="9" customHeight="1" x14ac:dyDescent="0.45">
      <c r="C2440" s="448"/>
      <c r="D2440" s="434"/>
      <c r="E2440" s="434"/>
      <c r="F2440" s="434"/>
      <c r="G2440" s="434"/>
      <c r="H2440" s="434"/>
      <c r="I2440" s="434"/>
      <c r="J2440" s="449"/>
      <c r="K2440" s="292"/>
      <c r="L2440" s="350"/>
      <c r="M2440" s="350"/>
      <c r="N2440" s="292"/>
      <c r="O2440" s="298"/>
      <c r="P2440" s="295"/>
      <c r="R2440" s="348" t="str">
        <f>R2442</f>
        <v>DELETE</v>
      </c>
    </row>
    <row r="2441" spans="3:23" ht="9" customHeight="1" x14ac:dyDescent="0.45">
      <c r="C2441" s="448"/>
      <c r="D2441" s="434"/>
      <c r="E2441" s="434"/>
      <c r="F2441" s="434"/>
      <c r="G2441" s="434"/>
      <c r="H2441" s="434"/>
      <c r="I2441" s="434"/>
      <c r="J2441" s="449"/>
      <c r="K2441" s="292"/>
      <c r="L2441" s="350"/>
      <c r="M2441" s="350"/>
      <c r="N2441" s="292"/>
      <c r="O2441" s="296"/>
      <c r="P2441" s="295"/>
      <c r="R2441" s="348" t="str">
        <f>R2442</f>
        <v>DELETE</v>
      </c>
    </row>
    <row r="2442" spans="3:23" ht="36" customHeight="1" x14ac:dyDescent="0.45">
      <c r="C2442" s="448"/>
      <c r="D2442" s="434"/>
      <c r="E2442" s="434"/>
      <c r="F2442" s="434"/>
      <c r="G2442" s="434"/>
      <c r="H2442" s="434"/>
      <c r="I2442" s="434"/>
      <c r="J2442" s="449"/>
      <c r="K2442" s="292"/>
      <c r="L2442" s="350"/>
      <c r="M2442" s="350"/>
      <c r="N2442" s="292"/>
      <c r="O2442" s="296">
        <f>SUM(S2287:S2440)</f>
        <v>0</v>
      </c>
      <c r="P2442" s="295"/>
      <c r="R2442" s="348" t="str">
        <f>R2436</f>
        <v>DELETE</v>
      </c>
    </row>
    <row r="2443" spans="3:23" ht="36" customHeight="1" x14ac:dyDescent="0.45">
      <c r="C2443" s="397"/>
      <c r="D2443" s="434"/>
      <c r="E2443" s="434"/>
      <c r="F2443" s="434"/>
      <c r="G2443" s="434"/>
      <c r="H2443" s="434"/>
      <c r="I2443" s="434"/>
      <c r="J2443" s="449"/>
      <c r="K2443" s="292"/>
      <c r="L2443" s="350"/>
      <c r="M2443" s="350"/>
      <c r="N2443" s="292"/>
      <c r="O2443" s="296"/>
      <c r="P2443" s="295"/>
      <c r="R2443" s="348" t="str">
        <f>R2442</f>
        <v>DELETE</v>
      </c>
      <c r="U2443" s="334"/>
      <c r="V2443" s="334"/>
    </row>
    <row r="2444" spans="3:23" ht="36" customHeight="1" x14ac:dyDescent="0.45">
      <c r="D2444" s="434" t="s">
        <v>1079</v>
      </c>
      <c r="E2444" s="434"/>
      <c r="F2444" s="434"/>
      <c r="G2444" s="434"/>
      <c r="H2444" s="434"/>
      <c r="I2444" s="434"/>
      <c r="J2444" s="449"/>
      <c r="K2444" s="292"/>
      <c r="L2444" s="350"/>
      <c r="M2444" s="350"/>
      <c r="N2444" s="292"/>
      <c r="O2444" s="296">
        <f>SUM(TrialBalance!L158:L163)</f>
        <v>0</v>
      </c>
      <c r="P2444" s="295"/>
      <c r="S2444" s="333">
        <f>-O2444</f>
        <v>0</v>
      </c>
      <c r="T2444" s="333"/>
    </row>
    <row r="2445" spans="3:23" ht="9" customHeight="1" x14ac:dyDescent="0.45">
      <c r="C2445" s="397"/>
      <c r="D2445" s="434"/>
      <c r="E2445" s="434"/>
      <c r="F2445" s="434"/>
      <c r="G2445" s="434"/>
      <c r="H2445" s="434"/>
      <c r="I2445" s="434"/>
      <c r="J2445" s="449"/>
      <c r="K2445" s="292"/>
      <c r="L2445" s="350"/>
      <c r="M2445" s="350"/>
      <c r="N2445" s="292"/>
      <c r="O2445" s="298"/>
      <c r="P2445" s="295"/>
    </row>
    <row r="2446" spans="3:23" ht="9" customHeight="1" x14ac:dyDescent="0.45">
      <c r="C2446" s="397"/>
      <c r="D2446" s="434"/>
      <c r="E2446" s="434"/>
      <c r="F2446" s="434"/>
      <c r="G2446" s="434"/>
      <c r="H2446" s="434"/>
      <c r="I2446" s="434"/>
      <c r="J2446" s="449"/>
      <c r="K2446" s="292"/>
      <c r="L2446" s="350"/>
      <c r="M2446" s="350"/>
      <c r="N2446" s="292"/>
      <c r="O2446" s="296"/>
      <c r="P2446" s="295"/>
    </row>
    <row r="2447" spans="3:23" ht="36.75" customHeight="1" x14ac:dyDescent="0.45">
      <c r="D2447" s="446" t="str">
        <f>IF(W2447=2,"Net profit for the year after taxation","Net loss for the year after taxation")</f>
        <v>Net profit for the year after taxation</v>
      </c>
      <c r="E2447" s="434"/>
      <c r="F2447" s="434"/>
      <c r="G2447" s="434"/>
      <c r="H2447" s="434"/>
      <c r="I2447" s="434"/>
      <c r="J2447" s="449"/>
      <c r="K2447" s="292"/>
      <c r="L2447" s="350"/>
      <c r="M2447" s="350"/>
      <c r="N2447" s="292"/>
      <c r="O2447" s="296">
        <f>SUM(S2287:S2445)</f>
        <v>0</v>
      </c>
      <c r="P2447" s="295"/>
      <c r="U2447" s="331" t="b">
        <f>-SUM(TrialBalance!L5:L163)='FS2'!O2447</f>
        <v>1</v>
      </c>
      <c r="W2447" s="331">
        <f>IF(O2447&lt;0,1,2)</f>
        <v>2</v>
      </c>
    </row>
    <row r="2448" spans="3:23" ht="9" customHeight="1" thickBot="1" x14ac:dyDescent="0.5">
      <c r="C2448" s="397"/>
      <c r="D2448" s="434"/>
      <c r="E2448" s="434"/>
      <c r="F2448" s="434"/>
      <c r="G2448" s="434"/>
      <c r="H2448" s="434"/>
      <c r="I2448" s="434"/>
      <c r="J2448" s="449"/>
      <c r="K2448" s="292"/>
      <c r="L2448" s="350"/>
      <c r="M2448" s="350"/>
      <c r="N2448" s="292"/>
      <c r="O2448" s="299"/>
      <c r="P2448" s="295"/>
    </row>
    <row r="2449" spans="3:23" ht="9" customHeight="1" thickTop="1" x14ac:dyDescent="0.45">
      <c r="C2449" s="397"/>
      <c r="D2449" s="434"/>
      <c r="E2449" s="434"/>
      <c r="F2449" s="434"/>
      <c r="G2449" s="434"/>
      <c r="H2449" s="434"/>
      <c r="I2449" s="434"/>
      <c r="J2449" s="449"/>
      <c r="K2449" s="292"/>
      <c r="L2449" s="350"/>
      <c r="M2449" s="350"/>
      <c r="N2449" s="292"/>
      <c r="O2449" s="296"/>
      <c r="P2449" s="295"/>
    </row>
    <row r="2450" spans="3:23" ht="36" customHeight="1" x14ac:dyDescent="0.45">
      <c r="C2450" s="397"/>
      <c r="D2450" s="434"/>
      <c r="E2450" s="434"/>
      <c r="F2450" s="434"/>
      <c r="G2450" s="434"/>
      <c r="H2450" s="434"/>
      <c r="I2450" s="434"/>
      <c r="J2450" s="449"/>
      <c r="K2450" s="292"/>
      <c r="L2450" s="292"/>
      <c r="M2450" s="296"/>
      <c r="N2450" s="296"/>
      <c r="O2450" s="296"/>
      <c r="P2450" s="295"/>
    </row>
    <row r="2451" spans="3:23" ht="36" customHeight="1" x14ac:dyDescent="0.5">
      <c r="C2451" s="353"/>
      <c r="D2451" s="434"/>
      <c r="E2451" s="434"/>
      <c r="F2451" s="434"/>
      <c r="G2451" s="434"/>
      <c r="H2451" s="434"/>
      <c r="I2451" s="434"/>
      <c r="J2451" s="434"/>
      <c r="M2451" s="371"/>
      <c r="N2451" s="371"/>
      <c r="O2451" s="371"/>
      <c r="P2451" s="356"/>
    </row>
    <row r="2452" spans="3:23" ht="36" customHeight="1" x14ac:dyDescent="0.5">
      <c r="C2452" s="353"/>
      <c r="D2452" s="434"/>
      <c r="E2452" s="434"/>
      <c r="F2452" s="434"/>
      <c r="G2452" s="434"/>
      <c r="H2452" s="434"/>
      <c r="I2452" s="434"/>
      <c r="J2452" s="434"/>
      <c r="M2452" s="351"/>
      <c r="N2452" s="351"/>
      <c r="O2452" s="351"/>
    </row>
    <row r="2453" spans="3:23" ht="36" customHeight="1" x14ac:dyDescent="0.5">
      <c r="C2453" s="353"/>
      <c r="D2453" s="434"/>
      <c r="E2453" s="434"/>
      <c r="F2453" s="434"/>
      <c r="G2453" s="434"/>
      <c r="H2453" s="434"/>
      <c r="I2453" s="434"/>
      <c r="J2453" s="434"/>
      <c r="M2453" s="351"/>
      <c r="N2453" s="351"/>
      <c r="O2453" s="296" t="s">
        <v>89</v>
      </c>
      <c r="Q2453" s="292">
        <v>1</v>
      </c>
      <c r="R2453" s="348" t="str">
        <f>IF(SUM(S2465:S2467)+SUM(S2485:S2492)+SUM(S2593:S2603)+O2611=0,"DELETE"," ")</f>
        <v>DELETE</v>
      </c>
      <c r="T2453" s="334"/>
      <c r="U2453" s="335"/>
      <c r="V2453" s="335"/>
      <c r="W2453" s="334"/>
    </row>
    <row r="2454" spans="3:23" ht="36" customHeight="1" x14ac:dyDescent="0.5">
      <c r="C2454" s="353"/>
      <c r="D2454" s="433" t="s">
        <v>491</v>
      </c>
      <c r="E2454" s="434"/>
      <c r="F2454" s="434"/>
      <c r="G2454" s="434"/>
      <c r="H2454" s="434"/>
      <c r="I2454" s="434"/>
      <c r="J2454" s="434"/>
      <c r="M2454" s="351"/>
      <c r="N2454" s="351"/>
      <c r="O2454" s="351"/>
      <c r="R2454" s="348" t="str">
        <f t="shared" ref="R2454:R2464" si="194">R$2453</f>
        <v>DELETE</v>
      </c>
      <c r="T2454" s="334"/>
      <c r="U2454" s="332"/>
    </row>
    <row r="2455" spans="3:23" ht="36" customHeight="1" x14ac:dyDescent="0.5">
      <c r="C2455" s="353"/>
      <c r="D2455" s="434"/>
      <c r="E2455" s="434"/>
      <c r="F2455" s="434"/>
      <c r="G2455" s="434"/>
      <c r="H2455" s="434"/>
      <c r="I2455" s="434"/>
      <c r="J2455" s="434"/>
      <c r="M2455" s="351"/>
      <c r="N2455" s="351"/>
      <c r="O2455" s="351"/>
      <c r="R2455" s="348" t="str">
        <f t="shared" si="194"/>
        <v>DELETE</v>
      </c>
      <c r="T2455" s="334"/>
    </row>
    <row r="2456" spans="3:23" ht="36" customHeight="1" x14ac:dyDescent="0.5">
      <c r="C2456" s="353"/>
      <c r="D2456" s="433" t="str">
        <f>Criteria!E14</f>
        <v>SUBSIDIARY ONE 111 (PTY) LTD</v>
      </c>
      <c r="E2456" s="434"/>
      <c r="F2456" s="434"/>
      <c r="G2456" s="434"/>
      <c r="H2456" s="434"/>
      <c r="I2456" s="434"/>
      <c r="J2456" s="434"/>
      <c r="M2456" s="351"/>
      <c r="N2456" s="351"/>
      <c r="O2456" s="347"/>
      <c r="R2456" s="348" t="str">
        <f t="shared" si="194"/>
        <v>DELETE</v>
      </c>
      <c r="T2456" s="334"/>
    </row>
    <row r="2457" spans="3:23" ht="36" customHeight="1" x14ac:dyDescent="0.5">
      <c r="C2457" s="353"/>
      <c r="D2457" s="438"/>
      <c r="E2457" s="434"/>
      <c r="F2457" s="434"/>
      <c r="G2457" s="434"/>
      <c r="H2457" s="434"/>
      <c r="I2457" s="434"/>
      <c r="J2457" s="434"/>
      <c r="M2457" s="351"/>
      <c r="N2457" s="351"/>
      <c r="O2457" s="351"/>
      <c r="R2457" s="348" t="str">
        <f t="shared" si="194"/>
        <v>DELETE</v>
      </c>
      <c r="T2457" s="334"/>
    </row>
    <row r="2458" spans="3:23" ht="36" customHeight="1" x14ac:dyDescent="0.5">
      <c r="C2458" s="353"/>
      <c r="D2458" s="434"/>
      <c r="E2458" s="434"/>
      <c r="F2458" s="434"/>
      <c r="G2458" s="434"/>
      <c r="H2458" s="434"/>
      <c r="I2458" s="434"/>
      <c r="J2458" s="434"/>
      <c r="M2458" s="351"/>
      <c r="N2458" s="351"/>
      <c r="O2458" s="351"/>
      <c r="R2458" s="348" t="str">
        <f t="shared" si="194"/>
        <v>DELETE</v>
      </c>
      <c r="T2458" s="334"/>
    </row>
    <row r="2459" spans="3:23" ht="36" customHeight="1" x14ac:dyDescent="0.5">
      <c r="C2459" s="353"/>
      <c r="D2459" s="433" t="s">
        <v>86</v>
      </c>
      <c r="E2459" s="434"/>
      <c r="F2459" s="434"/>
      <c r="G2459" s="434"/>
      <c r="H2459" s="434"/>
      <c r="I2459" s="434"/>
      <c r="J2459" s="434"/>
      <c r="M2459" s="351"/>
      <c r="N2459" s="351"/>
      <c r="O2459" s="351"/>
      <c r="R2459" s="348" t="str">
        <f t="shared" si="194"/>
        <v>DELETE</v>
      </c>
      <c r="T2459" s="334"/>
    </row>
    <row r="2460" spans="3:23" ht="36" customHeight="1" x14ac:dyDescent="0.5">
      <c r="C2460" s="353"/>
      <c r="D2460" s="433" t="str">
        <f>Criteria!E20</f>
        <v>28 FEBRUARY 2025</v>
      </c>
      <c r="E2460" s="434"/>
      <c r="F2460" s="434"/>
      <c r="G2460" s="434"/>
      <c r="H2460" s="434"/>
      <c r="I2460" s="434"/>
      <c r="J2460" s="434"/>
      <c r="M2460" s="351"/>
      <c r="N2460" s="351"/>
      <c r="O2460" s="351"/>
      <c r="R2460" s="348" t="str">
        <f t="shared" si="194"/>
        <v>DELETE</v>
      </c>
      <c r="T2460" s="334"/>
    </row>
    <row r="2461" spans="3:23" ht="36" customHeight="1" x14ac:dyDescent="0.5">
      <c r="C2461" s="353"/>
      <c r="D2461" s="434"/>
      <c r="E2461" s="434"/>
      <c r="F2461" s="434"/>
      <c r="G2461" s="434"/>
      <c r="H2461" s="434"/>
      <c r="I2461" s="434"/>
      <c r="J2461" s="434"/>
      <c r="M2461" s="351"/>
      <c r="N2461" s="351"/>
      <c r="O2461" s="351"/>
      <c r="R2461" s="348" t="str">
        <f t="shared" si="194"/>
        <v>DELETE</v>
      </c>
      <c r="T2461" s="334"/>
    </row>
    <row r="2462" spans="3:23" ht="36" customHeight="1" x14ac:dyDescent="0.5">
      <c r="C2462" s="353"/>
      <c r="D2462" s="444"/>
      <c r="E2462" s="444"/>
      <c r="F2462" s="444"/>
      <c r="G2462" s="444"/>
      <c r="H2462" s="444"/>
      <c r="I2462" s="444"/>
      <c r="J2462" s="444"/>
      <c r="K2462" s="364"/>
      <c r="L2462" s="364"/>
      <c r="M2462" s="378"/>
      <c r="N2462" s="378"/>
      <c r="O2462" s="378"/>
      <c r="P2462" s="367"/>
      <c r="Q2462" s="364"/>
      <c r="R2462" s="348" t="str">
        <f t="shared" si="194"/>
        <v>DELETE</v>
      </c>
      <c r="T2462" s="334"/>
    </row>
    <row r="2463" spans="3:23" ht="36" customHeight="1" x14ac:dyDescent="0.5">
      <c r="C2463" s="353"/>
      <c r="D2463" s="434"/>
      <c r="E2463" s="434"/>
      <c r="F2463" s="434"/>
      <c r="G2463" s="434"/>
      <c r="H2463" s="434"/>
      <c r="I2463" s="434"/>
      <c r="J2463" s="449"/>
      <c r="K2463" s="292" t="s">
        <v>1041</v>
      </c>
      <c r="L2463" s="350"/>
      <c r="M2463" s="350"/>
      <c r="N2463" s="292"/>
      <c r="O2463" s="294">
        <f>Criteria!E22</f>
        <v>2025</v>
      </c>
      <c r="P2463" s="295"/>
      <c r="R2463" s="348" t="str">
        <f t="shared" si="194"/>
        <v>DELETE</v>
      </c>
      <c r="T2463" s="334"/>
    </row>
    <row r="2464" spans="3:23" ht="36" customHeight="1" x14ac:dyDescent="0.5">
      <c r="C2464" s="353"/>
      <c r="D2464" s="434"/>
      <c r="E2464" s="434"/>
      <c r="F2464" s="434"/>
      <c r="G2464" s="434"/>
      <c r="H2464" s="434"/>
      <c r="I2464" s="434"/>
      <c r="J2464" s="449"/>
      <c r="K2464" s="292"/>
      <c r="L2464" s="350"/>
      <c r="M2464" s="350"/>
      <c r="N2464" s="292"/>
      <c r="O2464" s="296"/>
      <c r="P2464" s="295"/>
      <c r="R2464" s="348" t="str">
        <f t="shared" si="194"/>
        <v>DELETE</v>
      </c>
      <c r="T2464" s="334"/>
    </row>
    <row r="2465" spans="3:22" ht="36" customHeight="1" x14ac:dyDescent="0.45">
      <c r="D2465" s="433" t="s">
        <v>836</v>
      </c>
      <c r="E2465" s="434"/>
      <c r="F2465" s="434"/>
      <c r="G2465" s="434"/>
      <c r="H2465" s="434"/>
      <c r="I2465" s="434"/>
      <c r="J2465" s="449"/>
      <c r="K2465" s="292"/>
      <c r="L2465" s="350"/>
      <c r="M2465" s="350"/>
      <c r="N2465" s="292"/>
      <c r="O2465" s="296">
        <f>-SUM(TrialBalanceA!I5:I10)</f>
        <v>0</v>
      </c>
      <c r="P2465" s="295"/>
      <c r="R2465" s="348" t="str">
        <f>IF(R2453="DELETE","DELETE",IF(O2465=0,IF(O2467=0," ","DELETE")," "))</f>
        <v>DELETE</v>
      </c>
      <c r="S2465" s="333">
        <f>O2465</f>
        <v>0</v>
      </c>
      <c r="T2465" s="334"/>
      <c r="U2465" s="333"/>
      <c r="V2465" s="333"/>
    </row>
    <row r="2466" spans="3:22" ht="36" customHeight="1" x14ac:dyDescent="0.45">
      <c r="D2466" s="433"/>
      <c r="E2466" s="434"/>
      <c r="F2466" s="434"/>
      <c r="G2466" s="434"/>
      <c r="H2466" s="434"/>
      <c r="I2466" s="434"/>
      <c r="J2466" s="449"/>
      <c r="K2466" s="292"/>
      <c r="L2466" s="350"/>
      <c r="M2466" s="350"/>
      <c r="N2466" s="292"/>
      <c r="O2466" s="296"/>
      <c r="P2466" s="295"/>
      <c r="R2466" s="348" t="str">
        <f>R2465</f>
        <v>DELETE</v>
      </c>
      <c r="S2466" s="333"/>
      <c r="T2466" s="334"/>
      <c r="U2466" s="333"/>
      <c r="V2466" s="333"/>
    </row>
    <row r="2467" spans="3:22" ht="36" customHeight="1" x14ac:dyDescent="0.45">
      <c r="D2467" s="433" t="s">
        <v>334</v>
      </c>
      <c r="E2467" s="434"/>
      <c r="F2467" s="434"/>
      <c r="G2467" s="434"/>
      <c r="H2467" s="434"/>
      <c r="I2467" s="434"/>
      <c r="J2467" s="449"/>
      <c r="K2467" s="292"/>
      <c r="L2467" s="350"/>
      <c r="M2467" s="350"/>
      <c r="N2467" s="292"/>
      <c r="O2467" s="296">
        <f>-TrialBalanceA!I11</f>
        <v>0</v>
      </c>
      <c r="P2467" s="295"/>
      <c r="R2467" s="348" t="str">
        <f>IF(R$2453="DELETE","DELETE",IF(O2467=0,"DELETE"," "))</f>
        <v>DELETE</v>
      </c>
      <c r="S2467" s="333">
        <f>O2467</f>
        <v>0</v>
      </c>
      <c r="T2467" s="334"/>
      <c r="U2467" s="333"/>
      <c r="V2467" s="333"/>
    </row>
    <row r="2468" spans="3:22" ht="36" customHeight="1" x14ac:dyDescent="0.45">
      <c r="D2468" s="433"/>
      <c r="E2468" s="434"/>
      <c r="F2468" s="434"/>
      <c r="G2468" s="434"/>
      <c r="H2468" s="434"/>
      <c r="I2468" s="434"/>
      <c r="J2468" s="449"/>
      <c r="K2468" s="292"/>
      <c r="L2468" s="350"/>
      <c r="M2468" s="350"/>
      <c r="N2468" s="292"/>
      <c r="O2468" s="296"/>
      <c r="P2468" s="295"/>
      <c r="R2468" s="348" t="str">
        <f>R2467</f>
        <v>DELETE</v>
      </c>
      <c r="T2468" s="334"/>
    </row>
    <row r="2469" spans="3:22" ht="36" customHeight="1" x14ac:dyDescent="0.45">
      <c r="D2469" s="433" t="s">
        <v>1074</v>
      </c>
      <c r="E2469" s="434"/>
      <c r="F2469" s="434"/>
      <c r="G2469" s="434"/>
      <c r="H2469" s="434"/>
      <c r="I2469" s="434"/>
      <c r="J2469" s="449"/>
      <c r="K2469" s="292"/>
      <c r="L2469" s="350"/>
      <c r="M2469" s="350"/>
      <c r="N2469" s="292"/>
      <c r="O2469" s="296">
        <f>SUM(O2472:O2479)</f>
        <v>0</v>
      </c>
      <c r="P2469" s="295"/>
      <c r="R2469" s="348" t="str">
        <f>IF(R$2453="DELETE","DELETE",IF(O2469=0,"DELETE"," "))</f>
        <v>DELETE</v>
      </c>
      <c r="S2469" s="333">
        <f>-O2469</f>
        <v>0</v>
      </c>
      <c r="T2469" s="334"/>
      <c r="U2469" s="333"/>
      <c r="V2469" s="333"/>
    </row>
    <row r="2470" spans="3:22" ht="9" customHeight="1" x14ac:dyDescent="0.45">
      <c r="C2470" s="397"/>
      <c r="D2470" s="434"/>
      <c r="E2470" s="434"/>
      <c r="F2470" s="434"/>
      <c r="G2470" s="434"/>
      <c r="H2470" s="434"/>
      <c r="I2470" s="434"/>
      <c r="J2470" s="449"/>
      <c r="K2470" s="292"/>
      <c r="L2470" s="350"/>
      <c r="M2470" s="350"/>
      <c r="N2470" s="292"/>
      <c r="O2470" s="296"/>
      <c r="P2470" s="295"/>
      <c r="R2470" s="348" t="str">
        <f>R2469</f>
        <v>DELETE</v>
      </c>
      <c r="T2470" s="334"/>
    </row>
    <row r="2471" spans="3:22" ht="9" customHeight="1" x14ac:dyDescent="0.45">
      <c r="C2471" s="397"/>
      <c r="D2471" s="434"/>
      <c r="E2471" s="434"/>
      <c r="F2471" s="434"/>
      <c r="G2471" s="434"/>
      <c r="H2471" s="434"/>
      <c r="I2471" s="434"/>
      <c r="J2471" s="449"/>
      <c r="K2471" s="292"/>
      <c r="L2471" s="350"/>
      <c r="M2471" s="350"/>
      <c r="N2471" s="292"/>
      <c r="O2471" s="407"/>
      <c r="P2471" s="295"/>
      <c r="R2471" s="348" t="str">
        <f>R2470</f>
        <v>DELETE</v>
      </c>
      <c r="T2471" s="334"/>
    </row>
    <row r="2472" spans="3:22" ht="36" customHeight="1" x14ac:dyDescent="0.45">
      <c r="C2472" s="397"/>
      <c r="D2472" s="434" t="s">
        <v>492</v>
      </c>
      <c r="E2472" s="434"/>
      <c r="F2472" s="434"/>
      <c r="G2472" s="434"/>
      <c r="H2472" s="434"/>
      <c r="I2472" s="434"/>
      <c r="J2472" s="449"/>
      <c r="K2472" s="292"/>
      <c r="L2472" s="350"/>
      <c r="M2472" s="350"/>
      <c r="N2472" s="292"/>
      <c r="O2472" s="408">
        <f>SUM(TrialBalanceA!I13:I16)</f>
        <v>0</v>
      </c>
      <c r="P2472" s="295"/>
      <c r="R2472" s="348" t="str">
        <f t="shared" ref="R2472:R2479" si="195">IF(R$2453="DELETE","DELETE",IF(O2472=0,"DELETE"," "))</f>
        <v>DELETE</v>
      </c>
      <c r="T2472" s="334"/>
    </row>
    <row r="2473" spans="3:22" ht="36" customHeight="1" x14ac:dyDescent="0.45">
      <c r="C2473" s="397"/>
      <c r="D2473" s="434" t="s">
        <v>249</v>
      </c>
      <c r="E2473" s="434"/>
      <c r="F2473" s="434"/>
      <c r="G2473" s="434"/>
      <c r="H2473" s="434"/>
      <c r="I2473" s="434"/>
      <c r="J2473" s="449"/>
      <c r="K2473" s="292"/>
      <c r="L2473" s="350"/>
      <c r="M2473" s="350"/>
      <c r="N2473" s="292"/>
      <c r="O2473" s="408">
        <f>TrialBalanceA!I17</f>
        <v>0</v>
      </c>
      <c r="P2473" s="295"/>
      <c r="R2473" s="348" t="str">
        <f t="shared" si="195"/>
        <v>DELETE</v>
      </c>
      <c r="T2473" s="334"/>
    </row>
    <row r="2474" spans="3:22" ht="36" customHeight="1" x14ac:dyDescent="0.45">
      <c r="C2474" s="397"/>
      <c r="D2474" s="434">
        <f>TrialBalanceA!C18</f>
        <v>0</v>
      </c>
      <c r="E2474" s="434"/>
      <c r="F2474" s="434"/>
      <c r="G2474" s="434"/>
      <c r="H2474" s="434"/>
      <c r="I2474" s="434"/>
      <c r="J2474" s="449"/>
      <c r="K2474" s="292"/>
      <c r="L2474" s="350"/>
      <c r="M2474" s="350"/>
      <c r="N2474" s="292"/>
      <c r="O2474" s="408">
        <f>TrialBalanceA!I18</f>
        <v>0</v>
      </c>
      <c r="P2474" s="295"/>
      <c r="R2474" s="348" t="str">
        <f t="shared" si="195"/>
        <v>DELETE</v>
      </c>
      <c r="T2474" s="334"/>
    </row>
    <row r="2475" spans="3:22" ht="36" customHeight="1" x14ac:dyDescent="0.45">
      <c r="C2475" s="397"/>
      <c r="D2475" s="434">
        <f>TrialBalanceA!C19</f>
        <v>0</v>
      </c>
      <c r="E2475" s="434"/>
      <c r="F2475" s="434"/>
      <c r="G2475" s="434"/>
      <c r="H2475" s="434"/>
      <c r="I2475" s="434"/>
      <c r="J2475" s="449"/>
      <c r="K2475" s="292"/>
      <c r="L2475" s="350"/>
      <c r="M2475" s="350"/>
      <c r="N2475" s="292"/>
      <c r="O2475" s="408">
        <f>TrialBalanceA!I19</f>
        <v>0</v>
      </c>
      <c r="P2475" s="295"/>
      <c r="R2475" s="348" t="str">
        <f t="shared" si="195"/>
        <v>DELETE</v>
      </c>
      <c r="T2475" s="334"/>
    </row>
    <row r="2476" spans="3:22" ht="36" customHeight="1" x14ac:dyDescent="0.45">
      <c r="C2476" s="397"/>
      <c r="D2476" s="434">
        <f>TrialBalanceA!C20</f>
        <v>0</v>
      </c>
      <c r="E2476" s="434"/>
      <c r="F2476" s="434"/>
      <c r="G2476" s="434"/>
      <c r="H2476" s="434"/>
      <c r="I2476" s="434"/>
      <c r="J2476" s="449"/>
      <c r="K2476" s="292"/>
      <c r="L2476" s="350"/>
      <c r="M2476" s="350"/>
      <c r="N2476" s="292"/>
      <c r="O2476" s="408">
        <f>TrialBalanceA!I20</f>
        <v>0</v>
      </c>
      <c r="P2476" s="295"/>
      <c r="R2476" s="348" t="str">
        <f t="shared" si="195"/>
        <v>DELETE</v>
      </c>
      <c r="T2476" s="334"/>
    </row>
    <row r="2477" spans="3:22" ht="36" customHeight="1" x14ac:dyDescent="0.45">
      <c r="C2477" s="397"/>
      <c r="D2477" s="434">
        <f>TrialBalanceA!C21</f>
        <v>0</v>
      </c>
      <c r="E2477" s="434"/>
      <c r="F2477" s="434"/>
      <c r="G2477" s="434"/>
      <c r="H2477" s="434"/>
      <c r="I2477" s="434"/>
      <c r="J2477" s="449"/>
      <c r="K2477" s="292"/>
      <c r="L2477" s="350"/>
      <c r="M2477" s="350"/>
      <c r="N2477" s="292"/>
      <c r="O2477" s="408">
        <f>TrialBalanceA!I21</f>
        <v>0</v>
      </c>
      <c r="P2477" s="295"/>
      <c r="R2477" s="348" t="str">
        <f t="shared" si="195"/>
        <v>DELETE</v>
      </c>
      <c r="T2477" s="334"/>
    </row>
    <row r="2478" spans="3:22" ht="36" customHeight="1" x14ac:dyDescent="0.45">
      <c r="C2478" s="397"/>
      <c r="D2478" s="434">
        <f>TrialBalanceA!C22</f>
        <v>0</v>
      </c>
      <c r="E2478" s="434"/>
      <c r="F2478" s="434"/>
      <c r="G2478" s="434"/>
      <c r="H2478" s="434"/>
      <c r="I2478" s="434"/>
      <c r="J2478" s="449"/>
      <c r="K2478" s="292"/>
      <c r="L2478" s="350"/>
      <c r="M2478" s="350"/>
      <c r="N2478" s="292"/>
      <c r="O2478" s="408">
        <f>TrialBalanceA!I22</f>
        <v>0</v>
      </c>
      <c r="P2478" s="295"/>
      <c r="R2478" s="348" t="str">
        <f t="shared" si="195"/>
        <v>DELETE</v>
      </c>
      <c r="T2478" s="334"/>
    </row>
    <row r="2479" spans="3:22" ht="36" customHeight="1" x14ac:dyDescent="0.45">
      <c r="C2479" s="397"/>
      <c r="D2479" s="434" t="s">
        <v>493</v>
      </c>
      <c r="E2479" s="434"/>
      <c r="F2479" s="434"/>
      <c r="G2479" s="434"/>
      <c r="H2479" s="434"/>
      <c r="I2479" s="434"/>
      <c r="J2479" s="449"/>
      <c r="K2479" s="292"/>
      <c r="L2479" s="350"/>
      <c r="M2479" s="350"/>
      <c r="N2479" s="292"/>
      <c r="O2479" s="408">
        <f>SUM(TrialBalanceA!I23:I26)</f>
        <v>0</v>
      </c>
      <c r="P2479" s="295"/>
      <c r="R2479" s="348" t="str">
        <f t="shared" si="195"/>
        <v>DELETE</v>
      </c>
      <c r="T2479" s="334"/>
    </row>
    <row r="2480" spans="3:22" ht="9" customHeight="1" x14ac:dyDescent="0.45">
      <c r="C2480" s="397"/>
      <c r="D2480" s="434"/>
      <c r="E2480" s="434"/>
      <c r="F2480" s="434"/>
      <c r="G2480" s="434"/>
      <c r="H2480" s="434"/>
      <c r="I2480" s="434"/>
      <c r="J2480" s="449"/>
      <c r="K2480" s="292"/>
      <c r="L2480" s="350"/>
      <c r="M2480" s="350"/>
      <c r="N2480" s="292"/>
      <c r="O2480" s="409"/>
      <c r="P2480" s="295"/>
      <c r="R2480" s="348" t="str">
        <f>R2469</f>
        <v>DELETE</v>
      </c>
      <c r="T2480" s="334"/>
    </row>
    <row r="2481" spans="3:22" ht="9" customHeight="1" x14ac:dyDescent="0.45">
      <c r="C2481" s="397"/>
      <c r="D2481" s="434"/>
      <c r="E2481" s="434"/>
      <c r="F2481" s="434"/>
      <c r="G2481" s="434"/>
      <c r="H2481" s="434"/>
      <c r="I2481" s="434"/>
      <c r="J2481" s="449"/>
      <c r="K2481" s="292"/>
      <c r="L2481" s="350"/>
      <c r="M2481" s="350"/>
      <c r="N2481" s="292"/>
      <c r="O2481" s="298"/>
      <c r="P2481" s="295"/>
      <c r="R2481" s="348" t="str">
        <f>R2469</f>
        <v>DELETE</v>
      </c>
      <c r="T2481" s="334"/>
    </row>
    <row r="2482" spans="3:22" ht="9" customHeight="1" x14ac:dyDescent="0.45">
      <c r="C2482" s="397"/>
      <c r="D2482" s="434"/>
      <c r="E2482" s="434"/>
      <c r="F2482" s="434"/>
      <c r="G2482" s="434"/>
      <c r="H2482" s="434"/>
      <c r="I2482" s="434"/>
      <c r="J2482" s="449"/>
      <c r="K2482" s="292"/>
      <c r="L2482" s="350"/>
      <c r="M2482" s="350"/>
      <c r="N2482" s="292"/>
      <c r="O2482" s="296"/>
      <c r="P2482" s="295"/>
      <c r="R2482" s="348" t="str">
        <f>R2481</f>
        <v>DELETE</v>
      </c>
      <c r="T2482" s="334"/>
    </row>
    <row r="2483" spans="3:22" ht="36" customHeight="1" x14ac:dyDescent="0.45">
      <c r="D2483" s="446" t="str">
        <f>IF(O2483&lt;0,"Gross loss","Gross profit")</f>
        <v>Gross profit</v>
      </c>
      <c r="E2483" s="434"/>
      <c r="F2483" s="434"/>
      <c r="G2483" s="434"/>
      <c r="H2483" s="434"/>
      <c r="I2483" s="434"/>
      <c r="J2483" s="449"/>
      <c r="K2483" s="292"/>
      <c r="L2483" s="350"/>
      <c r="M2483" s="350"/>
      <c r="N2483" s="292"/>
      <c r="O2483" s="296">
        <f>SUM(S2465:S2480)</f>
        <v>0</v>
      </c>
      <c r="P2483" s="295"/>
      <c r="R2483" s="348" t="str">
        <f>R2482</f>
        <v>DELETE</v>
      </c>
      <c r="T2483" s="334"/>
    </row>
    <row r="2484" spans="3:22" ht="36" customHeight="1" x14ac:dyDescent="0.45">
      <c r="C2484" s="397"/>
      <c r="D2484" s="434"/>
      <c r="E2484" s="434"/>
      <c r="F2484" s="434"/>
      <c r="G2484" s="434"/>
      <c r="H2484" s="434"/>
      <c r="I2484" s="434"/>
      <c r="J2484" s="449"/>
      <c r="K2484" s="292"/>
      <c r="L2484" s="350"/>
      <c r="M2484" s="350"/>
      <c r="N2484" s="292"/>
      <c r="O2484" s="296"/>
      <c r="P2484" s="295"/>
      <c r="R2484" s="348" t="str">
        <f>R2483</f>
        <v>DELETE</v>
      </c>
      <c r="T2484" s="334"/>
    </row>
    <row r="2485" spans="3:22" ht="36" customHeight="1" x14ac:dyDescent="0.45">
      <c r="D2485" s="433" t="s">
        <v>1037</v>
      </c>
      <c r="E2485" s="434"/>
      <c r="F2485" s="434"/>
      <c r="G2485" s="434"/>
      <c r="H2485" s="434"/>
      <c r="I2485" s="434"/>
      <c r="J2485" s="449"/>
      <c r="K2485" s="292"/>
      <c r="L2485" s="350"/>
      <c r="M2485" s="350"/>
      <c r="N2485" s="292"/>
      <c r="O2485" s="296">
        <f>SUM(O2487:O2494)</f>
        <v>0</v>
      </c>
      <c r="P2485" s="295"/>
      <c r="R2485" s="348" t="str">
        <f t="shared" ref="R2485" si="196">IF(R$2453="DELETE","DELETE",IF(O2485=0,"DELETE"," "))</f>
        <v>DELETE</v>
      </c>
      <c r="S2485" s="333">
        <f>O2485</f>
        <v>0</v>
      </c>
      <c r="T2485" s="334"/>
      <c r="U2485" s="333"/>
      <c r="V2485" s="333"/>
    </row>
    <row r="2486" spans="3:22" ht="9" customHeight="1" x14ac:dyDescent="0.45">
      <c r="C2486" s="397"/>
      <c r="D2486" s="434"/>
      <c r="E2486" s="434"/>
      <c r="F2486" s="434"/>
      <c r="G2486" s="434"/>
      <c r="H2486" s="434"/>
      <c r="I2486" s="434"/>
      <c r="J2486" s="449"/>
      <c r="K2486" s="292"/>
      <c r="L2486" s="350"/>
      <c r="M2486" s="350"/>
      <c r="N2486" s="292"/>
      <c r="O2486" s="296"/>
      <c r="P2486" s="295"/>
      <c r="R2486" s="348" t="str">
        <f>R2485</f>
        <v>DELETE</v>
      </c>
      <c r="T2486" s="334"/>
    </row>
    <row r="2487" spans="3:22" ht="9" customHeight="1" x14ac:dyDescent="0.45">
      <c r="C2487" s="397"/>
      <c r="D2487" s="434"/>
      <c r="E2487" s="434"/>
      <c r="F2487" s="434"/>
      <c r="G2487" s="434"/>
      <c r="H2487" s="434"/>
      <c r="I2487" s="434"/>
      <c r="J2487" s="449"/>
      <c r="K2487" s="292"/>
      <c r="L2487" s="350"/>
      <c r="M2487" s="350"/>
      <c r="N2487" s="292"/>
      <c r="O2487" s="407"/>
      <c r="P2487" s="295"/>
      <c r="R2487" s="348" t="str">
        <f>R2485</f>
        <v>DELETE</v>
      </c>
      <c r="T2487" s="334"/>
    </row>
    <row r="2488" spans="3:22" ht="36" customHeight="1" x14ac:dyDescent="0.45">
      <c r="C2488" s="397"/>
      <c r="D2488" s="434" t="str">
        <f>TrialBalanceA!C28</f>
        <v>Insurance claims - Subsidiary One 111 (Pty) Ltd</v>
      </c>
      <c r="E2488" s="434"/>
      <c r="F2488" s="434"/>
      <c r="G2488" s="434"/>
      <c r="H2488" s="434"/>
      <c r="I2488" s="434"/>
      <c r="J2488" s="449"/>
      <c r="K2488" s="292"/>
      <c r="L2488" s="350"/>
      <c r="M2488" s="350"/>
      <c r="N2488" s="292"/>
      <c r="O2488" s="408">
        <f>-TrialBalanceA!I28</f>
        <v>0</v>
      </c>
      <c r="P2488" s="295"/>
      <c r="R2488" s="348" t="str">
        <f t="shared" ref="R2488:R2492" si="197">IF(R$2453="DELETE","DELETE",IF(O2488=0,"DELETE"," "))</f>
        <v>DELETE</v>
      </c>
      <c r="T2488" s="334"/>
    </row>
    <row r="2489" spans="3:22" ht="36" customHeight="1" x14ac:dyDescent="0.45">
      <c r="C2489" s="397"/>
      <c r="D2489" s="434" t="str">
        <f>TrialBalanceA!C29</f>
        <v>Government grants received</v>
      </c>
      <c r="E2489" s="434"/>
      <c r="F2489" s="434"/>
      <c r="G2489" s="434"/>
      <c r="H2489" s="434"/>
      <c r="I2489" s="434"/>
      <c r="J2489" s="449"/>
      <c r="K2489" s="292"/>
      <c r="L2489" s="350"/>
      <c r="M2489" s="350"/>
      <c r="N2489" s="292"/>
      <c r="O2489" s="408">
        <f>-TrialBalanceA!I29</f>
        <v>0</v>
      </c>
      <c r="P2489" s="295"/>
      <c r="R2489" s="348" t="str">
        <f t="shared" si="197"/>
        <v>DELETE</v>
      </c>
      <c r="T2489" s="334"/>
    </row>
    <row r="2490" spans="3:22" ht="36" customHeight="1" x14ac:dyDescent="0.45">
      <c r="C2490" s="397"/>
      <c r="D2490" s="434">
        <f>TrialBalanceA!C30</f>
        <v>0</v>
      </c>
      <c r="E2490" s="434"/>
      <c r="F2490" s="434"/>
      <c r="G2490" s="434"/>
      <c r="H2490" s="434"/>
      <c r="I2490" s="434"/>
      <c r="J2490" s="449"/>
      <c r="K2490" s="292"/>
      <c r="L2490" s="350"/>
      <c r="M2490" s="350"/>
      <c r="N2490" s="292"/>
      <c r="O2490" s="408">
        <f>-TrialBalanceA!I30</f>
        <v>0</v>
      </c>
      <c r="P2490" s="295"/>
      <c r="R2490" s="348" t="str">
        <f t="shared" si="197"/>
        <v>DELETE</v>
      </c>
      <c r="T2490" s="334"/>
    </row>
    <row r="2491" spans="3:22" ht="36" customHeight="1" x14ac:dyDescent="0.45">
      <c r="C2491" s="397"/>
      <c r="D2491" s="434">
        <f>TrialBalanceA!C31</f>
        <v>0</v>
      </c>
      <c r="E2491" s="434"/>
      <c r="F2491" s="434"/>
      <c r="G2491" s="434"/>
      <c r="H2491" s="434"/>
      <c r="I2491" s="434"/>
      <c r="J2491" s="449"/>
      <c r="K2491" s="292"/>
      <c r="L2491" s="350"/>
      <c r="M2491" s="350"/>
      <c r="N2491" s="292"/>
      <c r="O2491" s="408">
        <f>-TrialBalanceA!I31</f>
        <v>0</v>
      </c>
      <c r="P2491" s="295"/>
      <c r="R2491" s="348" t="str">
        <f t="shared" si="197"/>
        <v>DELETE</v>
      </c>
      <c r="T2491" s="334"/>
    </row>
    <row r="2492" spans="3:22" ht="36" customHeight="1" x14ac:dyDescent="0.45">
      <c r="C2492" s="397"/>
      <c r="D2492" s="434">
        <f>TrialBalanceA!C32</f>
        <v>0</v>
      </c>
      <c r="E2492" s="434"/>
      <c r="F2492" s="434"/>
      <c r="G2492" s="434"/>
      <c r="H2492" s="434"/>
      <c r="I2492" s="434"/>
      <c r="J2492" s="449"/>
      <c r="K2492" s="292"/>
      <c r="L2492" s="350"/>
      <c r="M2492" s="350"/>
      <c r="N2492" s="292"/>
      <c r="O2492" s="408">
        <f>-TrialBalanceA!I32</f>
        <v>0</v>
      </c>
      <c r="P2492" s="295"/>
      <c r="R2492" s="348" t="str">
        <f t="shared" si="197"/>
        <v>DELETE</v>
      </c>
      <c r="T2492" s="334"/>
    </row>
    <row r="2493" spans="3:22" ht="36" customHeight="1" x14ac:dyDescent="0.45">
      <c r="C2493" s="397"/>
      <c r="D2493" s="434" t="str">
        <f>TrialBalanceA!C33</f>
        <v>Recoupment of depreciation</v>
      </c>
      <c r="E2493" s="434"/>
      <c r="F2493" s="434"/>
      <c r="G2493" s="434"/>
      <c r="H2493" s="434"/>
      <c r="I2493" s="434"/>
      <c r="J2493" s="449"/>
      <c r="K2493" s="292"/>
      <c r="L2493" s="350"/>
      <c r="M2493" s="350"/>
      <c r="N2493" s="292"/>
      <c r="O2493" s="408">
        <f>-TrialBalanceA!I33</f>
        <v>0</v>
      </c>
      <c r="P2493" s="295"/>
      <c r="R2493" s="348" t="str">
        <f t="shared" ref="R2493" si="198">IF(R$2453="DELETE","DELETE",IF(O2493=0,"DELETE"," "))</f>
        <v>DELETE</v>
      </c>
      <c r="T2493" s="334"/>
    </row>
    <row r="2494" spans="3:22" ht="9" customHeight="1" x14ac:dyDescent="0.45">
      <c r="C2494" s="397"/>
      <c r="D2494" s="434"/>
      <c r="E2494" s="434"/>
      <c r="F2494" s="434"/>
      <c r="G2494" s="434"/>
      <c r="H2494" s="434"/>
      <c r="I2494" s="434"/>
      <c r="J2494" s="449"/>
      <c r="K2494" s="292"/>
      <c r="L2494" s="350"/>
      <c r="M2494" s="350"/>
      <c r="N2494" s="292"/>
      <c r="O2494" s="409"/>
      <c r="P2494" s="295"/>
      <c r="R2494" s="348" t="str">
        <f>R2485</f>
        <v>DELETE</v>
      </c>
      <c r="T2494" s="334"/>
    </row>
    <row r="2495" spans="3:22" ht="9" customHeight="1" x14ac:dyDescent="0.45">
      <c r="C2495" s="397"/>
      <c r="D2495" s="434"/>
      <c r="E2495" s="434"/>
      <c r="F2495" s="434"/>
      <c r="G2495" s="434"/>
      <c r="H2495" s="434"/>
      <c r="I2495" s="434"/>
      <c r="J2495" s="449"/>
      <c r="K2495" s="292"/>
      <c r="L2495" s="350"/>
      <c r="M2495" s="350"/>
      <c r="N2495" s="292"/>
      <c r="O2495" s="314"/>
      <c r="P2495" s="295"/>
      <c r="R2495" s="348" t="str">
        <f>R2494</f>
        <v>DELETE</v>
      </c>
      <c r="T2495" s="334"/>
    </row>
    <row r="2496" spans="3:22" ht="9" customHeight="1" x14ac:dyDescent="0.45">
      <c r="C2496" s="397"/>
      <c r="D2496" s="434"/>
      <c r="E2496" s="434"/>
      <c r="F2496" s="434"/>
      <c r="G2496" s="434"/>
      <c r="H2496" s="434"/>
      <c r="I2496" s="434"/>
      <c r="J2496" s="449"/>
      <c r="K2496" s="292"/>
      <c r="L2496" s="350"/>
      <c r="M2496" s="350"/>
      <c r="N2496" s="292"/>
      <c r="O2496" s="296"/>
      <c r="P2496" s="295"/>
      <c r="R2496" s="348" t="str">
        <f>R2495</f>
        <v>DELETE</v>
      </c>
      <c r="T2496" s="334"/>
    </row>
    <row r="2497" spans="3:22" ht="36" customHeight="1" x14ac:dyDescent="0.45">
      <c r="C2497" s="397"/>
      <c r="D2497" s="434"/>
      <c r="E2497" s="434"/>
      <c r="F2497" s="434"/>
      <c r="G2497" s="434"/>
      <c r="H2497" s="434"/>
      <c r="I2497" s="434"/>
      <c r="J2497" s="449"/>
      <c r="K2497" s="292"/>
      <c r="L2497" s="350"/>
      <c r="M2497" s="350"/>
      <c r="N2497" s="292"/>
      <c r="O2497" s="296">
        <f>SUM(S2465:S2485)</f>
        <v>0</v>
      </c>
      <c r="P2497" s="295"/>
      <c r="R2497" s="348" t="str">
        <f>R2485</f>
        <v>DELETE</v>
      </c>
      <c r="T2497" s="334"/>
    </row>
    <row r="2498" spans="3:22" ht="36" customHeight="1" x14ac:dyDescent="0.45">
      <c r="C2498" s="397"/>
      <c r="D2498" s="434"/>
      <c r="E2498" s="434"/>
      <c r="F2498" s="434"/>
      <c r="G2498" s="434"/>
      <c r="H2498" s="434"/>
      <c r="I2498" s="434"/>
      <c r="J2498" s="449"/>
      <c r="K2498" s="292"/>
      <c r="L2498" s="350"/>
      <c r="M2498" s="350"/>
      <c r="N2498" s="292"/>
      <c r="O2498" s="296"/>
      <c r="P2498" s="295"/>
      <c r="R2498" s="348" t="str">
        <f>R2497</f>
        <v>DELETE</v>
      </c>
      <c r="T2498" s="334"/>
    </row>
    <row r="2499" spans="3:22" ht="36" customHeight="1" x14ac:dyDescent="0.45">
      <c r="D2499" s="433" t="s">
        <v>1075</v>
      </c>
      <c r="E2499" s="434"/>
      <c r="F2499" s="434"/>
      <c r="G2499" s="434"/>
      <c r="H2499" s="434"/>
      <c r="I2499" s="434"/>
      <c r="J2499" s="449"/>
      <c r="K2499" s="292"/>
      <c r="L2499" s="350"/>
      <c r="M2499" s="350"/>
      <c r="N2499" s="292"/>
      <c r="O2499" s="296">
        <f>SUM(O2501:O2530)</f>
        <v>0</v>
      </c>
      <c r="P2499" s="295"/>
      <c r="R2499" s="348" t="str">
        <f t="shared" ref="R2499" si="199">IF(R$2453="DELETE","DELETE",IF(O2499=0,"DELETE"," "))</f>
        <v>DELETE</v>
      </c>
      <c r="S2499" s="333">
        <f>-O2499</f>
        <v>0</v>
      </c>
      <c r="T2499" s="334"/>
      <c r="U2499" s="333"/>
      <c r="V2499" s="333"/>
    </row>
    <row r="2500" spans="3:22" ht="9" customHeight="1" x14ac:dyDescent="0.45">
      <c r="C2500" s="397"/>
      <c r="D2500" s="434"/>
      <c r="E2500" s="434"/>
      <c r="F2500" s="434"/>
      <c r="G2500" s="434"/>
      <c r="H2500" s="434"/>
      <c r="I2500" s="434"/>
      <c r="J2500" s="449"/>
      <c r="K2500" s="292"/>
      <c r="L2500" s="350"/>
      <c r="M2500" s="350"/>
      <c r="N2500" s="292"/>
      <c r="O2500" s="296"/>
      <c r="P2500" s="295"/>
      <c r="R2500" s="348" t="str">
        <f>R2499</f>
        <v>DELETE</v>
      </c>
      <c r="T2500" s="334"/>
    </row>
    <row r="2501" spans="3:22" ht="9" customHeight="1" x14ac:dyDescent="0.45">
      <c r="C2501" s="397"/>
      <c r="D2501" s="434"/>
      <c r="E2501" s="434"/>
      <c r="F2501" s="434"/>
      <c r="G2501" s="434"/>
      <c r="H2501" s="434"/>
      <c r="I2501" s="434"/>
      <c r="J2501" s="449"/>
      <c r="K2501" s="292"/>
      <c r="L2501" s="350"/>
      <c r="M2501" s="350"/>
      <c r="N2501" s="292"/>
      <c r="O2501" s="407"/>
      <c r="P2501" s="295"/>
      <c r="R2501" s="348" t="str">
        <f>R2500</f>
        <v>DELETE</v>
      </c>
      <c r="T2501" s="334"/>
    </row>
    <row r="2502" spans="3:22" ht="36" customHeight="1" x14ac:dyDescent="0.45">
      <c r="C2502" s="397"/>
      <c r="D2502" s="434" t="s">
        <v>250</v>
      </c>
      <c r="E2502" s="434"/>
      <c r="F2502" s="434"/>
      <c r="G2502" s="434"/>
      <c r="H2502" s="434"/>
      <c r="I2502" s="434"/>
      <c r="J2502" s="449"/>
      <c r="K2502" s="292"/>
      <c r="L2502" s="350"/>
      <c r="M2502" s="350"/>
      <c r="N2502" s="292"/>
      <c r="O2502" s="408">
        <f>TrialBalanceA!I40</f>
        <v>0</v>
      </c>
      <c r="P2502" s="295"/>
      <c r="R2502" s="348" t="str">
        <f t="shared" ref="R2502:R2529" si="200">IF(R$2453="DELETE","DELETE",IF(O2502=0,"DELETE"," "))</f>
        <v>DELETE</v>
      </c>
      <c r="T2502" s="334"/>
    </row>
    <row r="2503" spans="3:22" ht="36" customHeight="1" x14ac:dyDescent="0.45">
      <c r="C2503" s="397"/>
      <c r="D2503" s="434" t="s">
        <v>658</v>
      </c>
      <c r="E2503" s="434"/>
      <c r="F2503" s="434"/>
      <c r="G2503" s="434"/>
      <c r="H2503" s="434"/>
      <c r="I2503" s="434"/>
      <c r="J2503" s="449"/>
      <c r="K2503" s="292"/>
      <c r="L2503" s="350"/>
      <c r="M2503" s="350"/>
      <c r="N2503" s="292"/>
      <c r="O2503" s="408">
        <f>TrialBalanceA!I41</f>
        <v>0</v>
      </c>
      <c r="P2503" s="295"/>
      <c r="R2503" s="348" t="str">
        <f t="shared" si="200"/>
        <v>DELETE</v>
      </c>
      <c r="T2503" s="334"/>
    </row>
    <row r="2504" spans="3:22" ht="36" customHeight="1" x14ac:dyDescent="0.45">
      <c r="C2504" s="397"/>
      <c r="D2504" s="434" t="s">
        <v>251</v>
      </c>
      <c r="E2504" s="434"/>
      <c r="F2504" s="434"/>
      <c r="G2504" s="434"/>
      <c r="H2504" s="434"/>
      <c r="I2504" s="434"/>
      <c r="J2504" s="449"/>
      <c r="K2504" s="292"/>
      <c r="L2504" s="350"/>
      <c r="M2504" s="350"/>
      <c r="N2504" s="292"/>
      <c r="O2504" s="408">
        <f>TrialBalanceA!I42</f>
        <v>0</v>
      </c>
      <c r="P2504" s="295"/>
      <c r="R2504" s="348" t="str">
        <f t="shared" si="200"/>
        <v>DELETE</v>
      </c>
      <c r="T2504" s="334"/>
    </row>
    <row r="2505" spans="3:22" ht="36" customHeight="1" x14ac:dyDescent="0.45">
      <c r="C2505" s="397"/>
      <c r="D2505" s="434" t="s">
        <v>252</v>
      </c>
      <c r="E2505" s="434"/>
      <c r="F2505" s="434"/>
      <c r="G2505" s="434"/>
      <c r="H2505" s="434"/>
      <c r="I2505" s="434"/>
      <c r="J2505" s="449"/>
      <c r="K2505" s="292">
        <f>B$958</f>
        <v>5</v>
      </c>
      <c r="L2505" s="350"/>
      <c r="M2505" s="350"/>
      <c r="N2505" s="292"/>
      <c r="O2505" s="408">
        <f>SUM(TrialBalanceA!I44:I46)</f>
        <v>0</v>
      </c>
      <c r="P2505" s="295"/>
      <c r="R2505" s="348" t="str">
        <f t="shared" si="200"/>
        <v>DELETE</v>
      </c>
      <c r="T2505" s="334"/>
    </row>
    <row r="2506" spans="3:22" ht="36" customHeight="1" x14ac:dyDescent="0.45">
      <c r="C2506" s="397"/>
      <c r="D2506" s="434" t="s">
        <v>494</v>
      </c>
      <c r="E2506" s="434"/>
      <c r="F2506" s="434"/>
      <c r="G2506" s="434"/>
      <c r="H2506" s="434"/>
      <c r="I2506" s="434"/>
      <c r="J2506" s="449"/>
      <c r="K2506" s="292"/>
      <c r="L2506" s="350"/>
      <c r="M2506" s="350"/>
      <c r="N2506" s="292"/>
      <c r="O2506" s="408">
        <f>TrialBalanceA!I47</f>
        <v>0</v>
      </c>
      <c r="P2506" s="295"/>
      <c r="R2506" s="348" t="str">
        <f t="shared" si="200"/>
        <v>DELETE</v>
      </c>
      <c r="S2506" s="336"/>
      <c r="T2506" s="334"/>
      <c r="U2506" s="336"/>
      <c r="V2506" s="336"/>
    </row>
    <row r="2507" spans="3:22" ht="36" customHeight="1" x14ac:dyDescent="0.45">
      <c r="C2507" s="397"/>
      <c r="D2507" s="434" t="s">
        <v>678</v>
      </c>
      <c r="E2507" s="434"/>
      <c r="F2507" s="434"/>
      <c r="G2507" s="434"/>
      <c r="H2507" s="434"/>
      <c r="I2507" s="434"/>
      <c r="J2507" s="449"/>
      <c r="K2507" s="292"/>
      <c r="L2507" s="350"/>
      <c r="M2507" s="350"/>
      <c r="N2507" s="292"/>
      <c r="O2507" s="408">
        <f>TrialBalanceA!I48</f>
        <v>0</v>
      </c>
      <c r="P2507" s="295"/>
      <c r="R2507" s="348" t="str">
        <f t="shared" si="200"/>
        <v>DELETE</v>
      </c>
      <c r="T2507" s="334"/>
    </row>
    <row r="2508" spans="3:22" ht="36" customHeight="1" x14ac:dyDescent="0.45">
      <c r="C2508" s="397"/>
      <c r="D2508" s="434" t="s">
        <v>54</v>
      </c>
      <c r="E2508" s="434"/>
      <c r="F2508" s="434"/>
      <c r="G2508" s="434"/>
      <c r="H2508" s="434"/>
      <c r="I2508" s="434"/>
      <c r="J2508" s="449"/>
      <c r="K2508" s="292"/>
      <c r="L2508" s="350"/>
      <c r="M2508" s="350"/>
      <c r="N2508" s="292"/>
      <c r="O2508" s="408">
        <f>TrialBalanceA!I49</f>
        <v>0</v>
      </c>
      <c r="P2508" s="295"/>
      <c r="R2508" s="348" t="str">
        <f t="shared" si="200"/>
        <v>DELETE</v>
      </c>
      <c r="T2508" s="334"/>
    </row>
    <row r="2509" spans="3:22" ht="36" customHeight="1" x14ac:dyDescent="0.45">
      <c r="C2509" s="397"/>
      <c r="D2509" s="434" t="s">
        <v>253</v>
      </c>
      <c r="E2509" s="434"/>
      <c r="F2509" s="434"/>
      <c r="G2509" s="434"/>
      <c r="H2509" s="434"/>
      <c r="I2509" s="434"/>
      <c r="J2509" s="449"/>
      <c r="K2509" s="292"/>
      <c r="L2509" s="350"/>
      <c r="M2509" s="350"/>
      <c r="N2509" s="292"/>
      <c r="O2509" s="408">
        <f>TrialBalanceA!I50</f>
        <v>0</v>
      </c>
      <c r="P2509" s="295"/>
      <c r="R2509" s="348" t="str">
        <f t="shared" si="200"/>
        <v>DELETE</v>
      </c>
      <c r="T2509" s="334"/>
    </row>
    <row r="2510" spans="3:22" ht="36" customHeight="1" x14ac:dyDescent="0.45">
      <c r="C2510" s="397"/>
      <c r="D2510" s="434" t="s">
        <v>511</v>
      </c>
      <c r="E2510" s="434"/>
      <c r="F2510" s="434"/>
      <c r="G2510" s="434"/>
      <c r="H2510" s="434"/>
      <c r="I2510" s="434"/>
      <c r="J2510" s="449"/>
      <c r="K2510" s="292"/>
      <c r="L2510" s="350"/>
      <c r="M2510" s="350"/>
      <c r="N2510" s="292"/>
      <c r="O2510" s="408">
        <f>SUM(TrialBalanceA!I51:I52)</f>
        <v>0</v>
      </c>
      <c r="P2510" s="295"/>
      <c r="R2510" s="348" t="str">
        <f t="shared" si="200"/>
        <v>DELETE</v>
      </c>
      <c r="T2510" s="334"/>
    </row>
    <row r="2511" spans="3:22" ht="36" customHeight="1" x14ac:dyDescent="0.45">
      <c r="C2511" s="397"/>
      <c r="D2511" s="434" t="s">
        <v>510</v>
      </c>
      <c r="E2511" s="434"/>
      <c r="F2511" s="434"/>
      <c r="G2511" s="434"/>
      <c r="H2511" s="434"/>
      <c r="I2511" s="434"/>
      <c r="J2511" s="449"/>
      <c r="K2511" s="292"/>
      <c r="L2511" s="350"/>
      <c r="M2511" s="350"/>
      <c r="N2511" s="292"/>
      <c r="O2511" s="408">
        <f>TrialBalanceA!I53</f>
        <v>0</v>
      </c>
      <c r="P2511" s="295"/>
      <c r="R2511" s="348" t="str">
        <f t="shared" si="200"/>
        <v>DELETE</v>
      </c>
      <c r="T2511" s="334"/>
    </row>
    <row r="2512" spans="3:22" ht="36" customHeight="1" x14ac:dyDescent="0.45">
      <c r="C2512" s="397"/>
      <c r="D2512" s="434" t="s">
        <v>495</v>
      </c>
      <c r="E2512" s="434"/>
      <c r="F2512" s="434"/>
      <c r="G2512" s="434"/>
      <c r="H2512" s="434"/>
      <c r="I2512" s="434"/>
      <c r="J2512" s="449"/>
      <c r="K2512" s="292"/>
      <c r="L2512" s="350"/>
      <c r="M2512" s="350"/>
      <c r="N2512" s="292"/>
      <c r="O2512" s="408">
        <f>SUM(TrialBalanceA!I55:I59)</f>
        <v>0</v>
      </c>
      <c r="P2512" s="295"/>
      <c r="R2512" s="348" t="str">
        <f t="shared" si="200"/>
        <v>DELETE</v>
      </c>
      <c r="T2512" s="334"/>
    </row>
    <row r="2513" spans="3:20" ht="36" customHeight="1" x14ac:dyDescent="0.45">
      <c r="C2513" s="397"/>
      <c r="D2513" s="434" t="s">
        <v>479</v>
      </c>
      <c r="E2513" s="434"/>
      <c r="F2513" s="434"/>
      <c r="G2513" s="434"/>
      <c r="H2513" s="434"/>
      <c r="I2513" s="434"/>
      <c r="J2513" s="449"/>
      <c r="K2513" s="292">
        <f>B$958</f>
        <v>5</v>
      </c>
      <c r="L2513" s="350"/>
      <c r="M2513" s="350"/>
      <c r="N2513" s="292"/>
      <c r="O2513" s="408">
        <f>SUM(TrialBalanceA!I61:I63)</f>
        <v>0</v>
      </c>
      <c r="P2513" s="295"/>
      <c r="R2513" s="348" t="str">
        <f t="shared" si="200"/>
        <v>DELETE</v>
      </c>
      <c r="T2513" s="334"/>
    </row>
    <row r="2514" spans="3:20" ht="36" customHeight="1" x14ac:dyDescent="0.45">
      <c r="C2514" s="397"/>
      <c r="D2514" s="434" t="s">
        <v>57</v>
      </c>
      <c r="E2514" s="434"/>
      <c r="F2514" s="434"/>
      <c r="G2514" s="434"/>
      <c r="H2514" s="434"/>
      <c r="I2514" s="434"/>
      <c r="J2514" s="449"/>
      <c r="K2514" s="292"/>
      <c r="L2514" s="350"/>
      <c r="M2514" s="350"/>
      <c r="N2514" s="292"/>
      <c r="O2514" s="408">
        <f>TrialBalanceA!I64</f>
        <v>0</v>
      </c>
      <c r="P2514" s="295"/>
      <c r="R2514" s="348" t="str">
        <f t="shared" si="200"/>
        <v>DELETE</v>
      </c>
      <c r="T2514" s="334"/>
    </row>
    <row r="2515" spans="3:20" ht="36" customHeight="1" x14ac:dyDescent="0.45">
      <c r="C2515" s="397"/>
      <c r="D2515" s="434" t="s">
        <v>1210</v>
      </c>
      <c r="E2515" s="434"/>
      <c r="F2515" s="434"/>
      <c r="G2515" s="434"/>
      <c r="H2515" s="434"/>
      <c r="I2515" s="434"/>
      <c r="J2515" s="449"/>
      <c r="K2515" s="292"/>
      <c r="L2515" s="350"/>
      <c r="M2515" s="350"/>
      <c r="N2515" s="292"/>
      <c r="O2515" s="408">
        <f>TrialBalanceA!I65</f>
        <v>0</v>
      </c>
      <c r="P2515" s="295"/>
      <c r="R2515" s="348" t="str">
        <f t="shared" ref="R2515" si="201">IF(R$2453="DELETE","DELETE",IF(O2515=0,"DELETE"," "))</f>
        <v>DELETE</v>
      </c>
      <c r="T2515" s="334"/>
    </row>
    <row r="2516" spans="3:20" ht="36" customHeight="1" x14ac:dyDescent="0.45">
      <c r="C2516" s="397"/>
      <c r="D2516" s="434" t="s">
        <v>235</v>
      </c>
      <c r="E2516" s="434"/>
      <c r="F2516" s="434"/>
      <c r="G2516" s="434"/>
      <c r="H2516" s="434"/>
      <c r="I2516" s="434"/>
      <c r="J2516" s="449"/>
      <c r="K2516" s="292"/>
      <c r="L2516" s="350"/>
      <c r="M2516" s="350"/>
      <c r="N2516" s="292"/>
      <c r="O2516" s="408">
        <f>SUM(TrialBalanceA!I66:I68)</f>
        <v>0</v>
      </c>
      <c r="P2516" s="295"/>
      <c r="R2516" s="348" t="str">
        <f t="shared" si="200"/>
        <v>DELETE</v>
      </c>
      <c r="T2516" s="334"/>
    </row>
    <row r="2517" spans="3:20" ht="36" customHeight="1" x14ac:dyDescent="0.45">
      <c r="C2517" s="397"/>
      <c r="D2517" s="434" t="s">
        <v>679</v>
      </c>
      <c r="E2517" s="434"/>
      <c r="F2517" s="434"/>
      <c r="G2517" s="434"/>
      <c r="H2517" s="434"/>
      <c r="I2517" s="434"/>
      <c r="J2517" s="449"/>
      <c r="K2517" s="292"/>
      <c r="L2517" s="350"/>
      <c r="M2517" s="350"/>
      <c r="N2517" s="292"/>
      <c r="O2517" s="408">
        <f>SUM(TrialBalanceA!I69:I70)</f>
        <v>0</v>
      </c>
      <c r="P2517" s="295"/>
      <c r="R2517" s="348" t="str">
        <f t="shared" si="200"/>
        <v>DELETE</v>
      </c>
      <c r="T2517" s="334"/>
    </row>
    <row r="2518" spans="3:20" ht="36" customHeight="1" x14ac:dyDescent="0.45">
      <c r="C2518" s="397"/>
      <c r="D2518" s="434" t="s">
        <v>236</v>
      </c>
      <c r="E2518" s="434"/>
      <c r="F2518" s="434"/>
      <c r="G2518" s="434"/>
      <c r="H2518" s="434"/>
      <c r="I2518" s="434"/>
      <c r="J2518" s="449"/>
      <c r="K2518" s="292"/>
      <c r="L2518" s="350"/>
      <c r="M2518" s="350"/>
      <c r="N2518" s="292"/>
      <c r="O2518" s="408">
        <f>TrialBalanceA!I71</f>
        <v>0</v>
      </c>
      <c r="P2518" s="295"/>
      <c r="R2518" s="348" t="str">
        <f t="shared" si="200"/>
        <v>DELETE</v>
      </c>
      <c r="T2518" s="334"/>
    </row>
    <row r="2519" spans="3:20" ht="36" customHeight="1" x14ac:dyDescent="0.45">
      <c r="C2519" s="397"/>
      <c r="D2519" s="434" t="s">
        <v>361</v>
      </c>
      <c r="E2519" s="434"/>
      <c r="F2519" s="434"/>
      <c r="G2519" s="434"/>
      <c r="H2519" s="434"/>
      <c r="I2519" s="434"/>
      <c r="J2519" s="449"/>
      <c r="K2519" s="292"/>
      <c r="L2519" s="350"/>
      <c r="M2519" s="350"/>
      <c r="N2519" s="292"/>
      <c r="O2519" s="408">
        <f>TrialBalanceA!I72</f>
        <v>0</v>
      </c>
      <c r="P2519" s="295"/>
      <c r="R2519" s="348" t="str">
        <f t="shared" si="200"/>
        <v>DELETE</v>
      </c>
      <c r="T2519" s="334"/>
    </row>
    <row r="2520" spans="3:20" ht="36" customHeight="1" x14ac:dyDescent="0.45">
      <c r="C2520" s="397"/>
      <c r="D2520" s="434">
        <f>TrialBalanceA!C73</f>
        <v>0</v>
      </c>
      <c r="E2520" s="434"/>
      <c r="F2520" s="434"/>
      <c r="G2520" s="434"/>
      <c r="H2520" s="434"/>
      <c r="I2520" s="434"/>
      <c r="J2520" s="449"/>
      <c r="K2520" s="292"/>
      <c r="L2520" s="350"/>
      <c r="M2520" s="350"/>
      <c r="N2520" s="292"/>
      <c r="O2520" s="408">
        <f>TrialBalanceA!I73</f>
        <v>0</v>
      </c>
      <c r="P2520" s="295"/>
      <c r="R2520" s="348" t="str">
        <f t="shared" si="200"/>
        <v>DELETE</v>
      </c>
      <c r="T2520" s="334"/>
    </row>
    <row r="2521" spans="3:20" ht="36" customHeight="1" x14ac:dyDescent="0.45">
      <c r="C2521" s="397"/>
      <c r="D2521" s="434">
        <f>TrialBalanceA!C74</f>
        <v>0</v>
      </c>
      <c r="E2521" s="434"/>
      <c r="F2521" s="434"/>
      <c r="G2521" s="434"/>
      <c r="H2521" s="434"/>
      <c r="I2521" s="434"/>
      <c r="J2521" s="449"/>
      <c r="K2521" s="292"/>
      <c r="L2521" s="350"/>
      <c r="M2521" s="350"/>
      <c r="N2521" s="292"/>
      <c r="O2521" s="408">
        <f>TrialBalanceA!I74</f>
        <v>0</v>
      </c>
      <c r="P2521" s="295"/>
      <c r="R2521" s="348" t="str">
        <f t="shared" si="200"/>
        <v>DELETE</v>
      </c>
      <c r="T2521" s="334"/>
    </row>
    <row r="2522" spans="3:20" ht="36" customHeight="1" x14ac:dyDescent="0.45">
      <c r="C2522" s="397"/>
      <c r="D2522" s="434">
        <f>TrialBalanceA!C75</f>
        <v>0</v>
      </c>
      <c r="E2522" s="434"/>
      <c r="F2522" s="434"/>
      <c r="G2522" s="434"/>
      <c r="H2522" s="434"/>
      <c r="I2522" s="434"/>
      <c r="J2522" s="449"/>
      <c r="K2522" s="292"/>
      <c r="L2522" s="350"/>
      <c r="M2522" s="350"/>
      <c r="N2522" s="292"/>
      <c r="O2522" s="408">
        <f>TrialBalanceA!I75</f>
        <v>0</v>
      </c>
      <c r="P2522" s="295"/>
      <c r="R2522" s="348" t="str">
        <f t="shared" si="200"/>
        <v>DELETE</v>
      </c>
      <c r="T2522" s="334"/>
    </row>
    <row r="2523" spans="3:20" ht="36" customHeight="1" x14ac:dyDescent="0.45">
      <c r="C2523" s="397"/>
      <c r="D2523" s="434">
        <f>TrialBalanceA!C76</f>
        <v>0</v>
      </c>
      <c r="E2523" s="434"/>
      <c r="F2523" s="434"/>
      <c r="G2523" s="434"/>
      <c r="H2523" s="434"/>
      <c r="I2523" s="434"/>
      <c r="J2523" s="449"/>
      <c r="K2523" s="292"/>
      <c r="L2523" s="350"/>
      <c r="M2523" s="350"/>
      <c r="N2523" s="292"/>
      <c r="O2523" s="408">
        <f>TrialBalanceA!I76</f>
        <v>0</v>
      </c>
      <c r="P2523" s="295"/>
      <c r="R2523" s="348" t="str">
        <f t="shared" si="200"/>
        <v>DELETE</v>
      </c>
      <c r="T2523" s="334"/>
    </row>
    <row r="2524" spans="3:20" ht="36" customHeight="1" x14ac:dyDescent="0.45">
      <c r="C2524" s="397"/>
      <c r="D2524" s="434">
        <f>TrialBalanceA!C77</f>
        <v>0</v>
      </c>
      <c r="E2524" s="434"/>
      <c r="F2524" s="434"/>
      <c r="G2524" s="434"/>
      <c r="H2524" s="434"/>
      <c r="I2524" s="434"/>
      <c r="J2524" s="449"/>
      <c r="K2524" s="292"/>
      <c r="L2524" s="350"/>
      <c r="M2524" s="350"/>
      <c r="N2524" s="292"/>
      <c r="O2524" s="408">
        <f>TrialBalanceA!I77</f>
        <v>0</v>
      </c>
      <c r="P2524" s="295"/>
      <c r="R2524" s="348" t="str">
        <f t="shared" si="200"/>
        <v>DELETE</v>
      </c>
      <c r="T2524" s="334"/>
    </row>
    <row r="2525" spans="3:20" ht="36" customHeight="1" x14ac:dyDescent="0.45">
      <c r="C2525" s="397"/>
      <c r="D2525" s="434">
        <f>TrialBalanceA!C78</f>
        <v>0</v>
      </c>
      <c r="E2525" s="434"/>
      <c r="F2525" s="434"/>
      <c r="G2525" s="434"/>
      <c r="H2525" s="434"/>
      <c r="I2525" s="434"/>
      <c r="J2525" s="449"/>
      <c r="K2525" s="292"/>
      <c r="L2525" s="350"/>
      <c r="M2525" s="350"/>
      <c r="N2525" s="292"/>
      <c r="O2525" s="408">
        <f>TrialBalanceA!I78</f>
        <v>0</v>
      </c>
      <c r="P2525" s="295"/>
      <c r="R2525" s="348" t="str">
        <f t="shared" si="200"/>
        <v>DELETE</v>
      </c>
      <c r="T2525" s="334"/>
    </row>
    <row r="2526" spans="3:20" ht="36" customHeight="1" x14ac:dyDescent="0.45">
      <c r="C2526" s="397"/>
      <c r="D2526" s="434">
        <f>TrialBalanceA!C79</f>
        <v>0</v>
      </c>
      <c r="E2526" s="434"/>
      <c r="F2526" s="434"/>
      <c r="G2526" s="434"/>
      <c r="H2526" s="434"/>
      <c r="I2526" s="434"/>
      <c r="J2526" s="449"/>
      <c r="K2526" s="292"/>
      <c r="L2526" s="350"/>
      <c r="M2526" s="350"/>
      <c r="N2526" s="292"/>
      <c r="O2526" s="408">
        <f>TrialBalanceA!I79</f>
        <v>0</v>
      </c>
      <c r="P2526" s="295"/>
      <c r="R2526" s="348" t="str">
        <f t="shared" si="200"/>
        <v>DELETE</v>
      </c>
      <c r="T2526" s="334"/>
    </row>
    <row r="2527" spans="3:20" ht="36" customHeight="1" x14ac:dyDescent="0.45">
      <c r="C2527" s="397"/>
      <c r="D2527" s="434">
        <f>TrialBalanceA!C80</f>
        <v>0</v>
      </c>
      <c r="E2527" s="434"/>
      <c r="F2527" s="434"/>
      <c r="G2527" s="434"/>
      <c r="H2527" s="434"/>
      <c r="I2527" s="434"/>
      <c r="J2527" s="449"/>
      <c r="K2527" s="292"/>
      <c r="L2527" s="350"/>
      <c r="M2527" s="350"/>
      <c r="N2527" s="292"/>
      <c r="O2527" s="408">
        <f>TrialBalanceA!I80</f>
        <v>0</v>
      </c>
      <c r="P2527" s="295"/>
      <c r="R2527" s="348" t="str">
        <f t="shared" si="200"/>
        <v>DELETE</v>
      </c>
      <c r="T2527" s="334"/>
    </row>
    <row r="2528" spans="3:20" ht="36" customHeight="1" x14ac:dyDescent="0.45">
      <c r="C2528" s="397"/>
      <c r="D2528" s="434">
        <f>TrialBalanceA!C81</f>
        <v>0</v>
      </c>
      <c r="E2528" s="434"/>
      <c r="F2528" s="434"/>
      <c r="G2528" s="434"/>
      <c r="H2528" s="434"/>
      <c r="I2528" s="434"/>
      <c r="J2528" s="449"/>
      <c r="K2528" s="292"/>
      <c r="L2528" s="350"/>
      <c r="M2528" s="350"/>
      <c r="N2528" s="292"/>
      <c r="O2528" s="408">
        <f>TrialBalanceA!I81</f>
        <v>0</v>
      </c>
      <c r="P2528" s="295"/>
      <c r="R2528" s="348" t="str">
        <f t="shared" si="200"/>
        <v>DELETE</v>
      </c>
      <c r="T2528" s="334"/>
    </row>
    <row r="2529" spans="3:20" ht="36" customHeight="1" x14ac:dyDescent="0.45">
      <c r="C2529" s="397"/>
      <c r="D2529" s="434">
        <f>TrialBalanceA!C82</f>
        <v>0</v>
      </c>
      <c r="E2529" s="434"/>
      <c r="F2529" s="434"/>
      <c r="G2529" s="434"/>
      <c r="H2529" s="434"/>
      <c r="I2529" s="434"/>
      <c r="J2529" s="449"/>
      <c r="K2529" s="292"/>
      <c r="L2529" s="350"/>
      <c r="M2529" s="350"/>
      <c r="N2529" s="292"/>
      <c r="O2529" s="408">
        <f>TrialBalanceA!I82</f>
        <v>0</v>
      </c>
      <c r="P2529" s="295"/>
      <c r="R2529" s="348" t="str">
        <f t="shared" si="200"/>
        <v>DELETE</v>
      </c>
      <c r="T2529" s="334"/>
    </row>
    <row r="2530" spans="3:20" ht="9" customHeight="1" x14ac:dyDescent="0.45">
      <c r="C2530" s="397"/>
      <c r="D2530" s="434"/>
      <c r="E2530" s="434"/>
      <c r="F2530" s="434"/>
      <c r="G2530" s="434"/>
      <c r="H2530" s="434"/>
      <c r="I2530" s="434"/>
      <c r="J2530" s="449"/>
      <c r="K2530" s="292"/>
      <c r="L2530" s="350"/>
      <c r="M2530" s="350"/>
      <c r="N2530" s="292"/>
      <c r="O2530" s="409"/>
      <c r="P2530" s="295"/>
      <c r="R2530" s="348" t="str">
        <f>R2499</f>
        <v>DELETE</v>
      </c>
      <c r="T2530" s="334"/>
    </row>
    <row r="2531" spans="3:20" ht="9" customHeight="1" x14ac:dyDescent="0.45">
      <c r="C2531" s="397"/>
      <c r="D2531" s="434"/>
      <c r="E2531" s="434"/>
      <c r="F2531" s="434"/>
      <c r="G2531" s="434"/>
      <c r="H2531" s="434"/>
      <c r="I2531" s="434"/>
      <c r="J2531" s="449"/>
      <c r="K2531" s="292"/>
      <c r="L2531" s="350"/>
      <c r="M2531" s="350"/>
      <c r="N2531" s="292"/>
      <c r="O2531" s="298"/>
      <c r="P2531" s="295"/>
      <c r="R2531" s="348" t="str">
        <f t="shared" ref="R2531:R2551" si="202">R$2453</f>
        <v>DELETE</v>
      </c>
      <c r="T2531" s="334"/>
    </row>
    <row r="2532" spans="3:20" ht="9" customHeight="1" x14ac:dyDescent="0.45">
      <c r="C2532" s="397"/>
      <c r="D2532" s="434"/>
      <c r="E2532" s="434"/>
      <c r="F2532" s="434"/>
      <c r="G2532" s="434"/>
      <c r="H2532" s="434"/>
      <c r="I2532" s="434"/>
      <c r="J2532" s="449"/>
      <c r="K2532" s="292"/>
      <c r="L2532" s="350"/>
      <c r="M2532" s="350"/>
      <c r="N2532" s="292"/>
      <c r="O2532" s="296"/>
      <c r="P2532" s="295"/>
      <c r="R2532" s="348" t="str">
        <f t="shared" si="202"/>
        <v>DELETE</v>
      </c>
      <c r="T2532" s="334"/>
    </row>
    <row r="2533" spans="3:20" ht="36" customHeight="1" x14ac:dyDescent="0.45">
      <c r="D2533" s="446" t="str">
        <f>IF(O2533&lt;0,"Operating loss","Operating profit")</f>
        <v>Operating profit</v>
      </c>
      <c r="E2533" s="434"/>
      <c r="F2533" s="434"/>
      <c r="G2533" s="434"/>
      <c r="H2533" s="434"/>
      <c r="I2533" s="434"/>
      <c r="J2533" s="449"/>
      <c r="K2533" s="292"/>
      <c r="L2533" s="350"/>
      <c r="M2533" s="350"/>
      <c r="N2533" s="292"/>
      <c r="O2533" s="296">
        <f>SUM(S2465:S2531)</f>
        <v>0</v>
      </c>
      <c r="P2533" s="295"/>
      <c r="R2533" s="348" t="str">
        <f t="shared" si="202"/>
        <v>DELETE</v>
      </c>
      <c r="T2533" s="334"/>
    </row>
    <row r="2534" spans="3:20" ht="36" customHeight="1" x14ac:dyDescent="0.45">
      <c r="C2534" s="397"/>
      <c r="D2534" s="434"/>
      <c r="E2534" s="434" t="s">
        <v>238</v>
      </c>
      <c r="F2534" s="434"/>
      <c r="G2534" s="434"/>
      <c r="H2534" s="434"/>
      <c r="I2534" s="434"/>
      <c r="J2534" s="449"/>
      <c r="K2534" s="292"/>
      <c r="L2534" s="350"/>
      <c r="M2534" s="350"/>
      <c r="N2534" s="292"/>
      <c r="O2534" s="296"/>
      <c r="P2534" s="295"/>
      <c r="R2534" s="348" t="str">
        <f t="shared" si="202"/>
        <v>DELETE</v>
      </c>
      <c r="T2534" s="334"/>
    </row>
    <row r="2535" spans="3:20" ht="36" customHeight="1" x14ac:dyDescent="0.45">
      <c r="C2535" s="397"/>
      <c r="D2535" s="434"/>
      <c r="E2535" s="434"/>
      <c r="F2535" s="434"/>
      <c r="G2535" s="434"/>
      <c r="H2535" s="434"/>
      <c r="I2535" s="434"/>
      <c r="J2535" s="449"/>
      <c r="K2535" s="292"/>
      <c r="L2535" s="292"/>
      <c r="M2535" s="296"/>
      <c r="N2535" s="296"/>
      <c r="O2535" s="296"/>
      <c r="P2535" s="295"/>
      <c r="R2535" s="348" t="str">
        <f t="shared" si="202"/>
        <v>DELETE</v>
      </c>
      <c r="T2535" s="334"/>
    </row>
    <row r="2536" spans="3:20" ht="36" customHeight="1" x14ac:dyDescent="0.45">
      <c r="C2536" s="397"/>
      <c r="D2536" s="434"/>
      <c r="E2536" s="434"/>
      <c r="F2536" s="434"/>
      <c r="G2536" s="434"/>
      <c r="H2536" s="434"/>
      <c r="I2536" s="434"/>
      <c r="J2536" s="449"/>
      <c r="K2536" s="292"/>
      <c r="L2536" s="292"/>
      <c r="M2536" s="296"/>
      <c r="N2536" s="296"/>
      <c r="O2536" s="296"/>
      <c r="P2536" s="295"/>
      <c r="R2536" s="348" t="str">
        <f t="shared" si="202"/>
        <v>DELETE</v>
      </c>
      <c r="T2536" s="334"/>
    </row>
    <row r="2537" spans="3:20" ht="36" customHeight="1" x14ac:dyDescent="0.45">
      <c r="C2537" s="397"/>
      <c r="D2537" s="434"/>
      <c r="E2537" s="434"/>
      <c r="F2537" s="434"/>
      <c r="G2537" s="434"/>
      <c r="H2537" s="434"/>
      <c r="I2537" s="434"/>
      <c r="J2537" s="449"/>
      <c r="K2537" s="292"/>
      <c r="L2537" s="292"/>
      <c r="M2537" s="310"/>
      <c r="N2537" s="310"/>
      <c r="O2537" s="310"/>
      <c r="P2537" s="330"/>
      <c r="R2537" s="348" t="str">
        <f t="shared" si="202"/>
        <v>DELETE</v>
      </c>
      <c r="T2537" s="334"/>
    </row>
    <row r="2538" spans="3:20" ht="36" customHeight="1" x14ac:dyDescent="0.45">
      <c r="C2538" s="397"/>
      <c r="D2538" s="434"/>
      <c r="E2538" s="434"/>
      <c r="F2538" s="434"/>
      <c r="G2538" s="434"/>
      <c r="H2538" s="434"/>
      <c r="I2538" s="434"/>
      <c r="J2538" s="449"/>
      <c r="K2538" s="292"/>
      <c r="L2538" s="292"/>
      <c r="M2538" s="296"/>
      <c r="N2538" s="296"/>
      <c r="O2538" s="296"/>
      <c r="P2538" s="295"/>
      <c r="R2538" s="348" t="str">
        <f t="shared" si="202"/>
        <v>DELETE</v>
      </c>
      <c r="T2538" s="334"/>
    </row>
    <row r="2539" spans="3:20" ht="36" customHeight="1" x14ac:dyDescent="0.45">
      <c r="C2539" s="397"/>
      <c r="D2539" s="434"/>
      <c r="E2539" s="434"/>
      <c r="F2539" s="434"/>
      <c r="G2539" s="434"/>
      <c r="H2539" s="434"/>
      <c r="I2539" s="434"/>
      <c r="J2539" s="449"/>
      <c r="K2539" s="292"/>
      <c r="L2539" s="292"/>
      <c r="M2539" s="296"/>
      <c r="N2539" s="296"/>
      <c r="O2539" s="296" t="s">
        <v>89</v>
      </c>
      <c r="P2539" s="295"/>
      <c r="Q2539" s="292">
        <f>MAX($Q$2453:Q2538)+1</f>
        <v>2</v>
      </c>
      <c r="R2539" s="348" t="str">
        <f t="shared" si="202"/>
        <v>DELETE</v>
      </c>
      <c r="T2539" s="334"/>
    </row>
    <row r="2540" spans="3:20" ht="36" customHeight="1" x14ac:dyDescent="0.45">
      <c r="C2540" s="397"/>
      <c r="D2540" s="433" t="str">
        <f>Criteria!E14</f>
        <v>SUBSIDIARY ONE 111 (PTY) LTD</v>
      </c>
      <c r="E2540" s="434"/>
      <c r="F2540" s="434"/>
      <c r="G2540" s="434"/>
      <c r="H2540" s="434"/>
      <c r="I2540" s="434"/>
      <c r="J2540" s="449"/>
      <c r="K2540" s="292"/>
      <c r="L2540" s="292"/>
      <c r="M2540" s="296"/>
      <c r="N2540" s="296"/>
      <c r="O2540" s="347"/>
      <c r="R2540" s="348" t="str">
        <f t="shared" si="202"/>
        <v>DELETE</v>
      </c>
      <c r="T2540" s="334"/>
    </row>
    <row r="2541" spans="3:20" ht="36" customHeight="1" x14ac:dyDescent="0.45">
      <c r="C2541" s="397"/>
      <c r="D2541" s="438"/>
      <c r="E2541" s="434"/>
      <c r="F2541" s="434"/>
      <c r="G2541" s="434"/>
      <c r="H2541" s="434"/>
      <c r="I2541" s="434"/>
      <c r="J2541" s="449"/>
      <c r="K2541" s="292"/>
      <c r="L2541" s="292"/>
      <c r="M2541" s="296"/>
      <c r="N2541" s="296"/>
      <c r="O2541" s="296"/>
      <c r="P2541" s="295"/>
      <c r="R2541" s="348" t="str">
        <f t="shared" si="202"/>
        <v>DELETE</v>
      </c>
      <c r="T2541" s="334"/>
    </row>
    <row r="2542" spans="3:20" ht="36" customHeight="1" x14ac:dyDescent="0.45">
      <c r="C2542" s="397"/>
      <c r="D2542" s="434"/>
      <c r="E2542" s="434"/>
      <c r="F2542" s="434"/>
      <c r="G2542" s="434"/>
      <c r="H2542" s="434"/>
      <c r="I2542" s="434"/>
      <c r="J2542" s="449"/>
      <c r="K2542" s="292"/>
      <c r="L2542" s="292"/>
      <c r="M2542" s="296"/>
      <c r="N2542" s="296"/>
      <c r="O2542" s="296"/>
      <c r="P2542" s="295"/>
      <c r="R2542" s="348" t="str">
        <f t="shared" si="202"/>
        <v>DELETE</v>
      </c>
      <c r="T2542" s="334"/>
    </row>
    <row r="2543" spans="3:20" ht="36" customHeight="1" x14ac:dyDescent="0.45">
      <c r="C2543" s="397"/>
      <c r="D2543" s="433" t="s">
        <v>86</v>
      </c>
      <c r="E2543" s="434"/>
      <c r="F2543" s="434"/>
      <c r="G2543" s="434"/>
      <c r="H2543" s="434"/>
      <c r="I2543" s="434"/>
      <c r="J2543" s="449"/>
      <c r="K2543" s="292"/>
      <c r="L2543" s="292"/>
      <c r="M2543" s="296"/>
      <c r="N2543" s="296"/>
      <c r="O2543" s="296"/>
      <c r="P2543" s="295"/>
      <c r="R2543" s="348" t="str">
        <f t="shared" si="202"/>
        <v>DELETE</v>
      </c>
      <c r="T2543" s="334"/>
    </row>
    <row r="2544" spans="3:20" ht="36" customHeight="1" x14ac:dyDescent="0.45">
      <c r="C2544" s="397"/>
      <c r="D2544" s="433" t="str">
        <f>D2460</f>
        <v>28 FEBRUARY 2025</v>
      </c>
      <c r="E2544" s="434"/>
      <c r="F2544" s="434"/>
      <c r="G2544" s="434"/>
      <c r="H2544" s="434"/>
      <c r="I2544" s="434"/>
      <c r="J2544" s="434" t="s">
        <v>95</v>
      </c>
      <c r="K2544" s="292"/>
      <c r="L2544" s="292"/>
      <c r="M2544" s="296"/>
      <c r="N2544" s="296"/>
      <c r="O2544" s="296"/>
      <c r="P2544" s="295"/>
      <c r="R2544" s="348" t="str">
        <f t="shared" si="202"/>
        <v>DELETE</v>
      </c>
      <c r="T2544" s="334"/>
    </row>
    <row r="2545" spans="3:22" ht="36" customHeight="1" x14ac:dyDescent="0.45">
      <c r="C2545" s="397"/>
      <c r="D2545" s="434"/>
      <c r="E2545" s="434"/>
      <c r="F2545" s="434"/>
      <c r="G2545" s="434"/>
      <c r="H2545" s="434"/>
      <c r="I2545" s="434"/>
      <c r="J2545" s="449"/>
      <c r="K2545" s="304"/>
      <c r="L2545" s="304"/>
      <c r="M2545" s="298"/>
      <c r="N2545" s="298"/>
      <c r="O2545" s="298"/>
      <c r="P2545" s="295"/>
      <c r="R2545" s="348" t="str">
        <f t="shared" si="202"/>
        <v>DELETE</v>
      </c>
      <c r="T2545" s="334"/>
    </row>
    <row r="2546" spans="3:22" ht="36" customHeight="1" x14ac:dyDescent="0.45">
      <c r="C2546" s="397"/>
      <c r="D2546" s="444"/>
      <c r="E2546" s="444"/>
      <c r="F2546" s="444"/>
      <c r="G2546" s="444"/>
      <c r="H2546" s="444"/>
      <c r="I2546" s="444"/>
      <c r="J2546" s="453"/>
      <c r="M2546" s="351"/>
      <c r="N2546" s="351"/>
      <c r="O2546" s="351"/>
      <c r="P2546" s="313"/>
      <c r="Q2546" s="364"/>
      <c r="R2546" s="348" t="str">
        <f t="shared" si="202"/>
        <v>DELETE</v>
      </c>
      <c r="T2546" s="334"/>
    </row>
    <row r="2547" spans="3:22" ht="36" customHeight="1" x14ac:dyDescent="0.45">
      <c r="C2547" s="397"/>
      <c r="D2547" s="434"/>
      <c r="E2547" s="434"/>
      <c r="F2547" s="434"/>
      <c r="G2547" s="434"/>
      <c r="H2547" s="434"/>
      <c r="I2547" s="434"/>
      <c r="J2547" s="449"/>
      <c r="K2547" s="292" t="s">
        <v>1041</v>
      </c>
      <c r="L2547" s="292"/>
      <c r="M2547" s="350"/>
      <c r="N2547" s="294"/>
      <c r="O2547" s="294">
        <f>Criteria!E22</f>
        <v>2025</v>
      </c>
      <c r="P2547" s="295"/>
      <c r="R2547" s="348" t="str">
        <f t="shared" si="202"/>
        <v>DELETE</v>
      </c>
      <c r="T2547" s="334"/>
    </row>
    <row r="2548" spans="3:22" ht="36" customHeight="1" x14ac:dyDescent="0.45">
      <c r="C2548" s="397"/>
      <c r="D2548" s="434"/>
      <c r="E2548" s="434"/>
      <c r="F2548" s="434"/>
      <c r="G2548" s="434"/>
      <c r="H2548" s="434"/>
      <c r="I2548" s="434"/>
      <c r="J2548" s="449"/>
      <c r="K2548" s="292"/>
      <c r="L2548" s="292"/>
      <c r="M2548" s="296"/>
      <c r="N2548" s="296"/>
      <c r="O2548" s="296"/>
      <c r="P2548" s="295"/>
      <c r="R2548" s="348" t="str">
        <f t="shared" si="202"/>
        <v>DELETE</v>
      </c>
      <c r="T2548" s="334"/>
    </row>
    <row r="2549" spans="3:22" ht="36" customHeight="1" x14ac:dyDescent="0.45">
      <c r="D2549" s="446" t="str">
        <f>IF(O2549&lt;0,"Operating loss","Operating profit")</f>
        <v>Operating profit</v>
      </c>
      <c r="E2549" s="434"/>
      <c r="F2549" s="434"/>
      <c r="G2549" s="434"/>
      <c r="H2549" s="434"/>
      <c r="I2549" s="434"/>
      <c r="J2549" s="449"/>
      <c r="K2549" s="292"/>
      <c r="L2549" s="350"/>
      <c r="M2549" s="350"/>
      <c r="N2549" s="292"/>
      <c r="O2549" s="296">
        <f>SUM(S2465:S2530)</f>
        <v>0</v>
      </c>
      <c r="P2549" s="295"/>
      <c r="R2549" s="348" t="str">
        <f t="shared" si="202"/>
        <v>DELETE</v>
      </c>
      <c r="T2549" s="334"/>
      <c r="U2549" s="331" t="b">
        <f>O2549=O2533</f>
        <v>1</v>
      </c>
    </row>
    <row r="2550" spans="3:22" ht="36" customHeight="1" x14ac:dyDescent="0.45">
      <c r="C2550" s="397"/>
      <c r="D2550" s="434"/>
      <c r="E2550" s="434" t="s">
        <v>239</v>
      </c>
      <c r="F2550" s="434"/>
      <c r="G2550" s="434"/>
      <c r="H2550" s="434"/>
      <c r="I2550" s="434"/>
      <c r="J2550" s="449"/>
      <c r="K2550" s="292"/>
      <c r="L2550" s="350"/>
      <c r="M2550" s="350"/>
      <c r="N2550" s="292"/>
      <c r="O2550" s="296"/>
      <c r="P2550" s="295"/>
      <c r="R2550" s="348" t="str">
        <f t="shared" si="202"/>
        <v>DELETE</v>
      </c>
      <c r="T2550" s="334"/>
    </row>
    <row r="2551" spans="3:22" ht="36" customHeight="1" x14ac:dyDescent="0.45">
      <c r="C2551" s="397"/>
      <c r="D2551" s="434"/>
      <c r="E2551" s="434"/>
      <c r="F2551" s="434"/>
      <c r="G2551" s="434"/>
      <c r="H2551" s="434"/>
      <c r="I2551" s="434"/>
      <c r="J2551" s="449"/>
      <c r="K2551" s="292"/>
      <c r="L2551" s="350"/>
      <c r="M2551" s="350"/>
      <c r="N2551" s="292"/>
      <c r="O2551" s="296"/>
      <c r="P2551" s="295"/>
      <c r="R2551" s="348" t="str">
        <f t="shared" si="202"/>
        <v>DELETE</v>
      </c>
      <c r="T2551" s="334"/>
    </row>
    <row r="2552" spans="3:22" ht="36" customHeight="1" x14ac:dyDescent="0.45">
      <c r="D2552" s="433" t="s">
        <v>1076</v>
      </c>
      <c r="E2552" s="434"/>
      <c r="F2552" s="434"/>
      <c r="G2552" s="434"/>
      <c r="H2552" s="434"/>
      <c r="I2552" s="434"/>
      <c r="J2552" s="449"/>
      <c r="K2552" s="292"/>
      <c r="L2552" s="350"/>
      <c r="M2552" s="350"/>
      <c r="N2552" s="292"/>
      <c r="O2552" s="296">
        <f>SUM(O2555:O2588)</f>
        <v>0</v>
      </c>
      <c r="P2552" s="295"/>
      <c r="R2552" s="348" t="str">
        <f t="shared" ref="R2552" si="203">IF(R$2453="DELETE","DELETE",IF(O2552=0,"DELETE"," "))</f>
        <v>DELETE</v>
      </c>
      <c r="S2552" s="333">
        <f>-O2552</f>
        <v>0</v>
      </c>
      <c r="T2552" s="334"/>
      <c r="U2552" s="333"/>
      <c r="V2552" s="333"/>
    </row>
    <row r="2553" spans="3:22" ht="9" customHeight="1" x14ac:dyDescent="0.45">
      <c r="C2553" s="397"/>
      <c r="D2553" s="434"/>
      <c r="E2553" s="434"/>
      <c r="F2553" s="434"/>
      <c r="G2553" s="434"/>
      <c r="H2553" s="434"/>
      <c r="I2553" s="434"/>
      <c r="J2553" s="449"/>
      <c r="K2553" s="292"/>
      <c r="L2553" s="350"/>
      <c r="M2553" s="350"/>
      <c r="N2553" s="292"/>
      <c r="O2553" s="296"/>
      <c r="P2553" s="295"/>
      <c r="R2553" s="348" t="str">
        <f>R2552</f>
        <v>DELETE</v>
      </c>
      <c r="T2553" s="334"/>
    </row>
    <row r="2554" spans="3:22" ht="9" customHeight="1" x14ac:dyDescent="0.45">
      <c r="C2554" s="397"/>
      <c r="D2554" s="434"/>
      <c r="E2554" s="434"/>
      <c r="F2554" s="434"/>
      <c r="G2554" s="434"/>
      <c r="H2554" s="434"/>
      <c r="I2554" s="434"/>
      <c r="J2554" s="449"/>
      <c r="K2554" s="292"/>
      <c r="L2554" s="350"/>
      <c r="M2554" s="350"/>
      <c r="N2554" s="292"/>
      <c r="O2554" s="407"/>
      <c r="P2554" s="295"/>
      <c r="R2554" s="348" t="str">
        <f>R2553</f>
        <v>DELETE</v>
      </c>
      <c r="T2554" s="334"/>
    </row>
    <row r="2555" spans="3:22" ht="36" customHeight="1" x14ac:dyDescent="0.45">
      <c r="C2555" s="397"/>
      <c r="D2555" s="434" t="s">
        <v>199</v>
      </c>
      <c r="E2555" s="434"/>
      <c r="F2555" s="434"/>
      <c r="G2555" s="434"/>
      <c r="H2555" s="434"/>
      <c r="I2555" s="434"/>
      <c r="J2555" s="449"/>
      <c r="K2555" s="292"/>
      <c r="L2555" s="350"/>
      <c r="M2555" s="350"/>
      <c r="N2555" s="292"/>
      <c r="O2555" s="408">
        <f>SUM(TrialBalanceA!I99:I102)</f>
        <v>0</v>
      </c>
      <c r="P2555" s="295"/>
      <c r="R2555" s="348" t="str">
        <f t="shared" ref="R2555:R2586" si="204">IF(R$2453="DELETE","DELETE",IF(O2555=0,"DELETE"," "))</f>
        <v>DELETE</v>
      </c>
      <c r="T2555" s="334"/>
    </row>
    <row r="2556" spans="3:22" ht="36" customHeight="1" x14ac:dyDescent="0.45">
      <c r="C2556" s="397"/>
      <c r="D2556" s="434" t="s">
        <v>201</v>
      </c>
      <c r="E2556" s="434"/>
      <c r="F2556" s="434"/>
      <c r="G2556" s="434"/>
      <c r="H2556" s="434"/>
      <c r="I2556" s="434"/>
      <c r="J2556" s="449"/>
      <c r="K2556" s="292"/>
      <c r="L2556" s="350"/>
      <c r="M2556" s="350"/>
      <c r="N2556" s="292"/>
      <c r="O2556" s="408">
        <f>TrialBalanceA!I103</f>
        <v>0</v>
      </c>
      <c r="P2556" s="295"/>
      <c r="R2556" s="348" t="str">
        <f t="shared" si="204"/>
        <v>DELETE</v>
      </c>
      <c r="T2556" s="334"/>
    </row>
    <row r="2557" spans="3:22" ht="36" customHeight="1" x14ac:dyDescent="0.45">
      <c r="C2557" s="397"/>
      <c r="D2557" s="434" t="s">
        <v>203</v>
      </c>
      <c r="E2557" s="434"/>
      <c r="F2557" s="434"/>
      <c r="G2557" s="434"/>
      <c r="H2557" s="434"/>
      <c r="I2557" s="434"/>
      <c r="J2557" s="449"/>
      <c r="K2557" s="292"/>
      <c r="L2557" s="350"/>
      <c r="M2557" s="350"/>
      <c r="N2557" s="292"/>
      <c r="O2557" s="408">
        <f>TrialBalanceA!I104</f>
        <v>0</v>
      </c>
      <c r="P2557" s="295"/>
      <c r="R2557" s="348" t="str">
        <f t="shared" si="204"/>
        <v>DELETE</v>
      </c>
      <c r="T2557" s="334"/>
    </row>
    <row r="2558" spans="3:22" ht="36" customHeight="1" x14ac:dyDescent="0.45">
      <c r="C2558" s="397"/>
      <c r="D2558" s="434" t="s">
        <v>240</v>
      </c>
      <c r="E2558" s="434"/>
      <c r="F2558" s="434"/>
      <c r="G2558" s="434"/>
      <c r="H2558" s="434"/>
      <c r="I2558" s="434"/>
      <c r="J2558" s="449"/>
      <c r="K2558" s="292"/>
      <c r="L2558" s="350"/>
      <c r="M2558" s="350"/>
      <c r="N2558" s="292"/>
      <c r="O2558" s="408">
        <f>TrialBalanceA!I105</f>
        <v>0</v>
      </c>
      <c r="P2558" s="295"/>
      <c r="R2558" s="348" t="str">
        <f t="shared" si="204"/>
        <v>DELETE</v>
      </c>
      <c r="T2558" s="334"/>
    </row>
    <row r="2559" spans="3:22" ht="36" customHeight="1" x14ac:dyDescent="0.45">
      <c r="C2559" s="397"/>
      <c r="D2559" s="434" t="s">
        <v>206</v>
      </c>
      <c r="E2559" s="434"/>
      <c r="F2559" s="434"/>
      <c r="G2559" s="434"/>
      <c r="H2559" s="434"/>
      <c r="I2559" s="434"/>
      <c r="J2559" s="449"/>
      <c r="K2559" s="292"/>
      <c r="L2559" s="350"/>
      <c r="M2559" s="350"/>
      <c r="N2559" s="292"/>
      <c r="O2559" s="408">
        <f>TrialBalanceA!I106</f>
        <v>0</v>
      </c>
      <c r="P2559" s="295"/>
      <c r="R2559" s="348" t="str">
        <f t="shared" si="204"/>
        <v>DELETE</v>
      </c>
      <c r="T2559" s="334"/>
    </row>
    <row r="2560" spans="3:22" ht="36" customHeight="1" x14ac:dyDescent="0.45">
      <c r="C2560" s="397"/>
      <c r="D2560" s="434" t="s">
        <v>680</v>
      </c>
      <c r="E2560" s="434"/>
      <c r="F2560" s="434"/>
      <c r="G2560" s="434"/>
      <c r="H2560" s="434"/>
      <c r="I2560" s="434"/>
      <c r="J2560" s="449"/>
      <c r="K2560" s="292"/>
      <c r="L2560" s="350"/>
      <c r="M2560" s="350"/>
      <c r="N2560" s="292"/>
      <c r="O2560" s="408">
        <f>TrialBalanceA!I107</f>
        <v>0</v>
      </c>
      <c r="P2560" s="295"/>
      <c r="R2560" s="348" t="str">
        <f t="shared" si="204"/>
        <v>DELETE</v>
      </c>
      <c r="T2560" s="334"/>
    </row>
    <row r="2561" spans="3:20" ht="36" customHeight="1" x14ac:dyDescent="0.45">
      <c r="C2561" s="397"/>
      <c r="D2561" s="434" t="s">
        <v>1212</v>
      </c>
      <c r="E2561" s="434"/>
      <c r="F2561" s="434"/>
      <c r="G2561" s="434"/>
      <c r="H2561" s="434"/>
      <c r="I2561" s="434"/>
      <c r="J2561" s="449"/>
      <c r="K2561" s="292"/>
      <c r="L2561" s="350"/>
      <c r="M2561" s="350"/>
      <c r="N2561" s="292"/>
      <c r="O2561" s="408">
        <f>TrialBalanceA!I108</f>
        <v>0</v>
      </c>
      <c r="P2561" s="295"/>
      <c r="R2561" s="348" t="str">
        <f t="shared" ref="R2561" si="205">IF(R$2453="DELETE","DELETE",IF(O2561=0,"DELETE"," "))</f>
        <v>DELETE</v>
      </c>
      <c r="T2561" s="334"/>
    </row>
    <row r="2562" spans="3:20" ht="36" customHeight="1" x14ac:dyDescent="0.45">
      <c r="C2562" s="397"/>
      <c r="D2562" s="434" t="s">
        <v>252</v>
      </c>
      <c r="E2562" s="434"/>
      <c r="F2562" s="434"/>
      <c r="G2562" s="434"/>
      <c r="H2562" s="434"/>
      <c r="I2562" s="434"/>
      <c r="J2562" s="449"/>
      <c r="K2562" s="292">
        <f>B$958</f>
        <v>5</v>
      </c>
      <c r="L2562" s="350"/>
      <c r="M2562" s="350"/>
      <c r="N2562" s="292"/>
      <c r="O2562" s="408">
        <f>SUM(TrialBalanceA!I110:I111)</f>
        <v>0</v>
      </c>
      <c r="P2562" s="295"/>
      <c r="R2562" s="348" t="str">
        <f t="shared" si="204"/>
        <v>DELETE</v>
      </c>
      <c r="T2562" s="334"/>
    </row>
    <row r="2563" spans="3:20" ht="36" customHeight="1" x14ac:dyDescent="0.45">
      <c r="C2563" s="397"/>
      <c r="D2563" s="434" t="str">
        <f>IF(MAX(Criteria!I38:I42)&gt;1,"Directors' remuneration","Director's remuneration")</f>
        <v>Directors' remuneration</v>
      </c>
      <c r="E2563" s="434"/>
      <c r="F2563" s="434"/>
      <c r="G2563" s="434"/>
      <c r="H2563" s="434"/>
      <c r="I2563" s="434"/>
      <c r="J2563" s="449"/>
      <c r="K2563" s="292">
        <f>B$958</f>
        <v>5</v>
      </c>
      <c r="L2563" s="350"/>
      <c r="M2563" s="350"/>
      <c r="N2563" s="292"/>
      <c r="O2563" s="408">
        <f>SUM(TrialBalanceA!I113:I117)</f>
        <v>0</v>
      </c>
      <c r="P2563" s="295"/>
      <c r="R2563" s="348" t="str">
        <f t="shared" si="204"/>
        <v>DELETE</v>
      </c>
      <c r="T2563" s="334"/>
    </row>
    <row r="2564" spans="3:20" ht="36" customHeight="1" x14ac:dyDescent="0.45">
      <c r="C2564" s="397"/>
      <c r="D2564" s="434" t="s">
        <v>241</v>
      </c>
      <c r="E2564" s="434"/>
      <c r="F2564" s="434"/>
      <c r="G2564" s="434"/>
      <c r="H2564" s="434"/>
      <c r="I2564" s="434"/>
      <c r="J2564" s="449"/>
      <c r="K2564" s="292"/>
      <c r="L2564" s="350"/>
      <c r="M2564" s="350"/>
      <c r="N2564" s="292"/>
      <c r="O2564" s="408">
        <f>TrialBalanceA!I118</f>
        <v>0</v>
      </c>
      <c r="P2564" s="295"/>
      <c r="R2564" s="348" t="str">
        <f t="shared" si="204"/>
        <v>DELETE</v>
      </c>
      <c r="T2564" s="334"/>
    </row>
    <row r="2565" spans="3:20" ht="36" customHeight="1" x14ac:dyDescent="0.45">
      <c r="C2565" s="397"/>
      <c r="D2565" s="434" t="s">
        <v>344</v>
      </c>
      <c r="E2565" s="434"/>
      <c r="F2565" s="434"/>
      <c r="G2565" s="434"/>
      <c r="H2565" s="434"/>
      <c r="I2565" s="434"/>
      <c r="J2565" s="449"/>
      <c r="K2565" s="292"/>
      <c r="L2565" s="350"/>
      <c r="M2565" s="350"/>
      <c r="N2565" s="292"/>
      <c r="O2565" s="408">
        <f>TrialBalanceA!I119</f>
        <v>0</v>
      </c>
      <c r="P2565" s="295"/>
      <c r="R2565" s="348" t="str">
        <f t="shared" si="204"/>
        <v>DELETE</v>
      </c>
      <c r="T2565" s="334"/>
    </row>
    <row r="2566" spans="3:20" ht="36" customHeight="1" x14ac:dyDescent="0.45">
      <c r="C2566" s="397"/>
      <c r="D2566" s="434" t="s">
        <v>305</v>
      </c>
      <c r="E2566" s="434"/>
      <c r="F2566" s="434"/>
      <c r="G2566" s="434"/>
      <c r="H2566" s="434"/>
      <c r="I2566" s="434"/>
      <c r="J2566" s="449"/>
      <c r="K2566" s="292"/>
      <c r="L2566" s="350"/>
      <c r="M2566" s="350"/>
      <c r="N2566" s="292"/>
      <c r="O2566" s="408">
        <f>TrialBalanceA!I120</f>
        <v>0</v>
      </c>
      <c r="P2566" s="295"/>
      <c r="R2566" s="348" t="str">
        <f t="shared" si="204"/>
        <v>DELETE</v>
      </c>
      <c r="T2566" s="334"/>
    </row>
    <row r="2567" spans="3:20" ht="36" customHeight="1" x14ac:dyDescent="0.45">
      <c r="C2567" s="397"/>
      <c r="D2567" s="434" t="s">
        <v>346</v>
      </c>
      <c r="E2567" s="434"/>
      <c r="F2567" s="434"/>
      <c r="G2567" s="434"/>
      <c r="H2567" s="434"/>
      <c r="I2567" s="434"/>
      <c r="J2567" s="449"/>
      <c r="K2567" s="292"/>
      <c r="L2567" s="350"/>
      <c r="M2567" s="350"/>
      <c r="N2567" s="292"/>
      <c r="O2567" s="408">
        <f>TrialBalanceA!I121</f>
        <v>0</v>
      </c>
      <c r="P2567" s="295"/>
      <c r="R2567" s="348" t="str">
        <f t="shared" si="204"/>
        <v>DELETE</v>
      </c>
      <c r="T2567" s="334"/>
    </row>
    <row r="2568" spans="3:20" ht="36" customHeight="1" x14ac:dyDescent="0.45">
      <c r="C2568" s="397"/>
      <c r="D2568" s="434" t="s">
        <v>921</v>
      </c>
      <c r="E2568" s="434"/>
      <c r="F2568" s="434"/>
      <c r="G2568" s="434"/>
      <c r="H2568" s="434"/>
      <c r="I2568" s="434"/>
      <c r="J2568" s="449"/>
      <c r="K2568" s="292"/>
      <c r="L2568" s="350"/>
      <c r="M2568" s="350"/>
      <c r="N2568" s="292"/>
      <c r="O2568" s="408">
        <f>TrialBalanceA!I156</f>
        <v>0</v>
      </c>
      <c r="P2568" s="295"/>
      <c r="R2568" s="348" t="str">
        <f>IF(R$2453="DELETE","DELETE",IF(O2568=0,"DELETE"," "))</f>
        <v>DELETE</v>
      </c>
      <c r="T2568" s="334"/>
    </row>
    <row r="2569" spans="3:20" ht="36" customHeight="1" x14ac:dyDescent="0.45">
      <c r="C2569" s="397"/>
      <c r="D2569" s="434" t="s">
        <v>490</v>
      </c>
      <c r="E2569" s="434"/>
      <c r="F2569" s="434"/>
      <c r="G2569" s="434"/>
      <c r="H2569" s="434"/>
      <c r="I2569" s="434"/>
      <c r="J2569" s="449"/>
      <c r="K2569" s="292"/>
      <c r="L2569" s="350"/>
      <c r="M2569" s="350"/>
      <c r="N2569" s="292"/>
      <c r="O2569" s="408">
        <f>TrialBalanceA!I122+TrialBalanceA!I123</f>
        <v>0</v>
      </c>
      <c r="P2569" s="295"/>
      <c r="R2569" s="348" t="str">
        <f t="shared" si="204"/>
        <v>DELETE</v>
      </c>
      <c r="T2569" s="334"/>
    </row>
    <row r="2570" spans="3:20" ht="36" customHeight="1" x14ac:dyDescent="0.45">
      <c r="C2570" s="397"/>
      <c r="D2570" s="434" t="s">
        <v>512</v>
      </c>
      <c r="E2570" s="434"/>
      <c r="F2570" s="434"/>
      <c r="G2570" s="434"/>
      <c r="H2570" s="434"/>
      <c r="I2570" s="434"/>
      <c r="J2570" s="449"/>
      <c r="K2570" s="292"/>
      <c r="L2570" s="350"/>
      <c r="M2570" s="350"/>
      <c r="N2570" s="292"/>
      <c r="O2570" s="408">
        <f>IF(TrialBalanceA!I94&gt;0,TrialBalanceA!I94,0)</f>
        <v>0</v>
      </c>
      <c r="P2570" s="295"/>
      <c r="R2570" s="348" t="str">
        <f>IF(R$2453="DELETE","DELETE",IF(O2570=0,"DELETE"," "))</f>
        <v>DELETE</v>
      </c>
      <c r="T2570" s="334"/>
    </row>
    <row r="2571" spans="3:20" ht="36" customHeight="1" x14ac:dyDescent="0.45">
      <c r="C2571" s="397"/>
      <c r="D2571" s="434" t="s">
        <v>681</v>
      </c>
      <c r="E2571" s="434"/>
      <c r="F2571" s="434"/>
      <c r="G2571" s="434"/>
      <c r="H2571" s="434"/>
      <c r="I2571" s="434"/>
      <c r="J2571" s="449"/>
      <c r="K2571" s="292"/>
      <c r="L2571" s="350"/>
      <c r="M2571" s="350"/>
      <c r="N2571" s="292"/>
      <c r="O2571" s="408">
        <f>TrialBalanceA!I124</f>
        <v>0</v>
      </c>
      <c r="P2571" s="295"/>
      <c r="R2571" s="348" t="str">
        <f t="shared" si="204"/>
        <v>DELETE</v>
      </c>
      <c r="T2571" s="334"/>
    </row>
    <row r="2572" spans="3:20" ht="36" customHeight="1" x14ac:dyDescent="0.45">
      <c r="C2572" s="397"/>
      <c r="D2572" s="434" t="s">
        <v>242</v>
      </c>
      <c r="E2572" s="434"/>
      <c r="F2572" s="434"/>
      <c r="G2572" s="434"/>
      <c r="H2572" s="434"/>
      <c r="I2572" s="434"/>
      <c r="J2572" s="449"/>
      <c r="K2572" s="292"/>
      <c r="L2572" s="350"/>
      <c r="M2572" s="350"/>
      <c r="N2572" s="292"/>
      <c r="O2572" s="408">
        <f>TrialBalanceA!I125</f>
        <v>0</v>
      </c>
      <c r="P2572" s="295"/>
      <c r="R2572" s="348" t="str">
        <f t="shared" si="204"/>
        <v>DELETE</v>
      </c>
      <c r="T2572" s="334"/>
    </row>
    <row r="2573" spans="3:20" ht="36" customHeight="1" x14ac:dyDescent="0.45">
      <c r="C2573" s="397"/>
      <c r="D2573" s="434" t="s">
        <v>235</v>
      </c>
      <c r="E2573" s="434"/>
      <c r="F2573" s="434"/>
      <c r="G2573" s="434"/>
      <c r="H2573" s="434"/>
      <c r="I2573" s="434"/>
      <c r="J2573" s="449"/>
      <c r="K2573" s="292"/>
      <c r="L2573" s="350"/>
      <c r="M2573" s="350"/>
      <c r="N2573" s="292"/>
      <c r="O2573" s="408">
        <f>SUM(TrialBalanceA!I126:I127)</f>
        <v>0</v>
      </c>
      <c r="P2573" s="295"/>
      <c r="R2573" s="348" t="str">
        <f t="shared" si="204"/>
        <v>DELETE</v>
      </c>
      <c r="T2573" s="334"/>
    </row>
    <row r="2574" spans="3:20" ht="36" customHeight="1" x14ac:dyDescent="0.45">
      <c r="C2574" s="397"/>
      <c r="D2574" s="434" t="s">
        <v>243</v>
      </c>
      <c r="E2574" s="434"/>
      <c r="F2574" s="434"/>
      <c r="G2574" s="434"/>
      <c r="H2574" s="434"/>
      <c r="I2574" s="434"/>
      <c r="J2574" s="449"/>
      <c r="K2574" s="292"/>
      <c r="L2574" s="350"/>
      <c r="M2574" s="350"/>
      <c r="N2574" s="292"/>
      <c r="O2574" s="408">
        <f>TrialBalanceA!I128</f>
        <v>0</v>
      </c>
      <c r="P2574" s="295"/>
      <c r="R2574" s="348" t="str">
        <f t="shared" si="204"/>
        <v>DELETE</v>
      </c>
      <c r="T2574" s="334"/>
    </row>
    <row r="2575" spans="3:20" ht="36" customHeight="1" x14ac:dyDescent="0.45">
      <c r="C2575" s="397"/>
      <c r="D2575" s="434" t="s">
        <v>682</v>
      </c>
      <c r="E2575" s="434"/>
      <c r="F2575" s="434"/>
      <c r="G2575" s="434"/>
      <c r="H2575" s="434"/>
      <c r="I2575" s="434"/>
      <c r="J2575" s="449"/>
      <c r="K2575" s="292"/>
      <c r="L2575" s="350"/>
      <c r="M2575" s="350"/>
      <c r="N2575" s="292"/>
      <c r="O2575" s="408">
        <f>TrialBalanceA!I129</f>
        <v>0</v>
      </c>
      <c r="P2575" s="295"/>
      <c r="R2575" s="348" t="str">
        <f t="shared" si="204"/>
        <v>DELETE</v>
      </c>
      <c r="T2575" s="334"/>
    </row>
    <row r="2576" spans="3:20" ht="36" customHeight="1" x14ac:dyDescent="0.45">
      <c r="C2576" s="397"/>
      <c r="D2576" s="434" t="s">
        <v>74</v>
      </c>
      <c r="E2576" s="434"/>
      <c r="F2576" s="434"/>
      <c r="G2576" s="434"/>
      <c r="H2576" s="434"/>
      <c r="I2576" s="434"/>
      <c r="J2576" s="449"/>
      <c r="K2576" s="292"/>
      <c r="L2576" s="350"/>
      <c r="M2576" s="350"/>
      <c r="N2576" s="292"/>
      <c r="O2576" s="408">
        <f>TrialBalanceA!I130</f>
        <v>0</v>
      </c>
      <c r="P2576" s="295"/>
      <c r="R2576" s="348" t="str">
        <f t="shared" si="204"/>
        <v>DELETE</v>
      </c>
      <c r="T2576" s="334"/>
    </row>
    <row r="2577" spans="3:20" ht="36" customHeight="1" x14ac:dyDescent="0.45">
      <c r="C2577" s="397"/>
      <c r="D2577" s="434">
        <f>TrialBalanceA!C131</f>
        <v>0</v>
      </c>
      <c r="E2577" s="434"/>
      <c r="F2577" s="434"/>
      <c r="G2577" s="434"/>
      <c r="H2577" s="434"/>
      <c r="I2577" s="434"/>
      <c r="J2577" s="449"/>
      <c r="K2577" s="292"/>
      <c r="L2577" s="350"/>
      <c r="M2577" s="350"/>
      <c r="N2577" s="292"/>
      <c r="O2577" s="408">
        <f>TrialBalanceA!I131</f>
        <v>0</v>
      </c>
      <c r="P2577" s="295"/>
      <c r="R2577" s="348" t="str">
        <f t="shared" si="204"/>
        <v>DELETE</v>
      </c>
      <c r="T2577" s="334"/>
    </row>
    <row r="2578" spans="3:20" ht="36" customHeight="1" x14ac:dyDescent="0.45">
      <c r="C2578" s="397"/>
      <c r="D2578" s="434">
        <f>TrialBalanceA!C132</f>
        <v>0</v>
      </c>
      <c r="E2578" s="434"/>
      <c r="F2578" s="434"/>
      <c r="G2578" s="434"/>
      <c r="H2578" s="434"/>
      <c r="I2578" s="434"/>
      <c r="J2578" s="449"/>
      <c r="K2578" s="292"/>
      <c r="L2578" s="350"/>
      <c r="M2578" s="350"/>
      <c r="N2578" s="292"/>
      <c r="O2578" s="408">
        <f>TrialBalanceA!I132</f>
        <v>0</v>
      </c>
      <c r="P2578" s="295"/>
      <c r="R2578" s="348" t="str">
        <f t="shared" si="204"/>
        <v>DELETE</v>
      </c>
      <c r="T2578" s="334"/>
    </row>
    <row r="2579" spans="3:20" ht="36" customHeight="1" x14ac:dyDescent="0.45">
      <c r="C2579" s="397"/>
      <c r="D2579" s="434">
        <f>TrialBalanceA!C133</f>
        <v>0</v>
      </c>
      <c r="E2579" s="434"/>
      <c r="F2579" s="434"/>
      <c r="G2579" s="434"/>
      <c r="H2579" s="434"/>
      <c r="I2579" s="434"/>
      <c r="J2579" s="449"/>
      <c r="K2579" s="292"/>
      <c r="L2579" s="350"/>
      <c r="M2579" s="350"/>
      <c r="N2579" s="292"/>
      <c r="O2579" s="408">
        <f>TrialBalanceA!I133</f>
        <v>0</v>
      </c>
      <c r="P2579" s="295"/>
      <c r="R2579" s="348" t="str">
        <f t="shared" si="204"/>
        <v>DELETE</v>
      </c>
      <c r="T2579" s="334"/>
    </row>
    <row r="2580" spans="3:20" ht="36" customHeight="1" x14ac:dyDescent="0.45">
      <c r="C2580" s="397"/>
      <c r="D2580" s="434">
        <f>TrialBalanceA!C134</f>
        <v>0</v>
      </c>
      <c r="E2580" s="434"/>
      <c r="F2580" s="434"/>
      <c r="G2580" s="434"/>
      <c r="H2580" s="434"/>
      <c r="I2580" s="434"/>
      <c r="J2580" s="449"/>
      <c r="K2580" s="292"/>
      <c r="L2580" s="350"/>
      <c r="M2580" s="350"/>
      <c r="N2580" s="292"/>
      <c r="O2580" s="408">
        <f>TrialBalanceA!I134</f>
        <v>0</v>
      </c>
      <c r="P2580" s="295"/>
      <c r="R2580" s="348" t="str">
        <f t="shared" si="204"/>
        <v>DELETE</v>
      </c>
      <c r="T2580" s="334"/>
    </row>
    <row r="2581" spans="3:20" ht="36" customHeight="1" x14ac:dyDescent="0.45">
      <c r="C2581" s="397"/>
      <c r="D2581" s="434">
        <f>TrialBalanceA!C135</f>
        <v>0</v>
      </c>
      <c r="E2581" s="434"/>
      <c r="F2581" s="434"/>
      <c r="G2581" s="434"/>
      <c r="H2581" s="434"/>
      <c r="I2581" s="434"/>
      <c r="J2581" s="449"/>
      <c r="K2581" s="292"/>
      <c r="L2581" s="350"/>
      <c r="M2581" s="350"/>
      <c r="N2581" s="292"/>
      <c r="O2581" s="408">
        <f>TrialBalanceA!I135</f>
        <v>0</v>
      </c>
      <c r="P2581" s="295"/>
      <c r="R2581" s="348" t="str">
        <f t="shared" si="204"/>
        <v>DELETE</v>
      </c>
      <c r="T2581" s="334"/>
    </row>
    <row r="2582" spans="3:20" ht="36" customHeight="1" x14ac:dyDescent="0.45">
      <c r="C2582" s="397"/>
      <c r="D2582" s="434">
        <f>TrialBalanceA!C136</f>
        <v>0</v>
      </c>
      <c r="E2582" s="434"/>
      <c r="F2582" s="434"/>
      <c r="G2582" s="434"/>
      <c r="H2582" s="434"/>
      <c r="I2582" s="434"/>
      <c r="J2582" s="449"/>
      <c r="K2582" s="292"/>
      <c r="L2582" s="350"/>
      <c r="M2582" s="350"/>
      <c r="N2582" s="292"/>
      <c r="O2582" s="408">
        <f>TrialBalanceA!I136</f>
        <v>0</v>
      </c>
      <c r="P2582" s="295"/>
      <c r="R2582" s="348" t="str">
        <f t="shared" si="204"/>
        <v>DELETE</v>
      </c>
      <c r="T2582" s="334"/>
    </row>
    <row r="2583" spans="3:20" ht="36" customHeight="1" x14ac:dyDescent="0.45">
      <c r="C2583" s="397"/>
      <c r="D2583" s="434">
        <f>TrialBalanceA!C137</f>
        <v>0</v>
      </c>
      <c r="E2583" s="434"/>
      <c r="F2583" s="434"/>
      <c r="G2583" s="434"/>
      <c r="H2583" s="434"/>
      <c r="I2583" s="434"/>
      <c r="J2583" s="449"/>
      <c r="K2583" s="292"/>
      <c r="L2583" s="350"/>
      <c r="M2583" s="350"/>
      <c r="N2583" s="292"/>
      <c r="O2583" s="408">
        <f>TrialBalanceA!I137</f>
        <v>0</v>
      </c>
      <c r="P2583" s="295"/>
      <c r="R2583" s="348" t="str">
        <f t="shared" si="204"/>
        <v>DELETE</v>
      </c>
      <c r="T2583" s="334"/>
    </row>
    <row r="2584" spans="3:20" ht="36" customHeight="1" x14ac:dyDescent="0.45">
      <c r="C2584" s="397"/>
      <c r="D2584" s="434">
        <f>TrialBalanceA!C138</f>
        <v>0</v>
      </c>
      <c r="E2584" s="434"/>
      <c r="F2584" s="434"/>
      <c r="G2584" s="434"/>
      <c r="H2584" s="434"/>
      <c r="I2584" s="434"/>
      <c r="J2584" s="449"/>
      <c r="K2584" s="292"/>
      <c r="L2584" s="350"/>
      <c r="M2584" s="350"/>
      <c r="N2584" s="292"/>
      <c r="O2584" s="408">
        <f>TrialBalanceA!I138</f>
        <v>0</v>
      </c>
      <c r="P2584" s="295"/>
      <c r="R2584" s="348" t="str">
        <f t="shared" si="204"/>
        <v>DELETE</v>
      </c>
      <c r="T2584" s="334"/>
    </row>
    <row r="2585" spans="3:20" ht="36" customHeight="1" x14ac:dyDescent="0.45">
      <c r="C2585" s="397"/>
      <c r="D2585" s="434">
        <f>TrialBalanceA!C139</f>
        <v>0</v>
      </c>
      <c r="E2585" s="434"/>
      <c r="F2585" s="434"/>
      <c r="G2585" s="434"/>
      <c r="H2585" s="434"/>
      <c r="I2585" s="434"/>
      <c r="J2585" s="449"/>
      <c r="K2585" s="292"/>
      <c r="L2585" s="350"/>
      <c r="M2585" s="350"/>
      <c r="N2585" s="292"/>
      <c r="O2585" s="408">
        <f>TrialBalanceA!I139</f>
        <v>0</v>
      </c>
      <c r="P2585" s="295"/>
      <c r="R2585" s="348" t="str">
        <f t="shared" si="204"/>
        <v>DELETE</v>
      </c>
      <c r="T2585" s="334"/>
    </row>
    <row r="2586" spans="3:20" ht="36" customHeight="1" x14ac:dyDescent="0.45">
      <c r="C2586" s="397"/>
      <c r="D2586" s="434" t="str">
        <f>TrialBalanceA!C140</f>
        <v>Amortisation of prepaid lease agreement</v>
      </c>
      <c r="E2586" s="434"/>
      <c r="F2586" s="434"/>
      <c r="G2586" s="434"/>
      <c r="H2586" s="434"/>
      <c r="I2586" s="434"/>
      <c r="J2586" s="449"/>
      <c r="K2586" s="292"/>
      <c r="L2586" s="350"/>
      <c r="M2586" s="350"/>
      <c r="N2586" s="292"/>
      <c r="O2586" s="408">
        <f>TrialBalanceA!I140</f>
        <v>0</v>
      </c>
      <c r="P2586" s="295"/>
      <c r="R2586" s="348" t="str">
        <f t="shared" si="204"/>
        <v>DELETE</v>
      </c>
      <c r="T2586" s="334"/>
    </row>
    <row r="2587" spans="3:20" ht="36" customHeight="1" x14ac:dyDescent="0.45">
      <c r="C2587" s="397"/>
      <c r="D2587" s="434" t="str">
        <f>TrialBalanceA!C141</f>
        <v>Amortisation of goodwill</v>
      </c>
      <c r="E2587" s="434"/>
      <c r="F2587" s="434"/>
      <c r="G2587" s="434"/>
      <c r="H2587" s="434"/>
      <c r="I2587" s="434"/>
      <c r="J2587" s="449"/>
      <c r="K2587" s="292"/>
      <c r="L2587" s="350"/>
      <c r="M2587" s="350"/>
      <c r="N2587" s="292"/>
      <c r="O2587" s="408">
        <f>TrialBalanceA!I141</f>
        <v>0</v>
      </c>
      <c r="P2587" s="295"/>
      <c r="R2587" s="348" t="str">
        <f t="shared" ref="R2587" si="206">IF(R$2453="DELETE","DELETE",IF(O2587=0,"DELETE"," "))</f>
        <v>DELETE</v>
      </c>
      <c r="T2587" s="334"/>
    </row>
    <row r="2588" spans="3:20" ht="9" customHeight="1" x14ac:dyDescent="0.45">
      <c r="C2588" s="397"/>
      <c r="D2588" s="434"/>
      <c r="E2588" s="434"/>
      <c r="F2588" s="434"/>
      <c r="G2588" s="434"/>
      <c r="H2588" s="434"/>
      <c r="I2588" s="434"/>
      <c r="J2588" s="449"/>
      <c r="K2588" s="292"/>
      <c r="L2588" s="350"/>
      <c r="M2588" s="350"/>
      <c r="N2588" s="292"/>
      <c r="O2588" s="409"/>
      <c r="P2588" s="295"/>
      <c r="R2588" s="348" t="str">
        <f>R2552</f>
        <v>DELETE</v>
      </c>
      <c r="T2588" s="334"/>
    </row>
    <row r="2589" spans="3:20" ht="9" customHeight="1" x14ac:dyDescent="0.45">
      <c r="C2589" s="397"/>
      <c r="D2589" s="434"/>
      <c r="E2589" s="434"/>
      <c r="F2589" s="434"/>
      <c r="G2589" s="434"/>
      <c r="H2589" s="434"/>
      <c r="I2589" s="434"/>
      <c r="J2589" s="449"/>
      <c r="K2589" s="292"/>
      <c r="L2589" s="350"/>
      <c r="M2589" s="350"/>
      <c r="N2589" s="292"/>
      <c r="O2589" s="298"/>
      <c r="P2589" s="295"/>
      <c r="R2589" s="348" t="str">
        <f>R$2453</f>
        <v>DELETE</v>
      </c>
      <c r="T2589" s="334"/>
    </row>
    <row r="2590" spans="3:20" ht="9" customHeight="1" x14ac:dyDescent="0.45">
      <c r="C2590" s="397"/>
      <c r="D2590" s="434"/>
      <c r="E2590" s="434"/>
      <c r="F2590" s="434"/>
      <c r="G2590" s="434"/>
      <c r="H2590" s="434"/>
      <c r="I2590" s="434"/>
      <c r="J2590" s="449"/>
      <c r="K2590" s="292"/>
      <c r="L2590" s="350"/>
      <c r="M2590" s="350"/>
      <c r="N2590" s="292"/>
      <c r="O2590" s="296"/>
      <c r="P2590" s="295"/>
      <c r="R2590" s="348" t="str">
        <f>R$2453</f>
        <v>DELETE</v>
      </c>
      <c r="T2590" s="334"/>
    </row>
    <row r="2591" spans="3:20" ht="36" customHeight="1" x14ac:dyDescent="0.45">
      <c r="D2591" s="446" t="str">
        <f>IF(O2591&lt;0,"Operating loss for the year","Operating profit for the year")</f>
        <v>Operating profit for the year</v>
      </c>
      <c r="E2591" s="434"/>
      <c r="F2591" s="434"/>
      <c r="G2591" s="434"/>
      <c r="H2591" s="434"/>
      <c r="I2591" s="434"/>
      <c r="J2591" s="449"/>
      <c r="K2591" s="292">
        <f>'FS2'!B958</f>
        <v>5</v>
      </c>
      <c r="L2591" s="350"/>
      <c r="M2591" s="350"/>
      <c r="N2591" s="292"/>
      <c r="O2591" s="296">
        <f>SUM(S2465:S2588)</f>
        <v>0</v>
      </c>
      <c r="P2591" s="295"/>
      <c r="R2591" s="348" t="str">
        <f>R$2453</f>
        <v>DELETE</v>
      </c>
      <c r="T2591" s="334"/>
    </row>
    <row r="2592" spans="3:20" ht="36" customHeight="1" x14ac:dyDescent="0.45">
      <c r="C2592" s="397"/>
      <c r="D2592" s="434"/>
      <c r="E2592" s="434"/>
      <c r="F2592" s="434"/>
      <c r="G2592" s="434"/>
      <c r="H2592" s="434"/>
      <c r="I2592" s="434"/>
      <c r="J2592" s="449"/>
      <c r="K2592" s="292"/>
      <c r="L2592" s="350"/>
      <c r="M2592" s="350"/>
      <c r="N2592" s="292"/>
      <c r="O2592" s="296"/>
      <c r="P2592" s="295"/>
      <c r="R2592" s="348" t="str">
        <f>R$2453</f>
        <v>DELETE</v>
      </c>
      <c r="T2592" s="334"/>
    </row>
    <row r="2593" spans="3:22" ht="36" customHeight="1" x14ac:dyDescent="0.45">
      <c r="D2593" s="433" t="s">
        <v>191</v>
      </c>
      <c r="E2593" s="434"/>
      <c r="F2593" s="434"/>
      <c r="G2593" s="434"/>
      <c r="H2593" s="434"/>
      <c r="I2593" s="434"/>
      <c r="J2593" s="449"/>
      <c r="K2593" s="292">
        <f>'FS2'!B1071</f>
        <v>6</v>
      </c>
      <c r="L2593" s="350"/>
      <c r="M2593" s="350"/>
      <c r="N2593" s="292"/>
      <c r="O2593" s="296">
        <f>SUM(O2596:O2603)</f>
        <v>0</v>
      </c>
      <c r="P2593" s="295"/>
      <c r="R2593" s="348" t="str">
        <f t="shared" ref="R2593" si="207">IF(R$2453="DELETE","DELETE",IF(O2593=0,"DELETE"," "))</f>
        <v>DELETE</v>
      </c>
      <c r="S2593" s="333">
        <f>O2593</f>
        <v>0</v>
      </c>
      <c r="T2593" s="334"/>
      <c r="U2593" s="333"/>
      <c r="V2593" s="333"/>
    </row>
    <row r="2594" spans="3:22" ht="9" customHeight="1" x14ac:dyDescent="0.45">
      <c r="C2594" s="397"/>
      <c r="D2594" s="434"/>
      <c r="E2594" s="434"/>
      <c r="F2594" s="434"/>
      <c r="G2594" s="434"/>
      <c r="H2594" s="434"/>
      <c r="I2594" s="434"/>
      <c r="J2594" s="449"/>
      <c r="K2594" s="292"/>
      <c r="L2594" s="350"/>
      <c r="M2594" s="350"/>
      <c r="N2594" s="292"/>
      <c r="O2594" s="296"/>
      <c r="P2594" s="295"/>
      <c r="R2594" s="348" t="str">
        <f>R2593</f>
        <v>DELETE</v>
      </c>
      <c r="T2594" s="334"/>
    </row>
    <row r="2595" spans="3:22" ht="9" customHeight="1" x14ac:dyDescent="0.45">
      <c r="C2595" s="397"/>
      <c r="D2595" s="434"/>
      <c r="E2595" s="434"/>
      <c r="F2595" s="434"/>
      <c r="G2595" s="434"/>
      <c r="H2595" s="434"/>
      <c r="I2595" s="434"/>
      <c r="J2595" s="449"/>
      <c r="K2595" s="292"/>
      <c r="L2595" s="350"/>
      <c r="M2595" s="350"/>
      <c r="N2595" s="292"/>
      <c r="O2595" s="407"/>
      <c r="P2595" s="295"/>
      <c r="R2595" s="348" t="str">
        <f>R2594</f>
        <v>DELETE</v>
      </c>
      <c r="T2595" s="334"/>
    </row>
    <row r="2596" spans="3:22" ht="36" customHeight="1" x14ac:dyDescent="0.45">
      <c r="C2596" s="397"/>
      <c r="D2596" s="434" t="s">
        <v>189</v>
      </c>
      <c r="E2596" s="434"/>
      <c r="F2596" s="434"/>
      <c r="G2596" s="434"/>
      <c r="H2596" s="434"/>
      <c r="I2596" s="434"/>
      <c r="J2596" s="449"/>
      <c r="K2596" s="292"/>
      <c r="L2596" s="350"/>
      <c r="M2596" s="350"/>
      <c r="N2596" s="292"/>
      <c r="O2596" s="408">
        <f>-TrialBalanceA!I95</f>
        <v>0</v>
      </c>
      <c r="P2596" s="295"/>
      <c r="R2596" s="348" t="str">
        <f t="shared" ref="R2596:R2601" si="208">IF(R$2453="DELETE","DELETE",IF(O2596=0,"DELETE"," "))</f>
        <v>DELETE</v>
      </c>
      <c r="T2596" s="334"/>
    </row>
    <row r="2597" spans="3:22" ht="36" customHeight="1" x14ac:dyDescent="0.45">
      <c r="C2597" s="397"/>
      <c r="D2597" s="434" t="s">
        <v>496</v>
      </c>
      <c r="E2597" s="434"/>
      <c r="F2597" s="434"/>
      <c r="G2597" s="434"/>
      <c r="H2597" s="434"/>
      <c r="I2597" s="434"/>
      <c r="J2597" s="449"/>
      <c r="K2597" s="292"/>
      <c r="L2597" s="350"/>
      <c r="M2597" s="350"/>
      <c r="N2597" s="292"/>
      <c r="O2597" s="408">
        <f>-SUM(TrialBalanceA!I91:I93)</f>
        <v>0</v>
      </c>
      <c r="P2597" s="295"/>
      <c r="R2597" s="348" t="str">
        <f t="shared" si="208"/>
        <v>DELETE</v>
      </c>
      <c r="T2597" s="334"/>
    </row>
    <row r="2598" spans="3:22" ht="36" customHeight="1" x14ac:dyDescent="0.45">
      <c r="C2598" s="397"/>
      <c r="D2598" s="434" t="s">
        <v>497</v>
      </c>
      <c r="E2598" s="434"/>
      <c r="F2598" s="434"/>
      <c r="G2598" s="434"/>
      <c r="H2598" s="434"/>
      <c r="I2598" s="434"/>
      <c r="J2598" s="449"/>
      <c r="K2598" s="292"/>
      <c r="L2598" s="350"/>
      <c r="M2598" s="350"/>
      <c r="N2598" s="292"/>
      <c r="O2598" s="419">
        <f>-SUM(TrialBalanceA!I86:I89)</f>
        <v>0</v>
      </c>
      <c r="P2598" s="295"/>
      <c r="R2598" s="348" t="str">
        <f t="shared" si="208"/>
        <v>DELETE</v>
      </c>
      <c r="T2598" s="334"/>
    </row>
    <row r="2599" spans="3:22" ht="36" customHeight="1" x14ac:dyDescent="0.45">
      <c r="C2599" s="397"/>
      <c r="D2599" s="434" t="s">
        <v>191</v>
      </c>
      <c r="E2599" s="434"/>
      <c r="F2599" s="434"/>
      <c r="G2599" s="434"/>
      <c r="H2599" s="434"/>
      <c r="I2599" s="434"/>
      <c r="J2599" s="449"/>
      <c r="K2599" s="292"/>
      <c r="L2599" s="350"/>
      <c r="M2599" s="350"/>
      <c r="N2599" s="292"/>
      <c r="O2599" s="419">
        <f>-SUM(TrialBalanceA!I96)</f>
        <v>0</v>
      </c>
      <c r="P2599" s="295"/>
      <c r="R2599" s="348" t="str">
        <f t="shared" si="208"/>
        <v>DELETE</v>
      </c>
      <c r="T2599" s="334"/>
    </row>
    <row r="2600" spans="3:22" ht="36" customHeight="1" x14ac:dyDescent="0.45">
      <c r="C2600" s="397"/>
      <c r="D2600" s="434" t="s">
        <v>513</v>
      </c>
      <c r="E2600" s="434"/>
      <c r="F2600" s="434"/>
      <c r="G2600" s="434"/>
      <c r="H2600" s="434"/>
      <c r="I2600" s="434"/>
      <c r="J2600" s="449"/>
      <c r="K2600" s="292"/>
      <c r="L2600" s="350"/>
      <c r="M2600" s="350"/>
      <c r="N2600" s="292"/>
      <c r="O2600" s="408">
        <f>IF(TrialBalanceA!I94&lt;0,-TrialBalanceA!I94,0)</f>
        <v>0</v>
      </c>
      <c r="P2600" s="295"/>
      <c r="R2600" s="348" t="str">
        <f t="shared" si="208"/>
        <v>DELETE</v>
      </c>
      <c r="T2600" s="334"/>
    </row>
    <row r="2601" spans="3:22" ht="36" customHeight="1" x14ac:dyDescent="0.45">
      <c r="C2601" s="397"/>
      <c r="D2601" s="434" t="s">
        <v>334</v>
      </c>
      <c r="E2601" s="434"/>
      <c r="F2601" s="434"/>
      <c r="G2601" s="434"/>
      <c r="H2601" s="434"/>
      <c r="I2601" s="434"/>
      <c r="J2601" s="449"/>
      <c r="K2601" s="292"/>
      <c r="L2601" s="350"/>
      <c r="M2601" s="350"/>
      <c r="N2601" s="292"/>
      <c r="O2601" s="408">
        <f>-TrialBalanceA!I84</f>
        <v>0</v>
      </c>
      <c r="P2601" s="295"/>
      <c r="R2601" s="348" t="str">
        <f t="shared" si="208"/>
        <v>DELETE</v>
      </c>
      <c r="T2601" s="334"/>
    </row>
    <row r="2602" spans="3:22" ht="36" customHeight="1" x14ac:dyDescent="0.45">
      <c r="C2602" s="397"/>
      <c r="D2602" s="434" t="str">
        <f>TrialBalance!C97</f>
        <v>Revaluation of investment property</v>
      </c>
      <c r="E2602" s="434"/>
      <c r="F2602" s="434"/>
      <c r="G2602" s="434"/>
      <c r="H2602" s="434"/>
      <c r="I2602" s="434"/>
      <c r="J2602" s="449"/>
      <c r="K2602" s="292"/>
      <c r="L2602" s="350"/>
      <c r="M2602" s="350"/>
      <c r="N2602" s="292"/>
      <c r="O2602" s="408">
        <f>-TrialBalanceA!I97</f>
        <v>0</v>
      </c>
      <c r="P2602" s="295"/>
      <c r="R2602" s="348" t="str">
        <f>IF(R$2453="DELETE","DELETE",IF(O2602=0,"DELETE"," "))</f>
        <v>DELETE</v>
      </c>
      <c r="T2602" s="334"/>
    </row>
    <row r="2603" spans="3:22" ht="9" customHeight="1" x14ac:dyDescent="0.45">
      <c r="C2603" s="397"/>
      <c r="D2603" s="434"/>
      <c r="E2603" s="434"/>
      <c r="F2603" s="434"/>
      <c r="G2603" s="434"/>
      <c r="H2603" s="434"/>
      <c r="I2603" s="434"/>
      <c r="J2603" s="449"/>
      <c r="K2603" s="292"/>
      <c r="L2603" s="350"/>
      <c r="M2603" s="350"/>
      <c r="N2603" s="292"/>
      <c r="O2603" s="409"/>
      <c r="P2603" s="295"/>
      <c r="R2603" s="348" t="str">
        <f>R2593</f>
        <v>DELETE</v>
      </c>
      <c r="T2603" s="334"/>
    </row>
    <row r="2604" spans="3:22" ht="9" customHeight="1" x14ac:dyDescent="0.45">
      <c r="C2604" s="397"/>
      <c r="D2604" s="434"/>
      <c r="E2604" s="434"/>
      <c r="F2604" s="434"/>
      <c r="G2604" s="434"/>
      <c r="H2604" s="434"/>
      <c r="I2604" s="434"/>
      <c r="J2604" s="449"/>
      <c r="K2604" s="292"/>
      <c r="L2604" s="350"/>
      <c r="M2604" s="350"/>
      <c r="N2604" s="292"/>
      <c r="O2604" s="298"/>
      <c r="P2604" s="295"/>
      <c r="R2604" s="348" t="str">
        <f>R2603</f>
        <v>DELETE</v>
      </c>
      <c r="T2604" s="334"/>
    </row>
    <row r="2605" spans="3:22" ht="9" customHeight="1" x14ac:dyDescent="0.45">
      <c r="C2605" s="397"/>
      <c r="D2605" s="434"/>
      <c r="E2605" s="434"/>
      <c r="F2605" s="434"/>
      <c r="G2605" s="434"/>
      <c r="H2605" s="434"/>
      <c r="I2605" s="434"/>
      <c r="J2605" s="449"/>
      <c r="K2605" s="292"/>
      <c r="L2605" s="350"/>
      <c r="M2605" s="350"/>
      <c r="N2605" s="292"/>
      <c r="O2605" s="296"/>
      <c r="P2605" s="295"/>
      <c r="R2605" s="348" t="str">
        <f>R2604</f>
        <v>DELETE</v>
      </c>
      <c r="T2605" s="334"/>
    </row>
    <row r="2606" spans="3:22" ht="36" customHeight="1" x14ac:dyDescent="0.45">
      <c r="C2606" s="397"/>
      <c r="D2606" s="434"/>
      <c r="E2606" s="434"/>
      <c r="F2606" s="434"/>
      <c r="G2606" s="434"/>
      <c r="H2606" s="434"/>
      <c r="I2606" s="434"/>
      <c r="J2606" s="449"/>
      <c r="K2606" s="292"/>
      <c r="L2606" s="350"/>
      <c r="M2606" s="350"/>
      <c r="N2606" s="292"/>
      <c r="O2606" s="296">
        <f>SUM(S2465:S2603)</f>
        <v>0</v>
      </c>
      <c r="P2606" s="295"/>
      <c r="R2606" s="348" t="str">
        <f>R2605</f>
        <v>DELETE</v>
      </c>
      <c r="T2606" s="334"/>
    </row>
    <row r="2607" spans="3:22" ht="36" customHeight="1" x14ac:dyDescent="0.45">
      <c r="C2607" s="397"/>
      <c r="D2607" s="434"/>
      <c r="E2607" s="434"/>
      <c r="F2607" s="434"/>
      <c r="G2607" s="434"/>
      <c r="H2607" s="434"/>
      <c r="I2607" s="434"/>
      <c r="J2607" s="449"/>
      <c r="K2607" s="292"/>
      <c r="L2607" s="350"/>
      <c r="M2607" s="350"/>
      <c r="N2607" s="292"/>
      <c r="O2607" s="296"/>
      <c r="P2607" s="295"/>
      <c r="R2607" s="348" t="str">
        <f>R2606</f>
        <v>DELETE</v>
      </c>
      <c r="T2607" s="334"/>
    </row>
    <row r="2608" spans="3:22" ht="36" customHeight="1" x14ac:dyDescent="0.45">
      <c r="D2608" s="434" t="s">
        <v>1077</v>
      </c>
      <c r="E2608" s="434"/>
      <c r="F2608" s="434"/>
      <c r="G2608" s="434"/>
      <c r="H2608" s="434"/>
      <c r="I2608" s="434"/>
      <c r="J2608" s="449"/>
      <c r="K2608" s="292">
        <f>'FS2'!B1131</f>
        <v>7</v>
      </c>
      <c r="L2608" s="350"/>
      <c r="M2608" s="350"/>
      <c r="N2608" s="292"/>
      <c r="O2608" s="296">
        <f>SUM(TrialBalanceA!I144:I154)</f>
        <v>0</v>
      </c>
      <c r="P2608" s="295"/>
      <c r="R2608" s="348" t="str">
        <f t="shared" ref="R2608" si="209">IF(R$2453="DELETE","DELETE",IF(O2608=0,"DELETE"," "))</f>
        <v>DELETE</v>
      </c>
      <c r="S2608" s="333">
        <f>-O2608</f>
        <v>0</v>
      </c>
      <c r="T2608" s="334"/>
      <c r="U2608" s="333"/>
      <c r="V2608" s="333"/>
    </row>
    <row r="2609" spans="3:22" ht="9" customHeight="1" x14ac:dyDescent="0.45">
      <c r="C2609" s="397"/>
      <c r="D2609" s="434"/>
      <c r="E2609" s="434"/>
      <c r="F2609" s="434"/>
      <c r="G2609" s="434"/>
      <c r="H2609" s="434"/>
      <c r="I2609" s="434"/>
      <c r="J2609" s="449"/>
      <c r="K2609" s="292"/>
      <c r="L2609" s="350"/>
      <c r="M2609" s="350"/>
      <c r="N2609" s="292"/>
      <c r="O2609" s="298"/>
      <c r="P2609" s="295"/>
      <c r="R2609" s="348" t="str">
        <f t="shared" ref="R2609:R2617" si="210">R$2453</f>
        <v>DELETE</v>
      </c>
      <c r="T2609" s="334"/>
    </row>
    <row r="2610" spans="3:22" ht="9" customHeight="1" x14ac:dyDescent="0.45">
      <c r="C2610" s="397"/>
      <c r="D2610" s="434"/>
      <c r="E2610" s="434"/>
      <c r="F2610" s="434"/>
      <c r="G2610" s="434"/>
      <c r="H2610" s="434"/>
      <c r="I2610" s="434"/>
      <c r="J2610" s="449"/>
      <c r="K2610" s="292"/>
      <c r="L2610" s="350"/>
      <c r="M2610" s="350"/>
      <c r="N2610" s="292"/>
      <c r="O2610" s="296"/>
      <c r="P2610" s="295"/>
      <c r="R2610" s="348" t="str">
        <f t="shared" si="210"/>
        <v>DELETE</v>
      </c>
      <c r="T2610" s="334"/>
    </row>
    <row r="2611" spans="3:22" ht="36.75" customHeight="1" x14ac:dyDescent="0.45">
      <c r="D2611" s="446" t="str">
        <f>IF(O2611&lt;0,"Net loss before taxation","Net profit before taxation")</f>
        <v>Net profit before taxation</v>
      </c>
      <c r="E2611" s="434"/>
      <c r="F2611" s="434"/>
      <c r="G2611" s="434"/>
      <c r="H2611" s="434"/>
      <c r="I2611" s="434"/>
      <c r="J2611" s="449"/>
      <c r="K2611" s="292"/>
      <c r="L2611" s="350"/>
      <c r="M2611" s="350"/>
      <c r="N2611" s="292"/>
      <c r="O2611" s="296">
        <f>SUM(S2465:S2610)</f>
        <v>0</v>
      </c>
      <c r="P2611" s="295"/>
      <c r="R2611" s="348" t="str">
        <f t="shared" si="210"/>
        <v>DELETE</v>
      </c>
      <c r="T2611" s="334"/>
      <c r="U2611" s="331" t="b">
        <f>O2611='FS2'!O2437</f>
        <v>1</v>
      </c>
    </row>
    <row r="2612" spans="3:22" ht="9" customHeight="1" thickBot="1" x14ac:dyDescent="0.5">
      <c r="C2612" s="397"/>
      <c r="D2612" s="434"/>
      <c r="E2612" s="434"/>
      <c r="F2612" s="434"/>
      <c r="G2612" s="434"/>
      <c r="H2612" s="434"/>
      <c r="I2612" s="434"/>
      <c r="J2612" s="449"/>
      <c r="K2612" s="292"/>
      <c r="L2612" s="350"/>
      <c r="M2612" s="350"/>
      <c r="N2612" s="292"/>
      <c r="O2612" s="299"/>
      <c r="P2612" s="295"/>
      <c r="R2612" s="348" t="str">
        <f t="shared" si="210"/>
        <v>DELETE</v>
      </c>
      <c r="T2612" s="334"/>
    </row>
    <row r="2613" spans="3:22" ht="9" customHeight="1" thickTop="1" x14ac:dyDescent="0.45">
      <c r="C2613" s="397"/>
      <c r="D2613" s="434"/>
      <c r="E2613" s="434"/>
      <c r="F2613" s="434"/>
      <c r="G2613" s="434"/>
      <c r="H2613" s="434"/>
      <c r="I2613" s="434"/>
      <c r="J2613" s="449"/>
      <c r="K2613" s="292"/>
      <c r="L2613" s="350"/>
      <c r="M2613" s="350"/>
      <c r="N2613" s="292"/>
      <c r="O2613" s="310"/>
      <c r="P2613" s="295"/>
      <c r="R2613" s="348" t="str">
        <f t="shared" si="210"/>
        <v>DELETE</v>
      </c>
      <c r="T2613" s="334"/>
    </row>
    <row r="2614" spans="3:22" ht="36" customHeight="1" x14ac:dyDescent="0.45">
      <c r="C2614" s="397"/>
      <c r="D2614" s="434"/>
      <c r="E2614" s="434"/>
      <c r="F2614" s="434"/>
      <c r="G2614" s="434"/>
      <c r="H2614" s="434"/>
      <c r="I2614" s="434"/>
      <c r="J2614" s="449"/>
      <c r="K2614" s="292"/>
      <c r="L2614" s="350"/>
      <c r="M2614" s="350"/>
      <c r="N2614" s="292"/>
      <c r="O2614" s="296"/>
      <c r="P2614" s="295"/>
      <c r="R2614" s="348" t="str">
        <f t="shared" si="210"/>
        <v>DELETE</v>
      </c>
      <c r="T2614" s="334"/>
    </row>
    <row r="2615" spans="3:22" ht="36" customHeight="1" x14ac:dyDescent="0.45">
      <c r="C2615" s="397"/>
      <c r="D2615" s="434"/>
      <c r="E2615" s="434"/>
      <c r="F2615" s="434"/>
      <c r="G2615" s="434"/>
      <c r="H2615" s="434"/>
      <c r="I2615" s="434"/>
      <c r="J2615" s="449"/>
      <c r="K2615" s="292"/>
      <c r="L2615" s="292"/>
      <c r="M2615" s="296"/>
      <c r="N2615" s="296"/>
      <c r="O2615" s="296"/>
      <c r="P2615" s="295"/>
      <c r="R2615" s="348" t="str">
        <f t="shared" si="210"/>
        <v>DELETE</v>
      </c>
      <c r="T2615" s="334"/>
    </row>
    <row r="2616" spans="3:22" ht="36" customHeight="1" x14ac:dyDescent="0.5">
      <c r="C2616" s="353"/>
      <c r="D2616" s="434"/>
      <c r="E2616" s="434"/>
      <c r="F2616" s="434"/>
      <c r="G2616" s="434"/>
      <c r="H2616" s="434"/>
      <c r="I2616" s="434"/>
      <c r="J2616" s="434"/>
      <c r="M2616" s="371"/>
      <c r="N2616" s="371"/>
      <c r="O2616" s="371"/>
      <c r="P2616" s="356"/>
      <c r="R2616" s="348" t="str">
        <f t="shared" si="210"/>
        <v>DELETE</v>
      </c>
      <c r="T2616" s="334"/>
    </row>
    <row r="2617" spans="3:22" ht="36" customHeight="1" x14ac:dyDescent="0.5">
      <c r="C2617" s="353"/>
      <c r="D2617" s="434"/>
      <c r="E2617" s="434"/>
      <c r="F2617" s="434"/>
      <c r="G2617" s="434"/>
      <c r="H2617" s="434"/>
      <c r="I2617" s="434"/>
      <c r="J2617" s="434"/>
      <c r="M2617" s="351"/>
      <c r="N2617" s="351"/>
      <c r="O2617" s="351"/>
      <c r="R2617" s="348" t="str">
        <f t="shared" si="210"/>
        <v>DELETE</v>
      </c>
      <c r="T2617" s="334"/>
    </row>
    <row r="2618" spans="3:22" ht="36" customHeight="1" x14ac:dyDescent="0.5">
      <c r="C2618" s="353"/>
      <c r="D2618" s="434"/>
      <c r="E2618" s="434"/>
      <c r="F2618" s="434"/>
      <c r="G2618" s="434"/>
      <c r="H2618" s="434"/>
      <c r="I2618" s="434"/>
      <c r="J2618" s="434"/>
      <c r="M2618" s="351"/>
      <c r="N2618" s="351"/>
      <c r="O2618" s="296" t="s">
        <v>89</v>
      </c>
      <c r="Q2618" s="292">
        <v>1</v>
      </c>
      <c r="R2618" s="348" t="str">
        <f>IF(SUM(S2630:S2632)+SUM(S2650:S2657)+SUM(S2758:S2768)+O2776=0,"DELETE"," ")</f>
        <v>DELETE</v>
      </c>
      <c r="T2618" s="334"/>
      <c r="U2618" s="335"/>
      <c r="V2618" s="335"/>
    </row>
    <row r="2619" spans="3:22" ht="36" customHeight="1" x14ac:dyDescent="0.5">
      <c r="C2619" s="353"/>
      <c r="D2619" s="433" t="s">
        <v>602</v>
      </c>
      <c r="E2619" s="434"/>
      <c r="F2619" s="434"/>
      <c r="G2619" s="434"/>
      <c r="H2619" s="434"/>
      <c r="I2619" s="434"/>
      <c r="J2619" s="434"/>
      <c r="M2619" s="351"/>
      <c r="N2619" s="351"/>
      <c r="O2619" s="351"/>
      <c r="R2619" s="348" t="str">
        <f>R$2618</f>
        <v>DELETE</v>
      </c>
      <c r="T2619" s="334"/>
      <c r="U2619" s="332"/>
    </row>
    <row r="2620" spans="3:22" ht="36" customHeight="1" x14ac:dyDescent="0.5">
      <c r="C2620" s="353"/>
      <c r="D2620" s="434"/>
      <c r="E2620" s="434"/>
      <c r="F2620" s="434"/>
      <c r="G2620" s="434"/>
      <c r="H2620" s="434"/>
      <c r="I2620" s="434"/>
      <c r="J2620" s="434"/>
      <c r="M2620" s="351"/>
      <c r="N2620" s="351"/>
      <c r="O2620" s="351"/>
      <c r="R2620" s="348" t="str">
        <f t="shared" ref="R2620:R2629" si="211">R$2618</f>
        <v>DELETE</v>
      </c>
      <c r="T2620" s="334"/>
    </row>
    <row r="2621" spans="3:22" ht="36" customHeight="1" x14ac:dyDescent="0.5">
      <c r="C2621" s="353"/>
      <c r="D2621" s="433" t="str">
        <f>Criteria!E15</f>
        <v>SUBSIDIARY TWO 15 (PTY) LTD</v>
      </c>
      <c r="E2621" s="434"/>
      <c r="F2621" s="434"/>
      <c r="G2621" s="434"/>
      <c r="H2621" s="434"/>
      <c r="I2621" s="434"/>
      <c r="J2621" s="434"/>
      <c r="M2621" s="351"/>
      <c r="N2621" s="351"/>
      <c r="O2621" s="347"/>
      <c r="R2621" s="348" t="str">
        <f t="shared" si="211"/>
        <v>DELETE</v>
      </c>
      <c r="T2621" s="334"/>
    </row>
    <row r="2622" spans="3:22" ht="36" customHeight="1" x14ac:dyDescent="0.5">
      <c r="C2622" s="353"/>
      <c r="D2622" s="438"/>
      <c r="E2622" s="434"/>
      <c r="F2622" s="434"/>
      <c r="G2622" s="434"/>
      <c r="H2622" s="434"/>
      <c r="I2622" s="434"/>
      <c r="J2622" s="434"/>
      <c r="M2622" s="351"/>
      <c r="N2622" s="351"/>
      <c r="O2622" s="351"/>
      <c r="R2622" s="348" t="str">
        <f t="shared" si="211"/>
        <v>DELETE</v>
      </c>
      <c r="T2622" s="334"/>
    </row>
    <row r="2623" spans="3:22" ht="36" customHeight="1" x14ac:dyDescent="0.5">
      <c r="C2623" s="353"/>
      <c r="D2623" s="434"/>
      <c r="E2623" s="434"/>
      <c r="F2623" s="434"/>
      <c r="G2623" s="434"/>
      <c r="H2623" s="434"/>
      <c r="I2623" s="434"/>
      <c r="J2623" s="434"/>
      <c r="M2623" s="351"/>
      <c r="N2623" s="351"/>
      <c r="O2623" s="351"/>
      <c r="R2623" s="348" t="str">
        <f t="shared" si="211"/>
        <v>DELETE</v>
      </c>
      <c r="T2623" s="334"/>
    </row>
    <row r="2624" spans="3:22" ht="36" customHeight="1" x14ac:dyDescent="0.5">
      <c r="C2624" s="353"/>
      <c r="D2624" s="433" t="s">
        <v>86</v>
      </c>
      <c r="E2624" s="434"/>
      <c r="F2624" s="434"/>
      <c r="G2624" s="434"/>
      <c r="H2624" s="434"/>
      <c r="I2624" s="434"/>
      <c r="J2624" s="434"/>
      <c r="M2624" s="351"/>
      <c r="N2624" s="351"/>
      <c r="O2624" s="351"/>
      <c r="R2624" s="348" t="str">
        <f t="shared" si="211"/>
        <v>DELETE</v>
      </c>
      <c r="T2624" s="334"/>
    </row>
    <row r="2625" spans="3:22" ht="36" customHeight="1" x14ac:dyDescent="0.5">
      <c r="C2625" s="353"/>
      <c r="D2625" s="433" t="str">
        <f>Criteria!E20</f>
        <v>28 FEBRUARY 2025</v>
      </c>
      <c r="E2625" s="434"/>
      <c r="F2625" s="434"/>
      <c r="G2625" s="434"/>
      <c r="H2625" s="434"/>
      <c r="I2625" s="434"/>
      <c r="J2625" s="434"/>
      <c r="M2625" s="351"/>
      <c r="N2625" s="351"/>
      <c r="O2625" s="351"/>
      <c r="R2625" s="348" t="str">
        <f t="shared" si="211"/>
        <v>DELETE</v>
      </c>
      <c r="T2625" s="334"/>
    </row>
    <row r="2626" spans="3:22" ht="36" customHeight="1" x14ac:dyDescent="0.5">
      <c r="C2626" s="353"/>
      <c r="D2626" s="434"/>
      <c r="E2626" s="434"/>
      <c r="F2626" s="434"/>
      <c r="G2626" s="434"/>
      <c r="H2626" s="434"/>
      <c r="I2626" s="434"/>
      <c r="J2626" s="434"/>
      <c r="M2626" s="351"/>
      <c r="N2626" s="351"/>
      <c r="O2626" s="351"/>
      <c r="R2626" s="348" t="str">
        <f t="shared" si="211"/>
        <v>DELETE</v>
      </c>
      <c r="T2626" s="334"/>
    </row>
    <row r="2627" spans="3:22" ht="36" customHeight="1" x14ac:dyDescent="0.5">
      <c r="C2627" s="353"/>
      <c r="D2627" s="444"/>
      <c r="E2627" s="444"/>
      <c r="F2627" s="444"/>
      <c r="G2627" s="444"/>
      <c r="H2627" s="444"/>
      <c r="I2627" s="444"/>
      <c r="J2627" s="444"/>
      <c r="K2627" s="364"/>
      <c r="L2627" s="364"/>
      <c r="M2627" s="378"/>
      <c r="N2627" s="378"/>
      <c r="O2627" s="378"/>
      <c r="P2627" s="367"/>
      <c r="Q2627" s="364"/>
      <c r="R2627" s="348" t="str">
        <f t="shared" si="211"/>
        <v>DELETE</v>
      </c>
      <c r="T2627" s="334"/>
    </row>
    <row r="2628" spans="3:22" ht="36" customHeight="1" x14ac:dyDescent="0.5">
      <c r="C2628" s="353"/>
      <c r="D2628" s="434"/>
      <c r="E2628" s="434"/>
      <c r="F2628" s="434"/>
      <c r="G2628" s="434"/>
      <c r="H2628" s="434"/>
      <c r="I2628" s="434"/>
      <c r="J2628" s="449"/>
      <c r="K2628" s="292" t="s">
        <v>1041</v>
      </c>
      <c r="L2628" s="350"/>
      <c r="M2628" s="350"/>
      <c r="N2628" s="292"/>
      <c r="O2628" s="294">
        <f>Criteria!E22</f>
        <v>2025</v>
      </c>
      <c r="P2628" s="295"/>
      <c r="R2628" s="348" t="str">
        <f t="shared" si="211"/>
        <v>DELETE</v>
      </c>
      <c r="T2628" s="334"/>
    </row>
    <row r="2629" spans="3:22" ht="36" customHeight="1" x14ac:dyDescent="0.5">
      <c r="C2629" s="353"/>
      <c r="D2629" s="434"/>
      <c r="E2629" s="434"/>
      <c r="F2629" s="434"/>
      <c r="G2629" s="434"/>
      <c r="H2629" s="434"/>
      <c r="I2629" s="434"/>
      <c r="J2629" s="449"/>
      <c r="K2629" s="292"/>
      <c r="L2629" s="350"/>
      <c r="M2629" s="350"/>
      <c r="N2629" s="292"/>
      <c r="O2629" s="296"/>
      <c r="P2629" s="295"/>
      <c r="R2629" s="348" t="str">
        <f t="shared" si="211"/>
        <v>DELETE</v>
      </c>
      <c r="T2629" s="334"/>
    </row>
    <row r="2630" spans="3:22" ht="36" customHeight="1" x14ac:dyDescent="0.45">
      <c r="D2630" s="433" t="s">
        <v>836</v>
      </c>
      <c r="E2630" s="434"/>
      <c r="F2630" s="434"/>
      <c r="G2630" s="434"/>
      <c r="H2630" s="434"/>
      <c r="I2630" s="434"/>
      <c r="J2630" s="449"/>
      <c r="K2630" s="292"/>
      <c r="L2630" s="350"/>
      <c r="M2630" s="350"/>
      <c r="N2630" s="292"/>
      <c r="O2630" s="296">
        <f>-SUM(TrialBalanceB!I5:I10)</f>
        <v>0</v>
      </c>
      <c r="P2630" s="295"/>
      <c r="R2630" s="348" t="str">
        <f>IF(R2618="DELETE","DELETE",IF(O2630=0,IF(O2632=0," ","DELETE")," "))</f>
        <v>DELETE</v>
      </c>
      <c r="S2630" s="333">
        <f>O2630</f>
        <v>0</v>
      </c>
      <c r="T2630" s="334"/>
      <c r="U2630" s="333"/>
      <c r="V2630" s="333"/>
    </row>
    <row r="2631" spans="3:22" ht="36" customHeight="1" x14ac:dyDescent="0.45">
      <c r="D2631" s="433"/>
      <c r="E2631" s="434"/>
      <c r="F2631" s="434"/>
      <c r="G2631" s="434"/>
      <c r="H2631" s="434"/>
      <c r="I2631" s="434"/>
      <c r="J2631" s="449"/>
      <c r="K2631" s="292"/>
      <c r="L2631" s="350"/>
      <c r="M2631" s="350"/>
      <c r="N2631" s="292"/>
      <c r="O2631" s="296"/>
      <c r="P2631" s="295"/>
      <c r="R2631" s="348" t="str">
        <f>R2630</f>
        <v>DELETE</v>
      </c>
      <c r="S2631" s="333"/>
      <c r="T2631" s="334"/>
      <c r="U2631" s="333"/>
      <c r="V2631" s="333"/>
    </row>
    <row r="2632" spans="3:22" ht="36" customHeight="1" x14ac:dyDescent="0.45">
      <c r="D2632" s="433" t="s">
        <v>334</v>
      </c>
      <c r="E2632" s="434"/>
      <c r="F2632" s="434"/>
      <c r="G2632" s="434"/>
      <c r="H2632" s="434"/>
      <c r="I2632" s="434"/>
      <c r="J2632" s="449"/>
      <c r="K2632" s="292"/>
      <c r="L2632" s="350"/>
      <c r="M2632" s="350"/>
      <c r="N2632" s="292"/>
      <c r="O2632" s="296">
        <f>-TrialBalanceB!I11</f>
        <v>0</v>
      </c>
      <c r="P2632" s="295"/>
      <c r="R2632" s="348" t="str">
        <f>IF(R2618="DELETE","DELETE",IF(O2632=0,"DELETE"," "))</f>
        <v>DELETE</v>
      </c>
      <c r="S2632" s="333">
        <f>O2632</f>
        <v>0</v>
      </c>
      <c r="T2632" s="334"/>
      <c r="U2632" s="333"/>
      <c r="V2632" s="333"/>
    </row>
    <row r="2633" spans="3:22" ht="36" customHeight="1" x14ac:dyDescent="0.45">
      <c r="D2633" s="433"/>
      <c r="E2633" s="434"/>
      <c r="F2633" s="434"/>
      <c r="G2633" s="434"/>
      <c r="H2633" s="434"/>
      <c r="I2633" s="434"/>
      <c r="J2633" s="449"/>
      <c r="K2633" s="292"/>
      <c r="L2633" s="350"/>
      <c r="M2633" s="350"/>
      <c r="N2633" s="292"/>
      <c r="O2633" s="296"/>
      <c r="P2633" s="295"/>
      <c r="R2633" s="348" t="str">
        <f>R2632</f>
        <v>DELETE</v>
      </c>
      <c r="T2633" s="334"/>
    </row>
    <row r="2634" spans="3:22" ht="36" customHeight="1" x14ac:dyDescent="0.45">
      <c r="D2634" s="433" t="s">
        <v>1074</v>
      </c>
      <c r="E2634" s="434"/>
      <c r="F2634" s="434"/>
      <c r="G2634" s="434"/>
      <c r="H2634" s="434"/>
      <c r="I2634" s="434"/>
      <c r="J2634" s="449"/>
      <c r="K2634" s="292"/>
      <c r="L2634" s="350"/>
      <c r="M2634" s="350"/>
      <c r="N2634" s="292"/>
      <c r="O2634" s="296">
        <f>SUM(O2637:O2644)</f>
        <v>0</v>
      </c>
      <c r="P2634" s="295"/>
      <c r="R2634" s="348" t="str">
        <f>IF(R$2618="DELETE","DELETE",IF(O2634=0,"DELETE"," "))</f>
        <v>DELETE</v>
      </c>
      <c r="S2634" s="333">
        <f>-O2634</f>
        <v>0</v>
      </c>
      <c r="T2634" s="334"/>
      <c r="U2634" s="333"/>
      <c r="V2634" s="333"/>
    </row>
    <row r="2635" spans="3:22" ht="9" customHeight="1" x14ac:dyDescent="0.45">
      <c r="C2635" s="397"/>
      <c r="D2635" s="434"/>
      <c r="E2635" s="434"/>
      <c r="F2635" s="434"/>
      <c r="G2635" s="434"/>
      <c r="H2635" s="434"/>
      <c r="I2635" s="434"/>
      <c r="J2635" s="449"/>
      <c r="K2635" s="292"/>
      <c r="L2635" s="350"/>
      <c r="M2635" s="350"/>
      <c r="N2635" s="292"/>
      <c r="O2635" s="296"/>
      <c r="P2635" s="295"/>
      <c r="R2635" s="348" t="str">
        <f>R2634</f>
        <v>DELETE</v>
      </c>
      <c r="T2635" s="334"/>
    </row>
    <row r="2636" spans="3:22" ht="9" customHeight="1" x14ac:dyDescent="0.45">
      <c r="C2636" s="397"/>
      <c r="D2636" s="434"/>
      <c r="E2636" s="434"/>
      <c r="F2636" s="434"/>
      <c r="G2636" s="434"/>
      <c r="H2636" s="434"/>
      <c r="I2636" s="434"/>
      <c r="J2636" s="449"/>
      <c r="K2636" s="292"/>
      <c r="L2636" s="350"/>
      <c r="M2636" s="350"/>
      <c r="N2636" s="292"/>
      <c r="O2636" s="407"/>
      <c r="P2636" s="295"/>
      <c r="R2636" s="348" t="str">
        <f>R2635</f>
        <v>DELETE</v>
      </c>
      <c r="T2636" s="334"/>
    </row>
    <row r="2637" spans="3:22" ht="36" customHeight="1" x14ac:dyDescent="0.45">
      <c r="C2637" s="397"/>
      <c r="D2637" s="434" t="s">
        <v>492</v>
      </c>
      <c r="E2637" s="434"/>
      <c r="F2637" s="434"/>
      <c r="G2637" s="434"/>
      <c r="H2637" s="434"/>
      <c r="I2637" s="434"/>
      <c r="J2637" s="449"/>
      <c r="K2637" s="292"/>
      <c r="L2637" s="350"/>
      <c r="M2637" s="350"/>
      <c r="N2637" s="292"/>
      <c r="O2637" s="408">
        <f>SUM(TrialBalanceB!I13:I16)</f>
        <v>0</v>
      </c>
      <c r="P2637" s="295"/>
      <c r="R2637" s="348" t="str">
        <f t="shared" ref="R2637:R2644" si="212">IF(R$2618="DELETE","DELETE",IF(O2637=0,"DELETE"," "))</f>
        <v>DELETE</v>
      </c>
      <c r="T2637" s="334"/>
    </row>
    <row r="2638" spans="3:22" ht="36" customHeight="1" x14ac:dyDescent="0.45">
      <c r="C2638" s="397"/>
      <c r="D2638" s="434" t="s">
        <v>249</v>
      </c>
      <c r="E2638" s="434"/>
      <c r="F2638" s="434"/>
      <c r="G2638" s="434"/>
      <c r="H2638" s="434"/>
      <c r="I2638" s="434"/>
      <c r="J2638" s="449"/>
      <c r="K2638" s="292"/>
      <c r="L2638" s="350"/>
      <c r="M2638" s="350"/>
      <c r="N2638" s="292"/>
      <c r="O2638" s="408">
        <f>TrialBalanceB!I17</f>
        <v>0</v>
      </c>
      <c r="P2638" s="295"/>
      <c r="R2638" s="348" t="str">
        <f t="shared" si="212"/>
        <v>DELETE</v>
      </c>
      <c r="T2638" s="334"/>
    </row>
    <row r="2639" spans="3:22" ht="36" customHeight="1" x14ac:dyDescent="0.45">
      <c r="C2639" s="397"/>
      <c r="D2639" s="434">
        <f>TrialBalanceB!C18</f>
        <v>0</v>
      </c>
      <c r="E2639" s="434"/>
      <c r="F2639" s="434"/>
      <c r="G2639" s="434"/>
      <c r="H2639" s="434"/>
      <c r="I2639" s="434"/>
      <c r="J2639" s="449"/>
      <c r="K2639" s="292"/>
      <c r="L2639" s="350"/>
      <c r="M2639" s="350"/>
      <c r="N2639" s="292"/>
      <c r="O2639" s="408">
        <f>TrialBalanceB!I18</f>
        <v>0</v>
      </c>
      <c r="P2639" s="295"/>
      <c r="R2639" s="348" t="str">
        <f t="shared" si="212"/>
        <v>DELETE</v>
      </c>
      <c r="T2639" s="334"/>
    </row>
    <row r="2640" spans="3:22" ht="36" customHeight="1" x14ac:dyDescent="0.45">
      <c r="C2640" s="397"/>
      <c r="D2640" s="434">
        <f>TrialBalanceB!C19</f>
        <v>0</v>
      </c>
      <c r="E2640" s="434"/>
      <c r="F2640" s="434"/>
      <c r="G2640" s="434"/>
      <c r="H2640" s="434"/>
      <c r="I2640" s="434"/>
      <c r="J2640" s="449"/>
      <c r="K2640" s="292"/>
      <c r="L2640" s="350"/>
      <c r="M2640" s="350"/>
      <c r="N2640" s="292"/>
      <c r="O2640" s="408">
        <f>TrialBalanceB!I19</f>
        <v>0</v>
      </c>
      <c r="P2640" s="295"/>
      <c r="R2640" s="348" t="str">
        <f t="shared" si="212"/>
        <v>DELETE</v>
      </c>
      <c r="T2640" s="334"/>
    </row>
    <row r="2641" spans="3:20" ht="36" customHeight="1" x14ac:dyDescent="0.45">
      <c r="C2641" s="397"/>
      <c r="D2641" s="434">
        <f>TrialBalanceB!C20</f>
        <v>0</v>
      </c>
      <c r="E2641" s="434"/>
      <c r="F2641" s="434"/>
      <c r="G2641" s="434"/>
      <c r="H2641" s="434"/>
      <c r="I2641" s="434"/>
      <c r="J2641" s="449"/>
      <c r="K2641" s="292"/>
      <c r="L2641" s="350"/>
      <c r="M2641" s="350"/>
      <c r="N2641" s="292"/>
      <c r="O2641" s="408">
        <f>TrialBalanceB!I20</f>
        <v>0</v>
      </c>
      <c r="P2641" s="295"/>
      <c r="R2641" s="348" t="str">
        <f t="shared" si="212"/>
        <v>DELETE</v>
      </c>
      <c r="T2641" s="334"/>
    </row>
    <row r="2642" spans="3:20" ht="36" customHeight="1" x14ac:dyDescent="0.45">
      <c r="C2642" s="397"/>
      <c r="D2642" s="434">
        <f>TrialBalanceB!C21</f>
        <v>0</v>
      </c>
      <c r="E2642" s="434"/>
      <c r="F2642" s="434"/>
      <c r="G2642" s="434"/>
      <c r="H2642" s="434"/>
      <c r="I2642" s="434"/>
      <c r="J2642" s="449"/>
      <c r="K2642" s="292"/>
      <c r="L2642" s="350"/>
      <c r="M2642" s="350"/>
      <c r="N2642" s="292"/>
      <c r="O2642" s="408">
        <f>TrialBalanceB!I21</f>
        <v>0</v>
      </c>
      <c r="P2642" s="295"/>
      <c r="R2642" s="348" t="str">
        <f t="shared" si="212"/>
        <v>DELETE</v>
      </c>
      <c r="T2642" s="334"/>
    </row>
    <row r="2643" spans="3:20" ht="36" customHeight="1" x14ac:dyDescent="0.45">
      <c r="C2643" s="397"/>
      <c r="D2643" s="434">
        <f>TrialBalanceB!C22</f>
        <v>0</v>
      </c>
      <c r="E2643" s="434"/>
      <c r="F2643" s="434"/>
      <c r="G2643" s="434"/>
      <c r="H2643" s="434"/>
      <c r="I2643" s="434"/>
      <c r="J2643" s="449"/>
      <c r="K2643" s="292"/>
      <c r="L2643" s="350"/>
      <c r="M2643" s="350"/>
      <c r="N2643" s="292"/>
      <c r="O2643" s="408">
        <f>TrialBalanceB!I22</f>
        <v>0</v>
      </c>
      <c r="P2643" s="295"/>
      <c r="R2643" s="348" t="str">
        <f t="shared" si="212"/>
        <v>DELETE</v>
      </c>
      <c r="T2643" s="334"/>
    </row>
    <row r="2644" spans="3:20" ht="36" customHeight="1" x14ac:dyDescent="0.45">
      <c r="C2644" s="397"/>
      <c r="D2644" s="434" t="s">
        <v>493</v>
      </c>
      <c r="E2644" s="434"/>
      <c r="F2644" s="434"/>
      <c r="G2644" s="434"/>
      <c r="H2644" s="434"/>
      <c r="I2644" s="434"/>
      <c r="J2644" s="449"/>
      <c r="K2644" s="292"/>
      <c r="L2644" s="350"/>
      <c r="M2644" s="350"/>
      <c r="N2644" s="292"/>
      <c r="O2644" s="408">
        <f>SUM(TrialBalanceB!I23:I26)</f>
        <v>0</v>
      </c>
      <c r="P2644" s="295"/>
      <c r="R2644" s="348" t="str">
        <f t="shared" si="212"/>
        <v>DELETE</v>
      </c>
      <c r="T2644" s="334"/>
    </row>
    <row r="2645" spans="3:20" ht="9" customHeight="1" x14ac:dyDescent="0.45">
      <c r="C2645" s="397"/>
      <c r="D2645" s="434"/>
      <c r="E2645" s="434"/>
      <c r="F2645" s="434"/>
      <c r="G2645" s="434"/>
      <c r="H2645" s="434"/>
      <c r="I2645" s="434"/>
      <c r="J2645" s="449"/>
      <c r="K2645" s="292"/>
      <c r="L2645" s="350"/>
      <c r="M2645" s="350"/>
      <c r="N2645" s="292"/>
      <c r="O2645" s="409"/>
      <c r="P2645" s="295"/>
      <c r="R2645" s="348" t="str">
        <f>R2634</f>
        <v>DELETE</v>
      </c>
      <c r="T2645" s="334"/>
    </row>
    <row r="2646" spans="3:20" ht="9" customHeight="1" x14ac:dyDescent="0.45">
      <c r="C2646" s="397"/>
      <c r="D2646" s="434"/>
      <c r="E2646" s="434"/>
      <c r="F2646" s="434"/>
      <c r="G2646" s="434"/>
      <c r="H2646" s="434"/>
      <c r="I2646" s="434"/>
      <c r="J2646" s="449"/>
      <c r="K2646" s="292"/>
      <c r="L2646" s="350"/>
      <c r="M2646" s="350"/>
      <c r="N2646" s="292"/>
      <c r="O2646" s="298"/>
      <c r="P2646" s="295"/>
      <c r="R2646" s="348" t="str">
        <f>R2634</f>
        <v>DELETE</v>
      </c>
      <c r="T2646" s="334"/>
    </row>
    <row r="2647" spans="3:20" ht="9" customHeight="1" x14ac:dyDescent="0.45">
      <c r="C2647" s="397"/>
      <c r="D2647" s="434"/>
      <c r="E2647" s="434"/>
      <c r="F2647" s="434"/>
      <c r="G2647" s="434"/>
      <c r="H2647" s="434"/>
      <c r="I2647" s="434"/>
      <c r="J2647" s="449"/>
      <c r="K2647" s="292"/>
      <c r="L2647" s="350"/>
      <c r="M2647" s="350"/>
      <c r="N2647" s="292"/>
      <c r="O2647" s="296"/>
      <c r="P2647" s="295"/>
      <c r="R2647" s="348" t="str">
        <f>R2646</f>
        <v>DELETE</v>
      </c>
      <c r="T2647" s="334"/>
    </row>
    <row r="2648" spans="3:20" ht="36" customHeight="1" x14ac:dyDescent="0.45">
      <c r="D2648" s="446" t="str">
        <f>IF(O2648&lt;0,"Gross loss","Gross profit")</f>
        <v>Gross profit</v>
      </c>
      <c r="E2648" s="434"/>
      <c r="F2648" s="434"/>
      <c r="G2648" s="434"/>
      <c r="H2648" s="434"/>
      <c r="I2648" s="434"/>
      <c r="J2648" s="449"/>
      <c r="K2648" s="292"/>
      <c r="L2648" s="350"/>
      <c r="M2648" s="350"/>
      <c r="N2648" s="292"/>
      <c r="O2648" s="296">
        <f>SUM(S2630:S2645)</f>
        <v>0</v>
      </c>
      <c r="P2648" s="295"/>
      <c r="R2648" s="348" t="str">
        <f>R2647</f>
        <v>DELETE</v>
      </c>
      <c r="T2648" s="334"/>
    </row>
    <row r="2649" spans="3:20" ht="36" customHeight="1" x14ac:dyDescent="0.45">
      <c r="C2649" s="397"/>
      <c r="D2649" s="434"/>
      <c r="E2649" s="434"/>
      <c r="F2649" s="434"/>
      <c r="G2649" s="434"/>
      <c r="H2649" s="434"/>
      <c r="I2649" s="434"/>
      <c r="J2649" s="449"/>
      <c r="K2649" s="292"/>
      <c r="L2649" s="350"/>
      <c r="M2649" s="350"/>
      <c r="N2649" s="292"/>
      <c r="O2649" s="296"/>
      <c r="P2649" s="295"/>
      <c r="R2649" s="348" t="str">
        <f>R2648</f>
        <v>DELETE</v>
      </c>
      <c r="T2649" s="334"/>
    </row>
    <row r="2650" spans="3:20" ht="36" customHeight="1" x14ac:dyDescent="0.45">
      <c r="D2650" s="433" t="s">
        <v>1037</v>
      </c>
      <c r="E2650" s="434"/>
      <c r="F2650" s="434"/>
      <c r="G2650" s="434"/>
      <c r="H2650" s="434"/>
      <c r="I2650" s="434"/>
      <c r="J2650" s="449"/>
      <c r="K2650" s="292"/>
      <c r="L2650" s="350"/>
      <c r="M2650" s="350"/>
      <c r="N2650" s="292"/>
      <c r="O2650" s="296">
        <f>SUM(O2652:O2659)</f>
        <v>0</v>
      </c>
      <c r="P2650" s="295"/>
      <c r="R2650" s="348" t="str">
        <f t="shared" ref="R2650" si="213">IF(R$2618="DELETE","DELETE",IF(O2650=0,"DELETE"," "))</f>
        <v>DELETE</v>
      </c>
      <c r="S2650" s="333">
        <f>O2650</f>
        <v>0</v>
      </c>
      <c r="T2650" s="334"/>
    </row>
    <row r="2651" spans="3:20" ht="9" customHeight="1" x14ac:dyDescent="0.45">
      <c r="C2651" s="397"/>
      <c r="D2651" s="434"/>
      <c r="E2651" s="434"/>
      <c r="F2651" s="434"/>
      <c r="G2651" s="434"/>
      <c r="H2651" s="434"/>
      <c r="I2651" s="434"/>
      <c r="J2651" s="449"/>
      <c r="K2651" s="292"/>
      <c r="L2651" s="350"/>
      <c r="M2651" s="350"/>
      <c r="N2651" s="292"/>
      <c r="O2651" s="296"/>
      <c r="P2651" s="295"/>
      <c r="R2651" s="348" t="str">
        <f>R2650</f>
        <v>DELETE</v>
      </c>
      <c r="T2651" s="334"/>
    </row>
    <row r="2652" spans="3:20" ht="9" customHeight="1" x14ac:dyDescent="0.45">
      <c r="C2652" s="397"/>
      <c r="D2652" s="434"/>
      <c r="E2652" s="434"/>
      <c r="F2652" s="434"/>
      <c r="G2652" s="434"/>
      <c r="H2652" s="434"/>
      <c r="I2652" s="434"/>
      <c r="J2652" s="449"/>
      <c r="K2652" s="292"/>
      <c r="L2652" s="350"/>
      <c r="M2652" s="350"/>
      <c r="N2652" s="292"/>
      <c r="O2652" s="407"/>
      <c r="P2652" s="295"/>
      <c r="R2652" s="348" t="str">
        <f>R2650</f>
        <v>DELETE</v>
      </c>
      <c r="T2652" s="334"/>
    </row>
    <row r="2653" spans="3:20" ht="36" customHeight="1" x14ac:dyDescent="0.45">
      <c r="C2653" s="397"/>
      <c r="D2653" s="434" t="str">
        <f>TrialBalanceB!C28</f>
        <v>Insurance claims - Subsidiary Two 15 (Pty) Ltd</v>
      </c>
      <c r="E2653" s="434"/>
      <c r="F2653" s="434"/>
      <c r="G2653" s="434"/>
      <c r="H2653" s="434"/>
      <c r="I2653" s="434"/>
      <c r="J2653" s="449"/>
      <c r="K2653" s="292"/>
      <c r="L2653" s="350"/>
      <c r="M2653" s="350"/>
      <c r="N2653" s="292"/>
      <c r="O2653" s="408">
        <f>-TrialBalanceB!I28</f>
        <v>0</v>
      </c>
      <c r="P2653" s="295"/>
      <c r="R2653" s="348" t="str">
        <f t="shared" ref="R2653:R2657" si="214">IF(R$2618="DELETE","DELETE",IF(O2653=0,"DELETE"," "))</f>
        <v>DELETE</v>
      </c>
      <c r="T2653" s="334"/>
    </row>
    <row r="2654" spans="3:20" ht="36" customHeight="1" x14ac:dyDescent="0.45">
      <c r="C2654" s="397"/>
      <c r="D2654" s="434" t="str">
        <f>TrialBalanceB!C29</f>
        <v>Government grants received</v>
      </c>
      <c r="E2654" s="434"/>
      <c r="F2654" s="434"/>
      <c r="G2654" s="434"/>
      <c r="H2654" s="434"/>
      <c r="I2654" s="434"/>
      <c r="J2654" s="449"/>
      <c r="K2654" s="292"/>
      <c r="L2654" s="350"/>
      <c r="M2654" s="350"/>
      <c r="N2654" s="292"/>
      <c r="O2654" s="408">
        <f>-TrialBalanceB!I29</f>
        <v>0</v>
      </c>
      <c r="P2654" s="295"/>
      <c r="R2654" s="348" t="str">
        <f t="shared" si="214"/>
        <v>DELETE</v>
      </c>
      <c r="T2654" s="334"/>
    </row>
    <row r="2655" spans="3:20" ht="36" customHeight="1" x14ac:dyDescent="0.45">
      <c r="C2655" s="397"/>
      <c r="D2655" s="434">
        <f>TrialBalanceB!C30</f>
        <v>0</v>
      </c>
      <c r="E2655" s="434"/>
      <c r="F2655" s="434"/>
      <c r="G2655" s="434"/>
      <c r="H2655" s="434"/>
      <c r="I2655" s="434"/>
      <c r="J2655" s="449"/>
      <c r="K2655" s="292"/>
      <c r="L2655" s="350"/>
      <c r="M2655" s="350"/>
      <c r="N2655" s="292"/>
      <c r="O2655" s="408">
        <f>-TrialBalanceB!I30</f>
        <v>0</v>
      </c>
      <c r="P2655" s="295"/>
      <c r="R2655" s="348" t="str">
        <f t="shared" si="214"/>
        <v>DELETE</v>
      </c>
      <c r="T2655" s="334"/>
    </row>
    <row r="2656" spans="3:20" ht="36" customHeight="1" x14ac:dyDescent="0.45">
      <c r="C2656" s="397"/>
      <c r="D2656" s="434">
        <f>TrialBalanceB!C31</f>
        <v>0</v>
      </c>
      <c r="E2656" s="434"/>
      <c r="F2656" s="434"/>
      <c r="G2656" s="434"/>
      <c r="H2656" s="434"/>
      <c r="I2656" s="434"/>
      <c r="J2656" s="449"/>
      <c r="K2656" s="292"/>
      <c r="L2656" s="350"/>
      <c r="M2656" s="350"/>
      <c r="N2656" s="292"/>
      <c r="O2656" s="408">
        <f>-TrialBalanceB!I31</f>
        <v>0</v>
      </c>
      <c r="P2656" s="295"/>
      <c r="R2656" s="348" t="str">
        <f t="shared" si="214"/>
        <v>DELETE</v>
      </c>
      <c r="T2656" s="334"/>
    </row>
    <row r="2657" spans="3:22" ht="36" customHeight="1" x14ac:dyDescent="0.45">
      <c r="C2657" s="397"/>
      <c r="D2657" s="434">
        <f>TrialBalanceB!C32</f>
        <v>0</v>
      </c>
      <c r="E2657" s="434"/>
      <c r="F2657" s="434"/>
      <c r="G2657" s="434"/>
      <c r="H2657" s="434"/>
      <c r="I2657" s="434"/>
      <c r="J2657" s="449"/>
      <c r="K2657" s="292"/>
      <c r="L2657" s="350"/>
      <c r="M2657" s="350"/>
      <c r="N2657" s="292"/>
      <c r="O2657" s="408">
        <f>-TrialBalanceB!I32</f>
        <v>0</v>
      </c>
      <c r="P2657" s="295"/>
      <c r="R2657" s="348" t="str">
        <f t="shared" si="214"/>
        <v>DELETE</v>
      </c>
      <c r="T2657" s="334"/>
    </row>
    <row r="2658" spans="3:22" ht="36" customHeight="1" x14ac:dyDescent="0.45">
      <c r="C2658" s="397"/>
      <c r="D2658" s="434" t="str">
        <f>TrialBalanceB!C33</f>
        <v>Recoupment of depreciation</v>
      </c>
      <c r="E2658" s="434"/>
      <c r="F2658" s="434"/>
      <c r="G2658" s="434"/>
      <c r="H2658" s="434"/>
      <c r="I2658" s="434"/>
      <c r="J2658" s="449"/>
      <c r="K2658" s="292"/>
      <c r="L2658" s="350"/>
      <c r="M2658" s="350"/>
      <c r="N2658" s="292"/>
      <c r="O2658" s="408">
        <f>-TrialBalanceB!I33</f>
        <v>0</v>
      </c>
      <c r="P2658" s="295"/>
      <c r="R2658" s="348" t="str">
        <f t="shared" ref="R2658" si="215">IF(R$2618="DELETE","DELETE",IF(O2658=0,"DELETE"," "))</f>
        <v>DELETE</v>
      </c>
      <c r="T2658" s="334"/>
    </row>
    <row r="2659" spans="3:22" ht="9" customHeight="1" x14ac:dyDescent="0.45">
      <c r="C2659" s="397"/>
      <c r="D2659" s="434"/>
      <c r="E2659" s="434"/>
      <c r="F2659" s="434"/>
      <c r="G2659" s="434"/>
      <c r="H2659" s="434"/>
      <c r="I2659" s="434"/>
      <c r="J2659" s="449"/>
      <c r="K2659" s="292"/>
      <c r="L2659" s="350"/>
      <c r="M2659" s="350"/>
      <c r="N2659" s="292"/>
      <c r="O2659" s="409"/>
      <c r="P2659" s="295"/>
      <c r="R2659" s="348" t="str">
        <f>R2650</f>
        <v>DELETE</v>
      </c>
      <c r="T2659" s="334"/>
    </row>
    <row r="2660" spans="3:22" ht="9" customHeight="1" x14ac:dyDescent="0.45">
      <c r="C2660" s="397"/>
      <c r="D2660" s="434"/>
      <c r="E2660" s="434"/>
      <c r="F2660" s="434"/>
      <c r="G2660" s="434"/>
      <c r="H2660" s="434"/>
      <c r="I2660" s="434"/>
      <c r="J2660" s="449"/>
      <c r="K2660" s="292"/>
      <c r="L2660" s="350"/>
      <c r="M2660" s="350"/>
      <c r="N2660" s="292"/>
      <c r="O2660" s="314"/>
      <c r="P2660" s="295"/>
      <c r="R2660" s="348" t="str">
        <f>R2659</f>
        <v>DELETE</v>
      </c>
      <c r="T2660" s="334"/>
    </row>
    <row r="2661" spans="3:22" ht="9" customHeight="1" x14ac:dyDescent="0.45">
      <c r="C2661" s="397"/>
      <c r="D2661" s="434"/>
      <c r="E2661" s="434"/>
      <c r="F2661" s="434"/>
      <c r="G2661" s="434"/>
      <c r="H2661" s="434"/>
      <c r="I2661" s="434"/>
      <c r="J2661" s="449"/>
      <c r="K2661" s="292"/>
      <c r="L2661" s="350"/>
      <c r="M2661" s="350"/>
      <c r="N2661" s="292"/>
      <c r="O2661" s="296"/>
      <c r="P2661" s="295"/>
      <c r="R2661" s="348" t="str">
        <f>R2660</f>
        <v>DELETE</v>
      </c>
      <c r="T2661" s="334"/>
    </row>
    <row r="2662" spans="3:22" ht="36" customHeight="1" x14ac:dyDescent="0.45">
      <c r="C2662" s="397"/>
      <c r="D2662" s="434"/>
      <c r="E2662" s="434"/>
      <c r="F2662" s="434"/>
      <c r="G2662" s="434"/>
      <c r="H2662" s="434"/>
      <c r="I2662" s="434"/>
      <c r="J2662" s="449"/>
      <c r="K2662" s="292"/>
      <c r="L2662" s="350"/>
      <c r="M2662" s="350"/>
      <c r="N2662" s="292"/>
      <c r="O2662" s="296">
        <f>SUM(S2630:S2650)</f>
        <v>0</v>
      </c>
      <c r="P2662" s="295"/>
      <c r="R2662" s="348" t="str">
        <f>R2650</f>
        <v>DELETE</v>
      </c>
      <c r="T2662" s="334"/>
    </row>
    <row r="2663" spans="3:22" ht="36" customHeight="1" x14ac:dyDescent="0.45">
      <c r="C2663" s="397"/>
      <c r="D2663" s="434"/>
      <c r="E2663" s="434"/>
      <c r="F2663" s="434"/>
      <c r="G2663" s="434"/>
      <c r="H2663" s="434"/>
      <c r="I2663" s="434"/>
      <c r="J2663" s="449"/>
      <c r="K2663" s="292"/>
      <c r="L2663" s="350"/>
      <c r="M2663" s="350"/>
      <c r="N2663" s="292"/>
      <c r="O2663" s="296"/>
      <c r="P2663" s="295"/>
      <c r="R2663" s="348" t="str">
        <f>R2662</f>
        <v>DELETE</v>
      </c>
      <c r="T2663" s="334"/>
    </row>
    <row r="2664" spans="3:22" ht="36" customHeight="1" x14ac:dyDescent="0.45">
      <c r="D2664" s="433" t="s">
        <v>1075</v>
      </c>
      <c r="E2664" s="434"/>
      <c r="F2664" s="434"/>
      <c r="G2664" s="434"/>
      <c r="H2664" s="434"/>
      <c r="I2664" s="434"/>
      <c r="J2664" s="449"/>
      <c r="K2664" s="292"/>
      <c r="L2664" s="350"/>
      <c r="M2664" s="350"/>
      <c r="N2664" s="292"/>
      <c r="O2664" s="296">
        <f>SUM(O2666:O2695)</f>
        <v>0</v>
      </c>
      <c r="P2664" s="295"/>
      <c r="R2664" s="348" t="str">
        <f t="shared" ref="R2664" si="216">IF(R$2618="DELETE","DELETE",IF(O2664=0,"DELETE"," "))</f>
        <v>DELETE</v>
      </c>
      <c r="S2664" s="333">
        <f>-O2664</f>
        <v>0</v>
      </c>
      <c r="T2664" s="334"/>
      <c r="U2664" s="333"/>
      <c r="V2664" s="333"/>
    </row>
    <row r="2665" spans="3:22" ht="9" customHeight="1" x14ac:dyDescent="0.45">
      <c r="C2665" s="397"/>
      <c r="D2665" s="434"/>
      <c r="E2665" s="434"/>
      <c r="F2665" s="434"/>
      <c r="G2665" s="434"/>
      <c r="H2665" s="434"/>
      <c r="I2665" s="434"/>
      <c r="J2665" s="449"/>
      <c r="K2665" s="292"/>
      <c r="L2665" s="350"/>
      <c r="M2665" s="350"/>
      <c r="N2665" s="292"/>
      <c r="O2665" s="296"/>
      <c r="P2665" s="295"/>
      <c r="R2665" s="348" t="str">
        <f>R2664</f>
        <v>DELETE</v>
      </c>
      <c r="T2665" s="334"/>
    </row>
    <row r="2666" spans="3:22" ht="9" customHeight="1" x14ac:dyDescent="0.45">
      <c r="C2666" s="397"/>
      <c r="D2666" s="434"/>
      <c r="E2666" s="434"/>
      <c r="F2666" s="434"/>
      <c r="G2666" s="434"/>
      <c r="H2666" s="434"/>
      <c r="I2666" s="434"/>
      <c r="J2666" s="449"/>
      <c r="K2666" s="292"/>
      <c r="L2666" s="350"/>
      <c r="M2666" s="350"/>
      <c r="N2666" s="292"/>
      <c r="O2666" s="407"/>
      <c r="P2666" s="295"/>
      <c r="R2666" s="348" t="str">
        <f>R2665</f>
        <v>DELETE</v>
      </c>
      <c r="T2666" s="334"/>
    </row>
    <row r="2667" spans="3:22" ht="36" customHeight="1" x14ac:dyDescent="0.45">
      <c r="C2667" s="397"/>
      <c r="D2667" s="434" t="s">
        <v>250</v>
      </c>
      <c r="E2667" s="434"/>
      <c r="F2667" s="434"/>
      <c r="G2667" s="434"/>
      <c r="H2667" s="434"/>
      <c r="I2667" s="434"/>
      <c r="J2667" s="449"/>
      <c r="K2667" s="292"/>
      <c r="L2667" s="350"/>
      <c r="M2667" s="350"/>
      <c r="N2667" s="292"/>
      <c r="O2667" s="408">
        <f>TrialBalanceB!I40</f>
        <v>0</v>
      </c>
      <c r="P2667" s="295"/>
      <c r="R2667" s="348" t="str">
        <f t="shared" ref="R2667:R2694" si="217">IF(R$2618="DELETE","DELETE",IF(O2667=0,"DELETE"," "))</f>
        <v>DELETE</v>
      </c>
      <c r="T2667" s="334"/>
    </row>
    <row r="2668" spans="3:22" ht="36" customHeight="1" x14ac:dyDescent="0.45">
      <c r="C2668" s="397"/>
      <c r="D2668" s="434" t="s">
        <v>658</v>
      </c>
      <c r="E2668" s="434"/>
      <c r="F2668" s="434"/>
      <c r="G2668" s="434"/>
      <c r="H2668" s="434"/>
      <c r="I2668" s="434"/>
      <c r="J2668" s="449"/>
      <c r="K2668" s="292"/>
      <c r="L2668" s="350"/>
      <c r="M2668" s="350"/>
      <c r="N2668" s="292"/>
      <c r="O2668" s="408">
        <f>TrialBalanceB!I41</f>
        <v>0</v>
      </c>
      <c r="P2668" s="295"/>
      <c r="R2668" s="348" t="str">
        <f t="shared" si="217"/>
        <v>DELETE</v>
      </c>
      <c r="T2668" s="334"/>
    </row>
    <row r="2669" spans="3:22" ht="36" customHeight="1" x14ac:dyDescent="0.45">
      <c r="C2669" s="397"/>
      <c r="D2669" s="434" t="s">
        <v>251</v>
      </c>
      <c r="E2669" s="434"/>
      <c r="F2669" s="434"/>
      <c r="G2669" s="434"/>
      <c r="H2669" s="434"/>
      <c r="I2669" s="434"/>
      <c r="J2669" s="449"/>
      <c r="K2669" s="292"/>
      <c r="L2669" s="350"/>
      <c r="M2669" s="350"/>
      <c r="N2669" s="292"/>
      <c r="O2669" s="408">
        <f>TrialBalanceB!I42</f>
        <v>0</v>
      </c>
      <c r="P2669" s="295"/>
      <c r="R2669" s="348" t="str">
        <f t="shared" si="217"/>
        <v>DELETE</v>
      </c>
      <c r="T2669" s="334"/>
    </row>
    <row r="2670" spans="3:22" ht="36" customHeight="1" x14ac:dyDescent="0.45">
      <c r="C2670" s="397"/>
      <c r="D2670" s="434" t="s">
        <v>252</v>
      </c>
      <c r="E2670" s="434"/>
      <c r="F2670" s="434"/>
      <c r="G2670" s="434"/>
      <c r="H2670" s="434"/>
      <c r="I2670" s="434"/>
      <c r="J2670" s="449"/>
      <c r="K2670" s="292">
        <f>B$958</f>
        <v>5</v>
      </c>
      <c r="L2670" s="350"/>
      <c r="M2670" s="350"/>
      <c r="N2670" s="292"/>
      <c r="O2670" s="408">
        <f>SUM(TrialBalanceB!I44:I46)</f>
        <v>0</v>
      </c>
      <c r="P2670" s="295"/>
      <c r="R2670" s="348" t="str">
        <f t="shared" si="217"/>
        <v>DELETE</v>
      </c>
      <c r="T2670" s="334"/>
    </row>
    <row r="2671" spans="3:22" ht="36" customHeight="1" x14ac:dyDescent="0.45">
      <c r="C2671" s="397"/>
      <c r="D2671" s="434" t="s">
        <v>494</v>
      </c>
      <c r="E2671" s="434"/>
      <c r="F2671" s="434"/>
      <c r="G2671" s="434"/>
      <c r="H2671" s="434"/>
      <c r="I2671" s="434"/>
      <c r="J2671" s="449"/>
      <c r="K2671" s="292"/>
      <c r="L2671" s="350"/>
      <c r="M2671" s="350"/>
      <c r="N2671" s="292"/>
      <c r="O2671" s="408">
        <f>TrialBalanceB!I47</f>
        <v>0</v>
      </c>
      <c r="P2671" s="295"/>
      <c r="R2671" s="348" t="str">
        <f t="shared" si="217"/>
        <v>DELETE</v>
      </c>
      <c r="S2671" s="336"/>
      <c r="T2671" s="334"/>
      <c r="U2671" s="336"/>
      <c r="V2671" s="336"/>
    </row>
    <row r="2672" spans="3:22" ht="36" customHeight="1" x14ac:dyDescent="0.45">
      <c r="C2672" s="397"/>
      <c r="D2672" s="434" t="s">
        <v>678</v>
      </c>
      <c r="E2672" s="434"/>
      <c r="F2672" s="434"/>
      <c r="G2672" s="434"/>
      <c r="H2672" s="434"/>
      <c r="I2672" s="434"/>
      <c r="J2672" s="449"/>
      <c r="K2672" s="292"/>
      <c r="L2672" s="350"/>
      <c r="M2672" s="350"/>
      <c r="N2672" s="292"/>
      <c r="O2672" s="408">
        <f>TrialBalanceB!I48</f>
        <v>0</v>
      </c>
      <c r="P2672" s="295"/>
      <c r="R2672" s="348" t="str">
        <f t="shared" si="217"/>
        <v>DELETE</v>
      </c>
      <c r="T2672" s="334"/>
    </row>
    <row r="2673" spans="3:20" ht="36" customHeight="1" x14ac:dyDescent="0.45">
      <c r="C2673" s="397"/>
      <c r="D2673" s="434" t="s">
        <v>54</v>
      </c>
      <c r="E2673" s="434"/>
      <c r="F2673" s="434"/>
      <c r="G2673" s="434"/>
      <c r="H2673" s="434"/>
      <c r="I2673" s="434"/>
      <c r="J2673" s="449"/>
      <c r="K2673" s="292"/>
      <c r="L2673" s="350"/>
      <c r="M2673" s="350"/>
      <c r="N2673" s="292"/>
      <c r="O2673" s="408">
        <f>TrialBalanceB!I49</f>
        <v>0</v>
      </c>
      <c r="P2673" s="295"/>
      <c r="R2673" s="348" t="str">
        <f t="shared" si="217"/>
        <v>DELETE</v>
      </c>
      <c r="T2673" s="334"/>
    </row>
    <row r="2674" spans="3:20" ht="36" customHeight="1" x14ac:dyDescent="0.45">
      <c r="C2674" s="397"/>
      <c r="D2674" s="434" t="s">
        <v>253</v>
      </c>
      <c r="E2674" s="434"/>
      <c r="F2674" s="434"/>
      <c r="G2674" s="434"/>
      <c r="H2674" s="434"/>
      <c r="I2674" s="434"/>
      <c r="J2674" s="449"/>
      <c r="K2674" s="292"/>
      <c r="L2674" s="350"/>
      <c r="M2674" s="350"/>
      <c r="N2674" s="292"/>
      <c r="O2674" s="408">
        <f>TrialBalanceB!I50</f>
        <v>0</v>
      </c>
      <c r="P2674" s="295"/>
      <c r="R2674" s="348" t="str">
        <f t="shared" si="217"/>
        <v>DELETE</v>
      </c>
      <c r="T2674" s="334"/>
    </row>
    <row r="2675" spans="3:20" ht="36" customHeight="1" x14ac:dyDescent="0.45">
      <c r="C2675" s="397"/>
      <c r="D2675" s="434" t="s">
        <v>511</v>
      </c>
      <c r="E2675" s="434"/>
      <c r="F2675" s="434"/>
      <c r="G2675" s="434"/>
      <c r="H2675" s="434"/>
      <c r="I2675" s="434"/>
      <c r="J2675" s="449"/>
      <c r="K2675" s="292"/>
      <c r="L2675" s="350"/>
      <c r="M2675" s="350"/>
      <c r="N2675" s="292"/>
      <c r="O2675" s="408">
        <f>SUM(TrialBalanceB!I51:I52)</f>
        <v>0</v>
      </c>
      <c r="P2675" s="295"/>
      <c r="R2675" s="348" t="str">
        <f t="shared" si="217"/>
        <v>DELETE</v>
      </c>
      <c r="T2675" s="334"/>
    </row>
    <row r="2676" spans="3:20" ht="36" customHeight="1" x14ac:dyDescent="0.45">
      <c r="C2676" s="397"/>
      <c r="D2676" s="434" t="s">
        <v>510</v>
      </c>
      <c r="E2676" s="434"/>
      <c r="F2676" s="434"/>
      <c r="G2676" s="434"/>
      <c r="H2676" s="434"/>
      <c r="I2676" s="434"/>
      <c r="J2676" s="449"/>
      <c r="K2676" s="292"/>
      <c r="L2676" s="350"/>
      <c r="M2676" s="350"/>
      <c r="N2676" s="292"/>
      <c r="O2676" s="408">
        <f>TrialBalanceB!I53</f>
        <v>0</v>
      </c>
      <c r="P2676" s="295"/>
      <c r="R2676" s="348" t="str">
        <f t="shared" si="217"/>
        <v>DELETE</v>
      </c>
      <c r="T2676" s="334"/>
    </row>
    <row r="2677" spans="3:20" ht="36" customHeight="1" x14ac:dyDescent="0.45">
      <c r="C2677" s="397"/>
      <c r="D2677" s="434" t="s">
        <v>495</v>
      </c>
      <c r="E2677" s="434"/>
      <c r="F2677" s="434"/>
      <c r="G2677" s="434"/>
      <c r="H2677" s="434"/>
      <c r="I2677" s="434"/>
      <c r="J2677" s="449"/>
      <c r="K2677" s="292"/>
      <c r="L2677" s="350"/>
      <c r="M2677" s="350"/>
      <c r="N2677" s="292"/>
      <c r="O2677" s="408">
        <f>SUM(TrialBalanceB!I55:I59)</f>
        <v>0</v>
      </c>
      <c r="P2677" s="295"/>
      <c r="R2677" s="348" t="str">
        <f t="shared" si="217"/>
        <v>DELETE</v>
      </c>
      <c r="T2677" s="334"/>
    </row>
    <row r="2678" spans="3:20" ht="36" customHeight="1" x14ac:dyDescent="0.45">
      <c r="C2678" s="397"/>
      <c r="D2678" s="434" t="s">
        <v>479</v>
      </c>
      <c r="E2678" s="434"/>
      <c r="F2678" s="434"/>
      <c r="G2678" s="434"/>
      <c r="H2678" s="434"/>
      <c r="I2678" s="434"/>
      <c r="J2678" s="449"/>
      <c r="K2678" s="292">
        <f>B$958</f>
        <v>5</v>
      </c>
      <c r="L2678" s="350"/>
      <c r="M2678" s="350"/>
      <c r="N2678" s="292"/>
      <c r="O2678" s="408">
        <f>SUM(TrialBalanceB!I61:I63)</f>
        <v>0</v>
      </c>
      <c r="P2678" s="295"/>
      <c r="R2678" s="348" t="str">
        <f t="shared" si="217"/>
        <v>DELETE</v>
      </c>
      <c r="T2678" s="334"/>
    </row>
    <row r="2679" spans="3:20" ht="36" customHeight="1" x14ac:dyDescent="0.45">
      <c r="C2679" s="397"/>
      <c r="D2679" s="434" t="s">
        <v>57</v>
      </c>
      <c r="E2679" s="434"/>
      <c r="F2679" s="434"/>
      <c r="G2679" s="434"/>
      <c r="H2679" s="434"/>
      <c r="I2679" s="434"/>
      <c r="J2679" s="449"/>
      <c r="K2679" s="292"/>
      <c r="L2679" s="350"/>
      <c r="M2679" s="350"/>
      <c r="N2679" s="292"/>
      <c r="O2679" s="408">
        <f>TrialBalanceB!I64</f>
        <v>0</v>
      </c>
      <c r="P2679" s="295"/>
      <c r="R2679" s="348" t="str">
        <f t="shared" si="217"/>
        <v>DELETE</v>
      </c>
      <c r="T2679" s="334"/>
    </row>
    <row r="2680" spans="3:20" ht="36" customHeight="1" x14ac:dyDescent="0.45">
      <c r="C2680" s="397"/>
      <c r="D2680" s="434" t="s">
        <v>1210</v>
      </c>
      <c r="E2680" s="434"/>
      <c r="F2680" s="434"/>
      <c r="G2680" s="434"/>
      <c r="H2680" s="434"/>
      <c r="I2680" s="434"/>
      <c r="J2680" s="449"/>
      <c r="K2680" s="292"/>
      <c r="L2680" s="350"/>
      <c r="M2680" s="350"/>
      <c r="N2680" s="292"/>
      <c r="O2680" s="408">
        <f>TrialBalanceB!I65</f>
        <v>0</v>
      </c>
      <c r="P2680" s="295"/>
      <c r="R2680" s="348" t="str">
        <f>IF(R$2618="DELETE","DELETE",IF(O2680=0,"DELETE"," "))</f>
        <v>DELETE</v>
      </c>
      <c r="T2680" s="334"/>
    </row>
    <row r="2681" spans="3:20" ht="36" customHeight="1" x14ac:dyDescent="0.45">
      <c r="C2681" s="397"/>
      <c r="D2681" s="434" t="s">
        <v>235</v>
      </c>
      <c r="E2681" s="434"/>
      <c r="F2681" s="434"/>
      <c r="G2681" s="434"/>
      <c r="H2681" s="434"/>
      <c r="I2681" s="434"/>
      <c r="J2681" s="449"/>
      <c r="K2681" s="292"/>
      <c r="L2681" s="350"/>
      <c r="M2681" s="350"/>
      <c r="N2681" s="292"/>
      <c r="O2681" s="408">
        <f>SUM(TrialBalanceB!I66:I68)</f>
        <v>0</v>
      </c>
      <c r="P2681" s="295"/>
      <c r="R2681" s="348" t="str">
        <f t="shared" si="217"/>
        <v>DELETE</v>
      </c>
      <c r="T2681" s="334"/>
    </row>
    <row r="2682" spans="3:20" ht="36" customHeight="1" x14ac:dyDescent="0.45">
      <c r="C2682" s="397"/>
      <c r="D2682" s="434" t="s">
        <v>679</v>
      </c>
      <c r="E2682" s="434"/>
      <c r="F2682" s="434"/>
      <c r="G2682" s="434"/>
      <c r="H2682" s="434"/>
      <c r="I2682" s="434"/>
      <c r="J2682" s="449"/>
      <c r="K2682" s="292"/>
      <c r="L2682" s="350"/>
      <c r="M2682" s="350"/>
      <c r="N2682" s="292"/>
      <c r="O2682" s="408">
        <f>SUM(TrialBalanceB!I69:I70)</f>
        <v>0</v>
      </c>
      <c r="P2682" s="295"/>
      <c r="R2682" s="348" t="str">
        <f t="shared" si="217"/>
        <v>DELETE</v>
      </c>
      <c r="T2682" s="334"/>
    </row>
    <row r="2683" spans="3:20" ht="36" customHeight="1" x14ac:dyDescent="0.45">
      <c r="C2683" s="397"/>
      <c r="D2683" s="434" t="s">
        <v>236</v>
      </c>
      <c r="E2683" s="434"/>
      <c r="F2683" s="434"/>
      <c r="G2683" s="434"/>
      <c r="H2683" s="434"/>
      <c r="I2683" s="434"/>
      <c r="J2683" s="449"/>
      <c r="K2683" s="292"/>
      <c r="L2683" s="350"/>
      <c r="M2683" s="350"/>
      <c r="N2683" s="292"/>
      <c r="O2683" s="408">
        <f>TrialBalanceB!I71</f>
        <v>0</v>
      </c>
      <c r="P2683" s="295"/>
      <c r="R2683" s="348" t="str">
        <f t="shared" si="217"/>
        <v>DELETE</v>
      </c>
      <c r="T2683" s="334"/>
    </row>
    <row r="2684" spans="3:20" ht="36" customHeight="1" x14ac:dyDescent="0.45">
      <c r="C2684" s="397"/>
      <c r="D2684" s="434" t="s">
        <v>361</v>
      </c>
      <c r="E2684" s="434"/>
      <c r="F2684" s="434"/>
      <c r="G2684" s="434"/>
      <c r="H2684" s="434"/>
      <c r="I2684" s="434"/>
      <c r="J2684" s="449"/>
      <c r="K2684" s="292"/>
      <c r="L2684" s="350"/>
      <c r="M2684" s="350"/>
      <c r="N2684" s="292"/>
      <c r="O2684" s="408">
        <f>TrialBalanceB!I72</f>
        <v>0</v>
      </c>
      <c r="P2684" s="295"/>
      <c r="R2684" s="348" t="str">
        <f t="shared" si="217"/>
        <v>DELETE</v>
      </c>
      <c r="T2684" s="334"/>
    </row>
    <row r="2685" spans="3:20" ht="36" customHeight="1" x14ac:dyDescent="0.45">
      <c r="C2685" s="397"/>
      <c r="D2685" s="434">
        <f>TrialBalanceB!C73</f>
        <v>0</v>
      </c>
      <c r="E2685" s="434"/>
      <c r="F2685" s="434"/>
      <c r="G2685" s="434"/>
      <c r="H2685" s="434"/>
      <c r="I2685" s="434"/>
      <c r="J2685" s="449"/>
      <c r="K2685" s="292"/>
      <c r="L2685" s="350"/>
      <c r="M2685" s="350"/>
      <c r="N2685" s="292"/>
      <c r="O2685" s="408">
        <f>TrialBalanceB!I73</f>
        <v>0</v>
      </c>
      <c r="P2685" s="295"/>
      <c r="R2685" s="348" t="str">
        <f t="shared" si="217"/>
        <v>DELETE</v>
      </c>
      <c r="T2685" s="334"/>
    </row>
    <row r="2686" spans="3:20" ht="36" customHeight="1" x14ac:dyDescent="0.45">
      <c r="C2686" s="397"/>
      <c r="D2686" s="434">
        <f>TrialBalanceB!C74</f>
        <v>0</v>
      </c>
      <c r="E2686" s="434"/>
      <c r="F2686" s="434"/>
      <c r="G2686" s="434"/>
      <c r="H2686" s="434"/>
      <c r="I2686" s="434"/>
      <c r="J2686" s="449"/>
      <c r="K2686" s="292"/>
      <c r="L2686" s="350"/>
      <c r="M2686" s="350"/>
      <c r="N2686" s="292"/>
      <c r="O2686" s="408">
        <f>TrialBalanceB!I74</f>
        <v>0</v>
      </c>
      <c r="P2686" s="295"/>
      <c r="R2686" s="348" t="str">
        <f t="shared" si="217"/>
        <v>DELETE</v>
      </c>
      <c r="T2686" s="334"/>
    </row>
    <row r="2687" spans="3:20" ht="36" customHeight="1" x14ac:dyDescent="0.45">
      <c r="C2687" s="397"/>
      <c r="D2687" s="434">
        <f>TrialBalanceB!C75</f>
        <v>0</v>
      </c>
      <c r="E2687" s="434"/>
      <c r="F2687" s="434"/>
      <c r="G2687" s="434"/>
      <c r="H2687" s="434"/>
      <c r="I2687" s="434"/>
      <c r="J2687" s="449"/>
      <c r="K2687" s="292"/>
      <c r="L2687" s="350"/>
      <c r="M2687" s="350"/>
      <c r="N2687" s="292"/>
      <c r="O2687" s="408">
        <f>TrialBalanceB!I75</f>
        <v>0</v>
      </c>
      <c r="P2687" s="295"/>
      <c r="R2687" s="348" t="str">
        <f t="shared" si="217"/>
        <v>DELETE</v>
      </c>
      <c r="T2687" s="334"/>
    </row>
    <row r="2688" spans="3:20" ht="36" customHeight="1" x14ac:dyDescent="0.45">
      <c r="C2688" s="397"/>
      <c r="D2688" s="434">
        <f>TrialBalanceB!C76</f>
        <v>0</v>
      </c>
      <c r="E2688" s="434"/>
      <c r="F2688" s="434"/>
      <c r="G2688" s="434"/>
      <c r="H2688" s="434"/>
      <c r="I2688" s="434"/>
      <c r="J2688" s="449"/>
      <c r="K2688" s="292"/>
      <c r="L2688" s="350"/>
      <c r="M2688" s="350"/>
      <c r="N2688" s="292"/>
      <c r="O2688" s="408">
        <f>TrialBalanceB!I76</f>
        <v>0</v>
      </c>
      <c r="P2688" s="295"/>
      <c r="R2688" s="348" t="str">
        <f t="shared" si="217"/>
        <v>DELETE</v>
      </c>
      <c r="T2688" s="334"/>
    </row>
    <row r="2689" spans="3:20" ht="36" customHeight="1" x14ac:dyDescent="0.45">
      <c r="C2689" s="397"/>
      <c r="D2689" s="434">
        <f>TrialBalanceB!C77</f>
        <v>0</v>
      </c>
      <c r="E2689" s="434"/>
      <c r="F2689" s="434"/>
      <c r="G2689" s="434"/>
      <c r="H2689" s="434"/>
      <c r="I2689" s="434"/>
      <c r="J2689" s="449"/>
      <c r="K2689" s="292"/>
      <c r="L2689" s="350"/>
      <c r="M2689" s="350"/>
      <c r="N2689" s="292"/>
      <c r="O2689" s="408">
        <f>TrialBalanceB!I77</f>
        <v>0</v>
      </c>
      <c r="P2689" s="295"/>
      <c r="R2689" s="348" t="str">
        <f t="shared" si="217"/>
        <v>DELETE</v>
      </c>
      <c r="T2689" s="334"/>
    </row>
    <row r="2690" spans="3:20" ht="36" customHeight="1" x14ac:dyDescent="0.45">
      <c r="C2690" s="397"/>
      <c r="D2690" s="434">
        <f>TrialBalanceB!C78</f>
        <v>0</v>
      </c>
      <c r="E2690" s="434"/>
      <c r="F2690" s="434"/>
      <c r="G2690" s="434"/>
      <c r="H2690" s="434"/>
      <c r="I2690" s="434"/>
      <c r="J2690" s="449"/>
      <c r="K2690" s="292"/>
      <c r="L2690" s="350"/>
      <c r="M2690" s="350"/>
      <c r="N2690" s="292"/>
      <c r="O2690" s="408">
        <f>TrialBalanceB!I78</f>
        <v>0</v>
      </c>
      <c r="P2690" s="295"/>
      <c r="R2690" s="348" t="str">
        <f t="shared" si="217"/>
        <v>DELETE</v>
      </c>
      <c r="T2690" s="334"/>
    </row>
    <row r="2691" spans="3:20" ht="36" customHeight="1" x14ac:dyDescent="0.45">
      <c r="C2691" s="397"/>
      <c r="D2691" s="434">
        <f>TrialBalanceB!C79</f>
        <v>0</v>
      </c>
      <c r="E2691" s="434"/>
      <c r="F2691" s="434"/>
      <c r="G2691" s="434"/>
      <c r="H2691" s="434"/>
      <c r="I2691" s="434"/>
      <c r="J2691" s="449"/>
      <c r="K2691" s="292"/>
      <c r="L2691" s="350"/>
      <c r="M2691" s="350"/>
      <c r="N2691" s="292"/>
      <c r="O2691" s="408">
        <f>TrialBalanceB!I79</f>
        <v>0</v>
      </c>
      <c r="P2691" s="295"/>
      <c r="R2691" s="348" t="str">
        <f t="shared" si="217"/>
        <v>DELETE</v>
      </c>
      <c r="T2691" s="334"/>
    </row>
    <row r="2692" spans="3:20" ht="36" customHeight="1" x14ac:dyDescent="0.45">
      <c r="C2692" s="397"/>
      <c r="D2692" s="434">
        <f>TrialBalanceB!C80</f>
        <v>0</v>
      </c>
      <c r="E2692" s="434"/>
      <c r="F2692" s="434"/>
      <c r="G2692" s="434"/>
      <c r="H2692" s="434"/>
      <c r="I2692" s="434"/>
      <c r="J2692" s="449"/>
      <c r="K2692" s="292"/>
      <c r="L2692" s="350"/>
      <c r="M2692" s="350"/>
      <c r="N2692" s="292"/>
      <c r="O2692" s="408">
        <f>TrialBalanceB!I80</f>
        <v>0</v>
      </c>
      <c r="P2692" s="295"/>
      <c r="R2692" s="348" t="str">
        <f t="shared" si="217"/>
        <v>DELETE</v>
      </c>
      <c r="T2692" s="334"/>
    </row>
    <row r="2693" spans="3:20" ht="36" customHeight="1" x14ac:dyDescent="0.45">
      <c r="C2693" s="397"/>
      <c r="D2693" s="434">
        <f>TrialBalanceB!C81</f>
        <v>0</v>
      </c>
      <c r="E2693" s="434"/>
      <c r="F2693" s="434"/>
      <c r="G2693" s="434"/>
      <c r="H2693" s="434"/>
      <c r="I2693" s="434"/>
      <c r="J2693" s="449"/>
      <c r="K2693" s="292"/>
      <c r="L2693" s="350"/>
      <c r="M2693" s="350"/>
      <c r="N2693" s="292"/>
      <c r="O2693" s="408">
        <f>TrialBalanceB!I81</f>
        <v>0</v>
      </c>
      <c r="P2693" s="295"/>
      <c r="R2693" s="348" t="str">
        <f t="shared" si="217"/>
        <v>DELETE</v>
      </c>
      <c r="T2693" s="334"/>
    </row>
    <row r="2694" spans="3:20" ht="36" customHeight="1" x14ac:dyDescent="0.45">
      <c r="C2694" s="397"/>
      <c r="D2694" s="434">
        <f>TrialBalanceB!C82</f>
        <v>0</v>
      </c>
      <c r="E2694" s="434"/>
      <c r="F2694" s="434"/>
      <c r="G2694" s="434"/>
      <c r="H2694" s="434"/>
      <c r="I2694" s="434"/>
      <c r="J2694" s="449"/>
      <c r="K2694" s="292"/>
      <c r="L2694" s="350"/>
      <c r="M2694" s="350"/>
      <c r="N2694" s="292"/>
      <c r="O2694" s="408">
        <f>TrialBalanceB!I82</f>
        <v>0</v>
      </c>
      <c r="P2694" s="295"/>
      <c r="R2694" s="348" t="str">
        <f t="shared" si="217"/>
        <v>DELETE</v>
      </c>
      <c r="T2694" s="334"/>
    </row>
    <row r="2695" spans="3:20" ht="9" customHeight="1" x14ac:dyDescent="0.45">
      <c r="C2695" s="397"/>
      <c r="D2695" s="434"/>
      <c r="E2695" s="434"/>
      <c r="F2695" s="434"/>
      <c r="G2695" s="434"/>
      <c r="H2695" s="434"/>
      <c r="I2695" s="434"/>
      <c r="J2695" s="449"/>
      <c r="K2695" s="292"/>
      <c r="L2695" s="350"/>
      <c r="M2695" s="350"/>
      <c r="N2695" s="292"/>
      <c r="O2695" s="409"/>
      <c r="P2695" s="295"/>
      <c r="R2695" s="348" t="str">
        <f>R2664</f>
        <v>DELETE</v>
      </c>
      <c r="T2695" s="334"/>
    </row>
    <row r="2696" spans="3:20" ht="9" customHeight="1" x14ac:dyDescent="0.45">
      <c r="C2696" s="397"/>
      <c r="D2696" s="434"/>
      <c r="E2696" s="434"/>
      <c r="F2696" s="434"/>
      <c r="G2696" s="434"/>
      <c r="H2696" s="434"/>
      <c r="I2696" s="434"/>
      <c r="J2696" s="449"/>
      <c r="K2696" s="292"/>
      <c r="L2696" s="350"/>
      <c r="M2696" s="350"/>
      <c r="N2696" s="292"/>
      <c r="O2696" s="298"/>
      <c r="P2696" s="295"/>
      <c r="R2696" s="348" t="str">
        <f t="shared" ref="R2696:R2716" si="218">R$2618</f>
        <v>DELETE</v>
      </c>
      <c r="T2696" s="334"/>
    </row>
    <row r="2697" spans="3:20" ht="9" customHeight="1" x14ac:dyDescent="0.45">
      <c r="C2697" s="397"/>
      <c r="D2697" s="434"/>
      <c r="E2697" s="434"/>
      <c r="F2697" s="434"/>
      <c r="G2697" s="434"/>
      <c r="H2697" s="434"/>
      <c r="I2697" s="434"/>
      <c r="J2697" s="449"/>
      <c r="K2697" s="292"/>
      <c r="L2697" s="350"/>
      <c r="M2697" s="350"/>
      <c r="N2697" s="292"/>
      <c r="O2697" s="296"/>
      <c r="P2697" s="295"/>
      <c r="R2697" s="348" t="str">
        <f t="shared" si="218"/>
        <v>DELETE</v>
      </c>
      <c r="T2697" s="334"/>
    </row>
    <row r="2698" spans="3:20" ht="36" customHeight="1" x14ac:dyDescent="0.45">
      <c r="D2698" s="446" t="str">
        <f>IF(O2698&lt;0,"Operating loss","Operating profit")</f>
        <v>Operating profit</v>
      </c>
      <c r="E2698" s="434"/>
      <c r="F2698" s="434"/>
      <c r="G2698" s="434"/>
      <c r="H2698" s="434"/>
      <c r="I2698" s="434"/>
      <c r="J2698" s="449"/>
      <c r="K2698" s="292"/>
      <c r="L2698" s="350"/>
      <c r="M2698" s="350"/>
      <c r="N2698" s="292"/>
      <c r="O2698" s="296">
        <f>SUM(S2630:S2696)</f>
        <v>0</v>
      </c>
      <c r="P2698" s="295"/>
      <c r="R2698" s="348" t="str">
        <f t="shared" si="218"/>
        <v>DELETE</v>
      </c>
      <c r="T2698" s="334"/>
    </row>
    <row r="2699" spans="3:20" ht="36" customHeight="1" x14ac:dyDescent="0.45">
      <c r="C2699" s="397"/>
      <c r="D2699" s="434"/>
      <c r="E2699" s="434" t="s">
        <v>238</v>
      </c>
      <c r="F2699" s="434"/>
      <c r="G2699" s="434"/>
      <c r="H2699" s="434"/>
      <c r="I2699" s="434"/>
      <c r="J2699" s="449"/>
      <c r="K2699" s="292"/>
      <c r="L2699" s="350"/>
      <c r="M2699" s="350"/>
      <c r="N2699" s="292"/>
      <c r="O2699" s="296"/>
      <c r="P2699" s="295"/>
      <c r="R2699" s="348" t="str">
        <f t="shared" si="218"/>
        <v>DELETE</v>
      </c>
      <c r="T2699" s="334"/>
    </row>
    <row r="2700" spans="3:20" ht="36" customHeight="1" x14ac:dyDescent="0.45">
      <c r="C2700" s="397"/>
      <c r="D2700" s="434"/>
      <c r="E2700" s="434"/>
      <c r="F2700" s="434"/>
      <c r="G2700" s="434"/>
      <c r="H2700" s="434"/>
      <c r="I2700" s="434"/>
      <c r="J2700" s="449"/>
      <c r="K2700" s="292"/>
      <c r="L2700" s="350"/>
      <c r="M2700" s="350"/>
      <c r="N2700" s="292"/>
      <c r="O2700" s="296"/>
      <c r="P2700" s="295"/>
      <c r="R2700" s="348" t="str">
        <f t="shared" si="218"/>
        <v>DELETE</v>
      </c>
      <c r="T2700" s="334"/>
    </row>
    <row r="2701" spans="3:20" ht="36" customHeight="1" x14ac:dyDescent="0.45">
      <c r="C2701" s="397"/>
      <c r="D2701" s="434"/>
      <c r="E2701" s="434"/>
      <c r="F2701" s="434"/>
      <c r="G2701" s="434"/>
      <c r="H2701" s="434"/>
      <c r="I2701" s="434"/>
      <c r="J2701" s="449"/>
      <c r="K2701" s="292"/>
      <c r="L2701" s="292"/>
      <c r="M2701" s="296"/>
      <c r="N2701" s="296"/>
      <c r="O2701" s="296"/>
      <c r="P2701" s="295"/>
      <c r="R2701" s="348" t="str">
        <f t="shared" si="218"/>
        <v>DELETE</v>
      </c>
      <c r="T2701" s="334"/>
    </row>
    <row r="2702" spans="3:20" ht="36" customHeight="1" x14ac:dyDescent="0.45">
      <c r="C2702" s="397"/>
      <c r="D2702" s="434"/>
      <c r="E2702" s="434"/>
      <c r="F2702" s="434"/>
      <c r="G2702" s="434"/>
      <c r="H2702" s="434"/>
      <c r="I2702" s="434"/>
      <c r="J2702" s="449"/>
      <c r="K2702" s="292"/>
      <c r="L2702" s="292"/>
      <c r="M2702" s="310"/>
      <c r="N2702" s="310"/>
      <c r="O2702" s="310"/>
      <c r="P2702" s="330"/>
      <c r="R2702" s="348" t="str">
        <f t="shared" si="218"/>
        <v>DELETE</v>
      </c>
      <c r="T2702" s="334"/>
    </row>
    <row r="2703" spans="3:20" ht="36" customHeight="1" x14ac:dyDescent="0.45">
      <c r="C2703" s="397"/>
      <c r="D2703" s="434"/>
      <c r="E2703" s="434"/>
      <c r="F2703" s="434"/>
      <c r="G2703" s="434"/>
      <c r="H2703" s="434"/>
      <c r="I2703" s="434"/>
      <c r="J2703" s="449"/>
      <c r="K2703" s="292"/>
      <c r="L2703" s="292"/>
      <c r="M2703" s="296"/>
      <c r="N2703" s="296"/>
      <c r="O2703" s="296"/>
      <c r="P2703" s="295"/>
      <c r="R2703" s="348" t="str">
        <f t="shared" si="218"/>
        <v>DELETE</v>
      </c>
      <c r="T2703" s="334"/>
    </row>
    <row r="2704" spans="3:20" ht="36" customHeight="1" x14ac:dyDescent="0.45">
      <c r="C2704" s="397"/>
      <c r="D2704" s="434"/>
      <c r="E2704" s="434"/>
      <c r="F2704" s="434"/>
      <c r="G2704" s="434"/>
      <c r="H2704" s="434"/>
      <c r="I2704" s="434"/>
      <c r="J2704" s="449"/>
      <c r="K2704" s="292"/>
      <c r="L2704" s="292"/>
      <c r="M2704" s="296"/>
      <c r="N2704" s="296"/>
      <c r="O2704" s="296" t="s">
        <v>89</v>
      </c>
      <c r="P2704" s="295"/>
      <c r="Q2704" s="292">
        <f>MAX($Q$2618:Q2703)+1</f>
        <v>2</v>
      </c>
      <c r="R2704" s="348" t="str">
        <f t="shared" si="218"/>
        <v>DELETE</v>
      </c>
      <c r="T2704" s="334"/>
    </row>
    <row r="2705" spans="3:22" ht="36" customHeight="1" x14ac:dyDescent="0.45">
      <c r="C2705" s="397"/>
      <c r="D2705" s="433" t="str">
        <f>Criteria!E15</f>
        <v>SUBSIDIARY TWO 15 (PTY) LTD</v>
      </c>
      <c r="E2705" s="434"/>
      <c r="F2705" s="434"/>
      <c r="G2705" s="434"/>
      <c r="H2705" s="434"/>
      <c r="I2705" s="434"/>
      <c r="J2705" s="449"/>
      <c r="K2705" s="292"/>
      <c r="L2705" s="292"/>
      <c r="M2705" s="296"/>
      <c r="N2705" s="296"/>
      <c r="O2705" s="347"/>
      <c r="R2705" s="348" t="str">
        <f t="shared" si="218"/>
        <v>DELETE</v>
      </c>
      <c r="T2705" s="334"/>
    </row>
    <row r="2706" spans="3:22" ht="36" customHeight="1" x14ac:dyDescent="0.45">
      <c r="C2706" s="397"/>
      <c r="D2706" s="438"/>
      <c r="E2706" s="434"/>
      <c r="F2706" s="434"/>
      <c r="G2706" s="434"/>
      <c r="H2706" s="434"/>
      <c r="I2706" s="434"/>
      <c r="J2706" s="449"/>
      <c r="K2706" s="292"/>
      <c r="L2706" s="292"/>
      <c r="M2706" s="296"/>
      <c r="N2706" s="296"/>
      <c r="O2706" s="296"/>
      <c r="P2706" s="295"/>
      <c r="R2706" s="348" t="str">
        <f t="shared" si="218"/>
        <v>DELETE</v>
      </c>
      <c r="T2706" s="334"/>
    </row>
    <row r="2707" spans="3:22" ht="36" customHeight="1" x14ac:dyDescent="0.45">
      <c r="C2707" s="397"/>
      <c r="D2707" s="434"/>
      <c r="E2707" s="434"/>
      <c r="F2707" s="434"/>
      <c r="G2707" s="434"/>
      <c r="H2707" s="434"/>
      <c r="I2707" s="434"/>
      <c r="J2707" s="449"/>
      <c r="K2707" s="292"/>
      <c r="L2707" s="292"/>
      <c r="M2707" s="296"/>
      <c r="N2707" s="296"/>
      <c r="O2707" s="296"/>
      <c r="P2707" s="295"/>
      <c r="R2707" s="348" t="str">
        <f t="shared" si="218"/>
        <v>DELETE</v>
      </c>
      <c r="T2707" s="334"/>
    </row>
    <row r="2708" spans="3:22" ht="36" customHeight="1" x14ac:dyDescent="0.45">
      <c r="C2708" s="397"/>
      <c r="D2708" s="433" t="s">
        <v>86</v>
      </c>
      <c r="E2708" s="434"/>
      <c r="F2708" s="434"/>
      <c r="G2708" s="434"/>
      <c r="H2708" s="434"/>
      <c r="I2708" s="434"/>
      <c r="J2708" s="449"/>
      <c r="K2708" s="292"/>
      <c r="L2708" s="292"/>
      <c r="M2708" s="296"/>
      <c r="N2708" s="296"/>
      <c r="O2708" s="296"/>
      <c r="P2708" s="295"/>
      <c r="R2708" s="348" t="str">
        <f t="shared" si="218"/>
        <v>DELETE</v>
      </c>
      <c r="T2708" s="334"/>
    </row>
    <row r="2709" spans="3:22" ht="36" customHeight="1" x14ac:dyDescent="0.45">
      <c r="C2709" s="397"/>
      <c r="D2709" s="433" t="str">
        <f>D2625</f>
        <v>28 FEBRUARY 2025</v>
      </c>
      <c r="E2709" s="434"/>
      <c r="F2709" s="434"/>
      <c r="G2709" s="434"/>
      <c r="H2709" s="434"/>
      <c r="I2709" s="434"/>
      <c r="J2709" s="434" t="s">
        <v>95</v>
      </c>
      <c r="K2709" s="292"/>
      <c r="L2709" s="292"/>
      <c r="M2709" s="296"/>
      <c r="N2709" s="296"/>
      <c r="O2709" s="296"/>
      <c r="P2709" s="295"/>
      <c r="R2709" s="348" t="str">
        <f t="shared" si="218"/>
        <v>DELETE</v>
      </c>
      <c r="T2709" s="334"/>
    </row>
    <row r="2710" spans="3:22" ht="36" customHeight="1" x14ac:dyDescent="0.45">
      <c r="C2710" s="397"/>
      <c r="D2710" s="434"/>
      <c r="E2710" s="434"/>
      <c r="F2710" s="434"/>
      <c r="G2710" s="434"/>
      <c r="H2710" s="434"/>
      <c r="I2710" s="434"/>
      <c r="J2710" s="449"/>
      <c r="K2710" s="304"/>
      <c r="L2710" s="304"/>
      <c r="M2710" s="298"/>
      <c r="N2710" s="298"/>
      <c r="O2710" s="298"/>
      <c r="P2710" s="295"/>
      <c r="R2710" s="348" t="str">
        <f t="shared" si="218"/>
        <v>DELETE</v>
      </c>
      <c r="T2710" s="334"/>
    </row>
    <row r="2711" spans="3:22" ht="36" customHeight="1" x14ac:dyDescent="0.45">
      <c r="C2711" s="397"/>
      <c r="D2711" s="444"/>
      <c r="E2711" s="444"/>
      <c r="F2711" s="444"/>
      <c r="G2711" s="444"/>
      <c r="H2711" s="444"/>
      <c r="I2711" s="444"/>
      <c r="J2711" s="453"/>
      <c r="M2711" s="351"/>
      <c r="N2711" s="351"/>
      <c r="O2711" s="351"/>
      <c r="P2711" s="313"/>
      <c r="Q2711" s="364"/>
      <c r="R2711" s="348" t="str">
        <f t="shared" si="218"/>
        <v>DELETE</v>
      </c>
      <c r="T2711" s="334"/>
    </row>
    <row r="2712" spans="3:22" ht="36" customHeight="1" x14ac:dyDescent="0.45">
      <c r="C2712" s="397"/>
      <c r="D2712" s="434"/>
      <c r="E2712" s="434"/>
      <c r="F2712" s="434"/>
      <c r="G2712" s="434"/>
      <c r="H2712" s="434"/>
      <c r="I2712" s="434"/>
      <c r="J2712" s="449"/>
      <c r="K2712" s="292" t="s">
        <v>1041</v>
      </c>
      <c r="L2712" s="350"/>
      <c r="M2712" s="350"/>
      <c r="N2712" s="292"/>
      <c r="O2712" s="294">
        <f>Criteria!E22</f>
        <v>2025</v>
      </c>
      <c r="P2712" s="295"/>
      <c r="R2712" s="348" t="str">
        <f t="shared" si="218"/>
        <v>DELETE</v>
      </c>
      <c r="T2712" s="334"/>
    </row>
    <row r="2713" spans="3:22" ht="36" customHeight="1" x14ac:dyDescent="0.45">
      <c r="C2713" s="397"/>
      <c r="D2713" s="434"/>
      <c r="E2713" s="434"/>
      <c r="F2713" s="434"/>
      <c r="G2713" s="434"/>
      <c r="H2713" s="434"/>
      <c r="I2713" s="434"/>
      <c r="J2713" s="449"/>
      <c r="K2713" s="292"/>
      <c r="L2713" s="350"/>
      <c r="M2713" s="350"/>
      <c r="N2713" s="292"/>
      <c r="O2713" s="296"/>
      <c r="P2713" s="295"/>
      <c r="R2713" s="348" t="str">
        <f t="shared" si="218"/>
        <v>DELETE</v>
      </c>
      <c r="T2713" s="334"/>
    </row>
    <row r="2714" spans="3:22" ht="36" customHeight="1" x14ac:dyDescent="0.45">
      <c r="D2714" s="446" t="str">
        <f>IF(O2714&lt;0,"Operating loss","Operating profit")</f>
        <v>Operating profit</v>
      </c>
      <c r="E2714" s="434"/>
      <c r="F2714" s="434"/>
      <c r="G2714" s="434"/>
      <c r="H2714" s="434"/>
      <c r="I2714" s="434"/>
      <c r="J2714" s="449"/>
      <c r="K2714" s="292"/>
      <c r="L2714" s="350"/>
      <c r="M2714" s="350"/>
      <c r="N2714" s="292"/>
      <c r="O2714" s="296">
        <f>SUM(S2630:S2695)</f>
        <v>0</v>
      </c>
      <c r="P2714" s="295"/>
      <c r="R2714" s="348" t="str">
        <f t="shared" si="218"/>
        <v>DELETE</v>
      </c>
      <c r="T2714" s="334"/>
      <c r="U2714" s="331" t="b">
        <f>O2714=O2698</f>
        <v>1</v>
      </c>
    </row>
    <row r="2715" spans="3:22" ht="36" customHeight="1" x14ac:dyDescent="0.45">
      <c r="C2715" s="397"/>
      <c r="D2715" s="434"/>
      <c r="E2715" s="434" t="s">
        <v>239</v>
      </c>
      <c r="F2715" s="434"/>
      <c r="G2715" s="434"/>
      <c r="H2715" s="434"/>
      <c r="I2715" s="434"/>
      <c r="J2715" s="449"/>
      <c r="K2715" s="292"/>
      <c r="L2715" s="350"/>
      <c r="M2715" s="350"/>
      <c r="N2715" s="292"/>
      <c r="O2715" s="296"/>
      <c r="P2715" s="295"/>
      <c r="R2715" s="348" t="str">
        <f t="shared" si="218"/>
        <v>DELETE</v>
      </c>
      <c r="T2715" s="334"/>
    </row>
    <row r="2716" spans="3:22" ht="36" customHeight="1" x14ac:dyDescent="0.45">
      <c r="C2716" s="397"/>
      <c r="D2716" s="434"/>
      <c r="E2716" s="434"/>
      <c r="F2716" s="434"/>
      <c r="G2716" s="434"/>
      <c r="H2716" s="434"/>
      <c r="I2716" s="434"/>
      <c r="J2716" s="449"/>
      <c r="K2716" s="292"/>
      <c r="L2716" s="350"/>
      <c r="M2716" s="350"/>
      <c r="N2716" s="292"/>
      <c r="O2716" s="296"/>
      <c r="P2716" s="295"/>
      <c r="R2716" s="348" t="str">
        <f t="shared" si="218"/>
        <v>DELETE</v>
      </c>
      <c r="T2716" s="334"/>
    </row>
    <row r="2717" spans="3:22" ht="36" customHeight="1" x14ac:dyDescent="0.45">
      <c r="D2717" s="433" t="s">
        <v>1076</v>
      </c>
      <c r="E2717" s="434"/>
      <c r="F2717" s="434"/>
      <c r="G2717" s="434"/>
      <c r="H2717" s="434"/>
      <c r="I2717" s="434"/>
      <c r="J2717" s="449"/>
      <c r="K2717" s="292"/>
      <c r="L2717" s="350"/>
      <c r="M2717" s="350"/>
      <c r="N2717" s="292"/>
      <c r="O2717" s="296">
        <f>SUM(O2720:O2753)</f>
        <v>0</v>
      </c>
      <c r="P2717" s="295"/>
      <c r="R2717" s="348" t="str">
        <f t="shared" ref="R2717" si="219">IF(R$2618="DELETE","DELETE",IF(O2717=0,"DELETE"," "))</f>
        <v>DELETE</v>
      </c>
      <c r="S2717" s="333">
        <f>-O2717</f>
        <v>0</v>
      </c>
      <c r="T2717" s="334"/>
      <c r="U2717" s="333"/>
      <c r="V2717" s="333"/>
    </row>
    <row r="2718" spans="3:22" ht="9" customHeight="1" x14ac:dyDescent="0.45">
      <c r="C2718" s="397"/>
      <c r="D2718" s="434"/>
      <c r="E2718" s="434"/>
      <c r="F2718" s="434"/>
      <c r="G2718" s="434"/>
      <c r="H2718" s="434"/>
      <c r="I2718" s="434"/>
      <c r="J2718" s="449"/>
      <c r="K2718" s="292"/>
      <c r="L2718" s="350"/>
      <c r="M2718" s="350"/>
      <c r="N2718" s="292"/>
      <c r="O2718" s="296"/>
      <c r="P2718" s="295"/>
      <c r="R2718" s="348" t="str">
        <f>R2717</f>
        <v>DELETE</v>
      </c>
      <c r="T2718" s="334"/>
    </row>
    <row r="2719" spans="3:22" ht="9" customHeight="1" x14ac:dyDescent="0.45">
      <c r="C2719" s="397"/>
      <c r="D2719" s="434"/>
      <c r="E2719" s="434"/>
      <c r="F2719" s="434"/>
      <c r="G2719" s="434"/>
      <c r="H2719" s="434"/>
      <c r="I2719" s="434"/>
      <c r="J2719" s="449"/>
      <c r="K2719" s="292"/>
      <c r="L2719" s="350"/>
      <c r="M2719" s="350"/>
      <c r="N2719" s="292"/>
      <c r="O2719" s="407"/>
      <c r="P2719" s="295"/>
      <c r="R2719" s="348" t="str">
        <f>R2718</f>
        <v>DELETE</v>
      </c>
      <c r="T2719" s="334"/>
    </row>
    <row r="2720" spans="3:22" ht="36" customHeight="1" x14ac:dyDescent="0.45">
      <c r="C2720" s="397"/>
      <c r="D2720" s="434" t="s">
        <v>199</v>
      </c>
      <c r="E2720" s="434"/>
      <c r="F2720" s="434"/>
      <c r="G2720" s="434"/>
      <c r="H2720" s="434"/>
      <c r="I2720" s="434"/>
      <c r="J2720" s="449"/>
      <c r="K2720" s="292"/>
      <c r="L2720" s="350"/>
      <c r="M2720" s="350"/>
      <c r="N2720" s="292"/>
      <c r="O2720" s="408">
        <f>SUM(TrialBalanceB!I99:I102)</f>
        <v>0</v>
      </c>
      <c r="P2720" s="295"/>
      <c r="R2720" s="348" t="str">
        <f t="shared" ref="R2720:R2751" si="220">IF(R$2618="DELETE","DELETE",IF(O2720=0,"DELETE"," "))</f>
        <v>DELETE</v>
      </c>
      <c r="T2720" s="334"/>
    </row>
    <row r="2721" spans="3:20" ht="36" customHeight="1" x14ac:dyDescent="0.45">
      <c r="C2721" s="397"/>
      <c r="D2721" s="434" t="s">
        <v>201</v>
      </c>
      <c r="E2721" s="434"/>
      <c r="F2721" s="434"/>
      <c r="G2721" s="434"/>
      <c r="H2721" s="434"/>
      <c r="I2721" s="434"/>
      <c r="J2721" s="449"/>
      <c r="K2721" s="292"/>
      <c r="L2721" s="350"/>
      <c r="M2721" s="350"/>
      <c r="N2721" s="292"/>
      <c r="O2721" s="408">
        <f>TrialBalanceB!I103</f>
        <v>0</v>
      </c>
      <c r="P2721" s="295"/>
      <c r="R2721" s="348" t="str">
        <f t="shared" si="220"/>
        <v>DELETE</v>
      </c>
      <c r="T2721" s="334"/>
    </row>
    <row r="2722" spans="3:20" ht="36" customHeight="1" x14ac:dyDescent="0.45">
      <c r="C2722" s="397"/>
      <c r="D2722" s="434" t="s">
        <v>203</v>
      </c>
      <c r="E2722" s="434"/>
      <c r="F2722" s="434"/>
      <c r="G2722" s="434"/>
      <c r="H2722" s="434"/>
      <c r="I2722" s="434"/>
      <c r="J2722" s="449"/>
      <c r="K2722" s="292"/>
      <c r="L2722" s="350"/>
      <c r="M2722" s="350"/>
      <c r="N2722" s="292"/>
      <c r="O2722" s="408">
        <f>TrialBalanceB!I104</f>
        <v>0</v>
      </c>
      <c r="P2722" s="295"/>
      <c r="R2722" s="348" t="str">
        <f t="shared" si="220"/>
        <v>DELETE</v>
      </c>
      <c r="T2722" s="334"/>
    </row>
    <row r="2723" spans="3:20" ht="36" customHeight="1" x14ac:dyDescent="0.45">
      <c r="C2723" s="397"/>
      <c r="D2723" s="434" t="s">
        <v>240</v>
      </c>
      <c r="E2723" s="434"/>
      <c r="F2723" s="434"/>
      <c r="G2723" s="434"/>
      <c r="H2723" s="434"/>
      <c r="I2723" s="434"/>
      <c r="J2723" s="449"/>
      <c r="K2723" s="292"/>
      <c r="L2723" s="350"/>
      <c r="M2723" s="350"/>
      <c r="N2723" s="292"/>
      <c r="O2723" s="408">
        <f>TrialBalanceB!I105</f>
        <v>0</v>
      </c>
      <c r="P2723" s="295"/>
      <c r="R2723" s="348" t="str">
        <f t="shared" si="220"/>
        <v>DELETE</v>
      </c>
      <c r="T2723" s="334"/>
    </row>
    <row r="2724" spans="3:20" ht="36" customHeight="1" x14ac:dyDescent="0.45">
      <c r="C2724" s="397"/>
      <c r="D2724" s="434" t="s">
        <v>206</v>
      </c>
      <c r="E2724" s="434"/>
      <c r="F2724" s="434"/>
      <c r="G2724" s="434"/>
      <c r="H2724" s="434"/>
      <c r="I2724" s="434"/>
      <c r="J2724" s="449"/>
      <c r="K2724" s="292"/>
      <c r="L2724" s="350"/>
      <c r="M2724" s="350"/>
      <c r="N2724" s="292"/>
      <c r="O2724" s="408">
        <f>TrialBalanceB!I106</f>
        <v>0</v>
      </c>
      <c r="P2724" s="295"/>
      <c r="R2724" s="348" t="str">
        <f t="shared" si="220"/>
        <v>DELETE</v>
      </c>
      <c r="T2724" s="334"/>
    </row>
    <row r="2725" spans="3:20" ht="36" customHeight="1" x14ac:dyDescent="0.45">
      <c r="C2725" s="397"/>
      <c r="D2725" s="434" t="s">
        <v>680</v>
      </c>
      <c r="E2725" s="434"/>
      <c r="F2725" s="434"/>
      <c r="G2725" s="434"/>
      <c r="H2725" s="434"/>
      <c r="I2725" s="434"/>
      <c r="J2725" s="449"/>
      <c r="K2725" s="292"/>
      <c r="L2725" s="350"/>
      <c r="M2725" s="350"/>
      <c r="N2725" s="292"/>
      <c r="O2725" s="408">
        <f>TrialBalanceB!I107</f>
        <v>0</v>
      </c>
      <c r="P2725" s="295"/>
      <c r="R2725" s="348" t="str">
        <f t="shared" si="220"/>
        <v>DELETE</v>
      </c>
      <c r="T2725" s="334"/>
    </row>
    <row r="2726" spans="3:20" ht="36" customHeight="1" x14ac:dyDescent="0.45">
      <c r="C2726" s="397"/>
      <c r="D2726" s="434" t="s">
        <v>1212</v>
      </c>
      <c r="E2726" s="434"/>
      <c r="F2726" s="434"/>
      <c r="G2726" s="434"/>
      <c r="H2726" s="434"/>
      <c r="I2726" s="434"/>
      <c r="J2726" s="449"/>
      <c r="K2726" s="292"/>
      <c r="L2726" s="350"/>
      <c r="M2726" s="350"/>
      <c r="N2726" s="292"/>
      <c r="O2726" s="408">
        <f>TrialBalanceB!I108</f>
        <v>0</v>
      </c>
      <c r="P2726" s="295"/>
      <c r="R2726" s="348" t="str">
        <f t="shared" ref="R2726" si="221">IF(R$2618="DELETE","DELETE",IF(O2726=0,"DELETE"," "))</f>
        <v>DELETE</v>
      </c>
      <c r="T2726" s="334"/>
    </row>
    <row r="2727" spans="3:20" ht="36" customHeight="1" x14ac:dyDescent="0.45">
      <c r="C2727" s="397"/>
      <c r="D2727" s="434" t="s">
        <v>252</v>
      </c>
      <c r="E2727" s="434"/>
      <c r="F2727" s="434"/>
      <c r="G2727" s="434"/>
      <c r="H2727" s="434"/>
      <c r="I2727" s="434"/>
      <c r="J2727" s="449"/>
      <c r="K2727" s="292">
        <f>B$958</f>
        <v>5</v>
      </c>
      <c r="L2727" s="350"/>
      <c r="M2727" s="350"/>
      <c r="N2727" s="292"/>
      <c r="O2727" s="408">
        <f>SUM(TrialBalanceB!I110:I111)</f>
        <v>0</v>
      </c>
      <c r="P2727" s="295"/>
      <c r="R2727" s="348" t="str">
        <f t="shared" si="220"/>
        <v>DELETE</v>
      </c>
      <c r="T2727" s="334"/>
    </row>
    <row r="2728" spans="3:20" ht="36" customHeight="1" x14ac:dyDescent="0.45">
      <c r="C2728" s="397"/>
      <c r="D2728" s="434" t="str">
        <f>IF(MAX(Criteria!I38:I42)&gt;1,"Directors' remuneration","Director's remuneration")</f>
        <v>Directors' remuneration</v>
      </c>
      <c r="E2728" s="434"/>
      <c r="F2728" s="434"/>
      <c r="G2728" s="434"/>
      <c r="H2728" s="434"/>
      <c r="I2728" s="434"/>
      <c r="J2728" s="449"/>
      <c r="K2728" s="292">
        <f>B$958</f>
        <v>5</v>
      </c>
      <c r="L2728" s="350"/>
      <c r="M2728" s="350"/>
      <c r="N2728" s="292"/>
      <c r="O2728" s="408">
        <f>SUM(TrialBalanceB!I113:I117)</f>
        <v>0</v>
      </c>
      <c r="P2728" s="295"/>
      <c r="R2728" s="348" t="str">
        <f t="shared" si="220"/>
        <v>DELETE</v>
      </c>
      <c r="T2728" s="334"/>
    </row>
    <row r="2729" spans="3:20" ht="36" customHeight="1" x14ac:dyDescent="0.45">
      <c r="C2729" s="397"/>
      <c r="D2729" s="434" t="s">
        <v>241</v>
      </c>
      <c r="E2729" s="434"/>
      <c r="F2729" s="434"/>
      <c r="G2729" s="434"/>
      <c r="H2729" s="434"/>
      <c r="I2729" s="434"/>
      <c r="J2729" s="449"/>
      <c r="K2729" s="292"/>
      <c r="L2729" s="350"/>
      <c r="M2729" s="350"/>
      <c r="N2729" s="292"/>
      <c r="O2729" s="408">
        <f>TrialBalanceB!I118</f>
        <v>0</v>
      </c>
      <c r="P2729" s="295"/>
      <c r="R2729" s="348" t="str">
        <f t="shared" si="220"/>
        <v>DELETE</v>
      </c>
      <c r="T2729" s="334"/>
    </row>
    <row r="2730" spans="3:20" ht="36" customHeight="1" x14ac:dyDescent="0.45">
      <c r="C2730" s="397"/>
      <c r="D2730" s="434" t="s">
        <v>344</v>
      </c>
      <c r="E2730" s="434"/>
      <c r="F2730" s="434"/>
      <c r="G2730" s="434"/>
      <c r="H2730" s="434"/>
      <c r="I2730" s="434"/>
      <c r="J2730" s="449"/>
      <c r="K2730" s="292"/>
      <c r="L2730" s="350"/>
      <c r="M2730" s="350"/>
      <c r="N2730" s="292"/>
      <c r="O2730" s="408">
        <f>TrialBalanceB!I119</f>
        <v>0</v>
      </c>
      <c r="P2730" s="295"/>
      <c r="R2730" s="348" t="str">
        <f t="shared" si="220"/>
        <v>DELETE</v>
      </c>
      <c r="T2730" s="334"/>
    </row>
    <row r="2731" spans="3:20" ht="36" customHeight="1" x14ac:dyDescent="0.45">
      <c r="C2731" s="397"/>
      <c r="D2731" s="434" t="s">
        <v>305</v>
      </c>
      <c r="E2731" s="434"/>
      <c r="F2731" s="434"/>
      <c r="G2731" s="434"/>
      <c r="H2731" s="434"/>
      <c r="I2731" s="434"/>
      <c r="J2731" s="449"/>
      <c r="K2731" s="292"/>
      <c r="L2731" s="350"/>
      <c r="M2731" s="350"/>
      <c r="N2731" s="292"/>
      <c r="O2731" s="408">
        <f>TrialBalanceB!I120</f>
        <v>0</v>
      </c>
      <c r="P2731" s="295"/>
      <c r="R2731" s="348" t="str">
        <f t="shared" si="220"/>
        <v>DELETE</v>
      </c>
      <c r="T2731" s="334"/>
    </row>
    <row r="2732" spans="3:20" ht="36" customHeight="1" x14ac:dyDescent="0.45">
      <c r="C2732" s="397"/>
      <c r="D2732" s="434" t="s">
        <v>346</v>
      </c>
      <c r="E2732" s="434"/>
      <c r="F2732" s="434"/>
      <c r="G2732" s="434"/>
      <c r="H2732" s="434"/>
      <c r="I2732" s="434"/>
      <c r="J2732" s="449"/>
      <c r="K2732" s="292"/>
      <c r="L2732" s="350"/>
      <c r="M2732" s="350"/>
      <c r="N2732" s="292"/>
      <c r="O2732" s="408">
        <f>TrialBalanceB!I121</f>
        <v>0</v>
      </c>
      <c r="P2732" s="295"/>
      <c r="R2732" s="348" t="str">
        <f t="shared" si="220"/>
        <v>DELETE</v>
      </c>
      <c r="T2732" s="334"/>
    </row>
    <row r="2733" spans="3:20" ht="36" customHeight="1" x14ac:dyDescent="0.45">
      <c r="C2733" s="397"/>
      <c r="D2733" s="434" t="s">
        <v>921</v>
      </c>
      <c r="E2733" s="434"/>
      <c r="F2733" s="434"/>
      <c r="G2733" s="434"/>
      <c r="H2733" s="434"/>
      <c r="I2733" s="434"/>
      <c r="J2733" s="449"/>
      <c r="K2733" s="292"/>
      <c r="L2733" s="350"/>
      <c r="M2733" s="350"/>
      <c r="N2733" s="292"/>
      <c r="O2733" s="408">
        <f>TrialBalanceB!I156</f>
        <v>0</v>
      </c>
      <c r="P2733" s="295"/>
      <c r="R2733" s="348" t="str">
        <f>IF(R$2618="DELETE","DELETE",IF(O2733=0,"DELETE"," "))</f>
        <v>DELETE</v>
      </c>
      <c r="T2733" s="334"/>
    </row>
    <row r="2734" spans="3:20" ht="36" customHeight="1" x14ac:dyDescent="0.45">
      <c r="C2734" s="397"/>
      <c r="D2734" s="434" t="s">
        <v>490</v>
      </c>
      <c r="E2734" s="434"/>
      <c r="F2734" s="434"/>
      <c r="G2734" s="434"/>
      <c r="H2734" s="434"/>
      <c r="I2734" s="434"/>
      <c r="J2734" s="449"/>
      <c r="K2734" s="292"/>
      <c r="L2734" s="350"/>
      <c r="M2734" s="350"/>
      <c r="N2734" s="292"/>
      <c r="O2734" s="408">
        <f>TrialBalanceB!I122+TrialBalanceB!I123</f>
        <v>0</v>
      </c>
      <c r="P2734" s="295"/>
      <c r="R2734" s="348" t="str">
        <f t="shared" si="220"/>
        <v>DELETE</v>
      </c>
      <c r="T2734" s="334"/>
    </row>
    <row r="2735" spans="3:20" ht="36" customHeight="1" x14ac:dyDescent="0.45">
      <c r="C2735" s="397"/>
      <c r="D2735" s="434" t="s">
        <v>512</v>
      </c>
      <c r="E2735" s="434"/>
      <c r="F2735" s="434"/>
      <c r="G2735" s="434"/>
      <c r="H2735" s="434"/>
      <c r="I2735" s="434"/>
      <c r="J2735" s="449"/>
      <c r="K2735" s="292"/>
      <c r="L2735" s="350"/>
      <c r="M2735" s="350"/>
      <c r="N2735" s="292"/>
      <c r="O2735" s="408">
        <f>IF(TrialBalanceB!I94&gt;0,TrialBalanceB!I94,0)</f>
        <v>0</v>
      </c>
      <c r="P2735" s="295"/>
      <c r="R2735" s="348" t="str">
        <f>IF(R$2618="DELETE","DELETE",IF(O2735=0,"DELETE"," "))</f>
        <v>DELETE</v>
      </c>
      <c r="T2735" s="334"/>
    </row>
    <row r="2736" spans="3:20" ht="36" customHeight="1" x14ac:dyDescent="0.45">
      <c r="C2736" s="397"/>
      <c r="D2736" s="434" t="s">
        <v>681</v>
      </c>
      <c r="E2736" s="434"/>
      <c r="F2736" s="434"/>
      <c r="G2736" s="434"/>
      <c r="H2736" s="434"/>
      <c r="I2736" s="434"/>
      <c r="J2736" s="449"/>
      <c r="K2736" s="292"/>
      <c r="L2736" s="350"/>
      <c r="M2736" s="350"/>
      <c r="N2736" s="292"/>
      <c r="O2736" s="408">
        <f>TrialBalanceB!I124</f>
        <v>0</v>
      </c>
      <c r="P2736" s="295"/>
      <c r="R2736" s="348" t="str">
        <f t="shared" si="220"/>
        <v>DELETE</v>
      </c>
      <c r="T2736" s="334"/>
    </row>
    <row r="2737" spans="3:20" ht="36" customHeight="1" x14ac:dyDescent="0.45">
      <c r="C2737" s="397"/>
      <c r="D2737" s="434" t="s">
        <v>242</v>
      </c>
      <c r="E2737" s="434"/>
      <c r="F2737" s="434"/>
      <c r="G2737" s="434"/>
      <c r="H2737" s="434"/>
      <c r="I2737" s="434"/>
      <c r="J2737" s="449"/>
      <c r="K2737" s="292"/>
      <c r="L2737" s="350"/>
      <c r="M2737" s="350"/>
      <c r="N2737" s="292"/>
      <c r="O2737" s="408">
        <f>TrialBalanceB!I125</f>
        <v>0</v>
      </c>
      <c r="P2737" s="295"/>
      <c r="R2737" s="348" t="str">
        <f t="shared" si="220"/>
        <v>DELETE</v>
      </c>
      <c r="T2737" s="334"/>
    </row>
    <row r="2738" spans="3:20" ht="36" customHeight="1" x14ac:dyDescent="0.45">
      <c r="C2738" s="397"/>
      <c r="D2738" s="434" t="s">
        <v>235</v>
      </c>
      <c r="E2738" s="434"/>
      <c r="F2738" s="434"/>
      <c r="G2738" s="434"/>
      <c r="H2738" s="434"/>
      <c r="I2738" s="434"/>
      <c r="J2738" s="449"/>
      <c r="K2738" s="292"/>
      <c r="L2738" s="350"/>
      <c r="M2738" s="350"/>
      <c r="N2738" s="292"/>
      <c r="O2738" s="408">
        <f>SUM(TrialBalanceB!I126:I127)</f>
        <v>0</v>
      </c>
      <c r="P2738" s="295"/>
      <c r="R2738" s="348" t="str">
        <f t="shared" si="220"/>
        <v>DELETE</v>
      </c>
      <c r="T2738" s="334"/>
    </row>
    <row r="2739" spans="3:20" ht="36" customHeight="1" x14ac:dyDescent="0.45">
      <c r="C2739" s="397"/>
      <c r="D2739" s="434" t="s">
        <v>243</v>
      </c>
      <c r="E2739" s="434"/>
      <c r="F2739" s="434"/>
      <c r="G2739" s="434"/>
      <c r="H2739" s="434"/>
      <c r="I2739" s="434"/>
      <c r="J2739" s="449"/>
      <c r="K2739" s="292"/>
      <c r="L2739" s="350"/>
      <c r="M2739" s="350"/>
      <c r="N2739" s="292"/>
      <c r="O2739" s="408">
        <f>TrialBalanceB!I128</f>
        <v>0</v>
      </c>
      <c r="P2739" s="295"/>
      <c r="R2739" s="348" t="str">
        <f t="shared" si="220"/>
        <v>DELETE</v>
      </c>
      <c r="T2739" s="334"/>
    </row>
    <row r="2740" spans="3:20" ht="36" customHeight="1" x14ac:dyDescent="0.45">
      <c r="C2740" s="397"/>
      <c r="D2740" s="434" t="s">
        <v>682</v>
      </c>
      <c r="E2740" s="434"/>
      <c r="F2740" s="434"/>
      <c r="G2740" s="434"/>
      <c r="H2740" s="434"/>
      <c r="I2740" s="434"/>
      <c r="J2740" s="449"/>
      <c r="K2740" s="292"/>
      <c r="L2740" s="350"/>
      <c r="M2740" s="350"/>
      <c r="N2740" s="292"/>
      <c r="O2740" s="408">
        <f>TrialBalanceB!I129</f>
        <v>0</v>
      </c>
      <c r="P2740" s="295"/>
      <c r="R2740" s="348" t="str">
        <f t="shared" si="220"/>
        <v>DELETE</v>
      </c>
      <c r="T2740" s="334"/>
    </row>
    <row r="2741" spans="3:20" ht="36" customHeight="1" x14ac:dyDescent="0.45">
      <c r="C2741" s="397"/>
      <c r="D2741" s="434" t="s">
        <v>74</v>
      </c>
      <c r="E2741" s="434"/>
      <c r="F2741" s="434"/>
      <c r="G2741" s="434"/>
      <c r="H2741" s="434"/>
      <c r="I2741" s="434"/>
      <c r="J2741" s="449"/>
      <c r="K2741" s="292"/>
      <c r="L2741" s="350"/>
      <c r="M2741" s="350"/>
      <c r="N2741" s="292"/>
      <c r="O2741" s="408">
        <f>TrialBalanceB!I130</f>
        <v>0</v>
      </c>
      <c r="P2741" s="295"/>
      <c r="R2741" s="348" t="str">
        <f t="shared" si="220"/>
        <v>DELETE</v>
      </c>
      <c r="T2741" s="334"/>
    </row>
    <row r="2742" spans="3:20" ht="36" customHeight="1" x14ac:dyDescent="0.45">
      <c r="C2742" s="397"/>
      <c r="D2742" s="434">
        <f>TrialBalanceB!C131</f>
        <v>0</v>
      </c>
      <c r="E2742" s="434"/>
      <c r="F2742" s="434"/>
      <c r="G2742" s="434"/>
      <c r="H2742" s="434"/>
      <c r="I2742" s="434"/>
      <c r="J2742" s="449"/>
      <c r="K2742" s="292"/>
      <c r="L2742" s="350"/>
      <c r="M2742" s="350"/>
      <c r="N2742" s="292"/>
      <c r="O2742" s="408">
        <f>TrialBalanceB!I131</f>
        <v>0</v>
      </c>
      <c r="P2742" s="295"/>
      <c r="R2742" s="348" t="str">
        <f t="shared" si="220"/>
        <v>DELETE</v>
      </c>
      <c r="T2742" s="334"/>
    </row>
    <row r="2743" spans="3:20" ht="36" customHeight="1" x14ac:dyDescent="0.45">
      <c r="C2743" s="397"/>
      <c r="D2743" s="434">
        <f>TrialBalanceB!C132</f>
        <v>0</v>
      </c>
      <c r="E2743" s="434"/>
      <c r="F2743" s="434"/>
      <c r="G2743" s="434"/>
      <c r="H2743" s="434"/>
      <c r="I2743" s="434"/>
      <c r="J2743" s="449"/>
      <c r="K2743" s="292"/>
      <c r="L2743" s="350"/>
      <c r="M2743" s="350"/>
      <c r="N2743" s="292"/>
      <c r="O2743" s="408">
        <f>TrialBalanceB!I132</f>
        <v>0</v>
      </c>
      <c r="P2743" s="295"/>
      <c r="R2743" s="348" t="str">
        <f t="shared" si="220"/>
        <v>DELETE</v>
      </c>
      <c r="T2743" s="334"/>
    </row>
    <row r="2744" spans="3:20" ht="36" customHeight="1" x14ac:dyDescent="0.45">
      <c r="C2744" s="397"/>
      <c r="D2744" s="434">
        <f>TrialBalanceB!C133</f>
        <v>0</v>
      </c>
      <c r="E2744" s="434"/>
      <c r="F2744" s="434"/>
      <c r="G2744" s="434"/>
      <c r="H2744" s="434"/>
      <c r="I2744" s="434"/>
      <c r="J2744" s="449"/>
      <c r="K2744" s="292"/>
      <c r="L2744" s="350"/>
      <c r="M2744" s="350"/>
      <c r="N2744" s="292"/>
      <c r="O2744" s="408">
        <f>TrialBalanceB!I133</f>
        <v>0</v>
      </c>
      <c r="P2744" s="295"/>
      <c r="R2744" s="348" t="str">
        <f t="shared" si="220"/>
        <v>DELETE</v>
      </c>
      <c r="T2744" s="334"/>
    </row>
    <row r="2745" spans="3:20" ht="36" customHeight="1" x14ac:dyDescent="0.45">
      <c r="C2745" s="397"/>
      <c r="D2745" s="434">
        <f>TrialBalanceB!C134</f>
        <v>0</v>
      </c>
      <c r="E2745" s="434"/>
      <c r="F2745" s="434"/>
      <c r="G2745" s="434"/>
      <c r="H2745" s="434"/>
      <c r="I2745" s="434"/>
      <c r="J2745" s="449"/>
      <c r="K2745" s="292"/>
      <c r="L2745" s="350"/>
      <c r="M2745" s="350"/>
      <c r="N2745" s="292"/>
      <c r="O2745" s="408">
        <f>TrialBalanceB!I134</f>
        <v>0</v>
      </c>
      <c r="P2745" s="295"/>
      <c r="R2745" s="348" t="str">
        <f t="shared" si="220"/>
        <v>DELETE</v>
      </c>
      <c r="T2745" s="334"/>
    </row>
    <row r="2746" spans="3:20" ht="36" customHeight="1" x14ac:dyDescent="0.45">
      <c r="C2746" s="397"/>
      <c r="D2746" s="434">
        <f>TrialBalanceB!C135</f>
        <v>0</v>
      </c>
      <c r="E2746" s="434"/>
      <c r="F2746" s="434"/>
      <c r="G2746" s="434"/>
      <c r="H2746" s="434"/>
      <c r="I2746" s="434"/>
      <c r="J2746" s="449"/>
      <c r="K2746" s="292"/>
      <c r="L2746" s="350"/>
      <c r="M2746" s="350"/>
      <c r="N2746" s="292"/>
      <c r="O2746" s="408">
        <f>TrialBalanceB!I135</f>
        <v>0</v>
      </c>
      <c r="P2746" s="295"/>
      <c r="R2746" s="348" t="str">
        <f t="shared" si="220"/>
        <v>DELETE</v>
      </c>
      <c r="T2746" s="334"/>
    </row>
    <row r="2747" spans="3:20" ht="36" customHeight="1" x14ac:dyDescent="0.45">
      <c r="C2747" s="397"/>
      <c r="D2747" s="434">
        <f>TrialBalanceB!C136</f>
        <v>0</v>
      </c>
      <c r="E2747" s="434"/>
      <c r="F2747" s="434"/>
      <c r="G2747" s="434"/>
      <c r="H2747" s="434"/>
      <c r="I2747" s="434"/>
      <c r="J2747" s="449"/>
      <c r="K2747" s="292"/>
      <c r="L2747" s="350"/>
      <c r="M2747" s="350"/>
      <c r="N2747" s="292"/>
      <c r="O2747" s="408">
        <f>TrialBalanceB!I136</f>
        <v>0</v>
      </c>
      <c r="P2747" s="295"/>
      <c r="R2747" s="348" t="str">
        <f t="shared" si="220"/>
        <v>DELETE</v>
      </c>
      <c r="T2747" s="334"/>
    </row>
    <row r="2748" spans="3:20" ht="36" customHeight="1" x14ac:dyDescent="0.45">
      <c r="C2748" s="397"/>
      <c r="D2748" s="434">
        <f>TrialBalanceB!C137</f>
        <v>0</v>
      </c>
      <c r="E2748" s="434"/>
      <c r="F2748" s="434"/>
      <c r="G2748" s="434"/>
      <c r="H2748" s="434"/>
      <c r="I2748" s="434"/>
      <c r="J2748" s="449"/>
      <c r="K2748" s="292"/>
      <c r="L2748" s="350"/>
      <c r="M2748" s="350"/>
      <c r="N2748" s="292"/>
      <c r="O2748" s="408">
        <f>TrialBalanceB!I137</f>
        <v>0</v>
      </c>
      <c r="P2748" s="295"/>
      <c r="R2748" s="348" t="str">
        <f t="shared" si="220"/>
        <v>DELETE</v>
      </c>
      <c r="T2748" s="334"/>
    </row>
    <row r="2749" spans="3:20" ht="36" customHeight="1" x14ac:dyDescent="0.45">
      <c r="C2749" s="397"/>
      <c r="D2749" s="434">
        <f>TrialBalanceB!C138</f>
        <v>0</v>
      </c>
      <c r="E2749" s="434"/>
      <c r="F2749" s="434"/>
      <c r="G2749" s="434"/>
      <c r="H2749" s="434"/>
      <c r="I2749" s="434"/>
      <c r="J2749" s="449"/>
      <c r="K2749" s="292"/>
      <c r="L2749" s="350"/>
      <c r="M2749" s="350"/>
      <c r="N2749" s="292"/>
      <c r="O2749" s="408">
        <f>TrialBalanceB!I138</f>
        <v>0</v>
      </c>
      <c r="P2749" s="295"/>
      <c r="R2749" s="348" t="str">
        <f t="shared" si="220"/>
        <v>DELETE</v>
      </c>
      <c r="T2749" s="334"/>
    </row>
    <row r="2750" spans="3:20" ht="36" customHeight="1" x14ac:dyDescent="0.45">
      <c r="C2750" s="397"/>
      <c r="D2750" s="434">
        <f>TrialBalanceB!C139</f>
        <v>0</v>
      </c>
      <c r="E2750" s="434"/>
      <c r="F2750" s="434"/>
      <c r="G2750" s="434"/>
      <c r="H2750" s="434"/>
      <c r="I2750" s="434"/>
      <c r="J2750" s="449"/>
      <c r="K2750" s="292"/>
      <c r="L2750" s="350"/>
      <c r="M2750" s="350"/>
      <c r="N2750" s="292"/>
      <c r="O2750" s="408">
        <f>TrialBalanceB!I139</f>
        <v>0</v>
      </c>
      <c r="P2750" s="295"/>
      <c r="R2750" s="348" t="str">
        <f t="shared" si="220"/>
        <v>DELETE</v>
      </c>
      <c r="T2750" s="334"/>
    </row>
    <row r="2751" spans="3:20" ht="36" customHeight="1" x14ac:dyDescent="0.45">
      <c r="C2751" s="397"/>
      <c r="D2751" s="434" t="str">
        <f>TrialBalanceB!C140</f>
        <v>Amortisation of prepaid lease agreement</v>
      </c>
      <c r="E2751" s="434"/>
      <c r="F2751" s="434"/>
      <c r="G2751" s="434"/>
      <c r="H2751" s="434"/>
      <c r="I2751" s="434"/>
      <c r="J2751" s="449"/>
      <c r="K2751" s="292"/>
      <c r="L2751" s="350"/>
      <c r="M2751" s="350"/>
      <c r="N2751" s="292"/>
      <c r="O2751" s="408">
        <f>TrialBalanceB!I140</f>
        <v>0</v>
      </c>
      <c r="P2751" s="295"/>
      <c r="R2751" s="348" t="str">
        <f t="shared" si="220"/>
        <v>DELETE</v>
      </c>
      <c r="T2751" s="334"/>
    </row>
    <row r="2752" spans="3:20" ht="36" customHeight="1" x14ac:dyDescent="0.45">
      <c r="C2752" s="397"/>
      <c r="D2752" s="434" t="str">
        <f>TrialBalanceB!C141</f>
        <v>Amortisation of goodwill</v>
      </c>
      <c r="E2752" s="434"/>
      <c r="F2752" s="434"/>
      <c r="G2752" s="434"/>
      <c r="H2752" s="434"/>
      <c r="I2752" s="434"/>
      <c r="J2752" s="449"/>
      <c r="K2752" s="292"/>
      <c r="L2752" s="350"/>
      <c r="M2752" s="350"/>
      <c r="N2752" s="292"/>
      <c r="O2752" s="408">
        <f>TrialBalanceB!I141</f>
        <v>0</v>
      </c>
      <c r="P2752" s="295"/>
      <c r="R2752" s="348" t="str">
        <f t="shared" ref="R2752" si="222">IF(R$2618="DELETE","DELETE",IF(O2752=0,"DELETE"," "))</f>
        <v>DELETE</v>
      </c>
      <c r="T2752" s="334"/>
    </row>
    <row r="2753" spans="3:22" ht="9" customHeight="1" x14ac:dyDescent="0.45">
      <c r="C2753" s="397"/>
      <c r="D2753" s="434"/>
      <c r="E2753" s="434"/>
      <c r="F2753" s="434"/>
      <c r="G2753" s="434"/>
      <c r="H2753" s="434"/>
      <c r="I2753" s="434"/>
      <c r="J2753" s="449"/>
      <c r="K2753" s="292"/>
      <c r="L2753" s="350"/>
      <c r="M2753" s="350"/>
      <c r="N2753" s="292"/>
      <c r="O2753" s="409"/>
      <c r="P2753" s="295"/>
      <c r="R2753" s="348" t="str">
        <f>R2717</f>
        <v>DELETE</v>
      </c>
      <c r="T2753" s="334"/>
    </row>
    <row r="2754" spans="3:22" ht="9" customHeight="1" x14ac:dyDescent="0.45">
      <c r="C2754" s="397"/>
      <c r="D2754" s="434"/>
      <c r="E2754" s="434"/>
      <c r="F2754" s="434"/>
      <c r="G2754" s="434"/>
      <c r="H2754" s="434"/>
      <c r="I2754" s="434"/>
      <c r="J2754" s="449"/>
      <c r="K2754" s="292"/>
      <c r="L2754" s="350"/>
      <c r="M2754" s="350"/>
      <c r="N2754" s="292"/>
      <c r="O2754" s="298"/>
      <c r="P2754" s="295"/>
      <c r="R2754" s="348" t="str">
        <f t="shared" ref="R2754:R2757" si="223">R$2618</f>
        <v>DELETE</v>
      </c>
      <c r="T2754" s="334"/>
    </row>
    <row r="2755" spans="3:22" ht="9" customHeight="1" x14ac:dyDescent="0.45">
      <c r="C2755" s="397"/>
      <c r="D2755" s="434"/>
      <c r="E2755" s="434"/>
      <c r="F2755" s="434"/>
      <c r="G2755" s="434"/>
      <c r="H2755" s="434"/>
      <c r="I2755" s="434"/>
      <c r="J2755" s="449"/>
      <c r="K2755" s="292"/>
      <c r="L2755" s="350"/>
      <c r="M2755" s="350"/>
      <c r="N2755" s="292"/>
      <c r="O2755" s="296"/>
      <c r="P2755" s="295"/>
      <c r="R2755" s="348" t="str">
        <f t="shared" si="223"/>
        <v>DELETE</v>
      </c>
      <c r="T2755" s="334"/>
    </row>
    <row r="2756" spans="3:22" ht="36" customHeight="1" x14ac:dyDescent="0.45">
      <c r="D2756" s="446" t="str">
        <f>IF(O2756&lt;0,"Operating loss for ther year","Operating profit for the year")</f>
        <v>Operating profit for the year</v>
      </c>
      <c r="E2756" s="434"/>
      <c r="F2756" s="434"/>
      <c r="G2756" s="434"/>
      <c r="H2756" s="434"/>
      <c r="I2756" s="434"/>
      <c r="J2756" s="449"/>
      <c r="K2756" s="292">
        <f>'FS2'!B958</f>
        <v>5</v>
      </c>
      <c r="L2756" s="350"/>
      <c r="M2756" s="350"/>
      <c r="N2756" s="292"/>
      <c r="O2756" s="296">
        <f>SUM(S2630:S2753)</f>
        <v>0</v>
      </c>
      <c r="P2756" s="295"/>
      <c r="R2756" s="348" t="str">
        <f t="shared" si="223"/>
        <v>DELETE</v>
      </c>
      <c r="T2756" s="334"/>
    </row>
    <row r="2757" spans="3:22" ht="36" customHeight="1" x14ac:dyDescent="0.45">
      <c r="C2757" s="397"/>
      <c r="D2757" s="434"/>
      <c r="E2757" s="434"/>
      <c r="F2757" s="434"/>
      <c r="G2757" s="434"/>
      <c r="H2757" s="434"/>
      <c r="I2757" s="434"/>
      <c r="J2757" s="449"/>
      <c r="K2757" s="292"/>
      <c r="L2757" s="350"/>
      <c r="M2757" s="350"/>
      <c r="N2757" s="292"/>
      <c r="O2757" s="296"/>
      <c r="P2757" s="295"/>
      <c r="R2757" s="348" t="str">
        <f t="shared" si="223"/>
        <v>DELETE</v>
      </c>
      <c r="T2757" s="334"/>
    </row>
    <row r="2758" spans="3:22" ht="36" customHeight="1" x14ac:dyDescent="0.45">
      <c r="D2758" s="433" t="s">
        <v>191</v>
      </c>
      <c r="E2758" s="434"/>
      <c r="F2758" s="434"/>
      <c r="G2758" s="434"/>
      <c r="H2758" s="434"/>
      <c r="I2758" s="434"/>
      <c r="J2758" s="449"/>
      <c r="K2758" s="292">
        <f>'FS2'!B1071</f>
        <v>6</v>
      </c>
      <c r="L2758" s="350"/>
      <c r="M2758" s="350"/>
      <c r="N2758" s="292"/>
      <c r="O2758" s="296">
        <f>SUM(O2761:O2768)</f>
        <v>0</v>
      </c>
      <c r="P2758" s="295"/>
      <c r="R2758" s="348" t="str">
        <f t="shared" ref="R2758" si="224">IF(R$2618="DELETE","DELETE",IF(O2758=0,"DELETE"," "))</f>
        <v>DELETE</v>
      </c>
      <c r="S2758" s="333">
        <f>O2758</f>
        <v>0</v>
      </c>
      <c r="T2758" s="334"/>
      <c r="U2758" s="333"/>
      <c r="V2758" s="333"/>
    </row>
    <row r="2759" spans="3:22" ht="9" customHeight="1" x14ac:dyDescent="0.45">
      <c r="C2759" s="397"/>
      <c r="D2759" s="434"/>
      <c r="E2759" s="434"/>
      <c r="F2759" s="434"/>
      <c r="G2759" s="434"/>
      <c r="H2759" s="434"/>
      <c r="I2759" s="434"/>
      <c r="J2759" s="449"/>
      <c r="K2759" s="292"/>
      <c r="L2759" s="350"/>
      <c r="M2759" s="350"/>
      <c r="N2759" s="292"/>
      <c r="O2759" s="296"/>
      <c r="P2759" s="295"/>
      <c r="R2759" s="348" t="str">
        <f>R2758</f>
        <v>DELETE</v>
      </c>
      <c r="T2759" s="334"/>
    </row>
    <row r="2760" spans="3:22" ht="9" customHeight="1" x14ac:dyDescent="0.45">
      <c r="C2760" s="397"/>
      <c r="D2760" s="434"/>
      <c r="E2760" s="434"/>
      <c r="F2760" s="434"/>
      <c r="G2760" s="434"/>
      <c r="H2760" s="434"/>
      <c r="I2760" s="434"/>
      <c r="J2760" s="449"/>
      <c r="K2760" s="292"/>
      <c r="L2760" s="350"/>
      <c r="M2760" s="350"/>
      <c r="N2760" s="292"/>
      <c r="O2760" s="407"/>
      <c r="P2760" s="295"/>
      <c r="R2760" s="348" t="str">
        <f>R2759</f>
        <v>DELETE</v>
      </c>
      <c r="T2760" s="334"/>
    </row>
    <row r="2761" spans="3:22" ht="36" customHeight="1" x14ac:dyDescent="0.45">
      <c r="C2761" s="397"/>
      <c r="D2761" s="434" t="s">
        <v>189</v>
      </c>
      <c r="E2761" s="434"/>
      <c r="F2761" s="434"/>
      <c r="G2761" s="434"/>
      <c r="H2761" s="434"/>
      <c r="I2761" s="434"/>
      <c r="J2761" s="449"/>
      <c r="K2761" s="292"/>
      <c r="L2761" s="350"/>
      <c r="M2761" s="350"/>
      <c r="N2761" s="292"/>
      <c r="O2761" s="408">
        <f>-TrialBalanceB!I95</f>
        <v>0</v>
      </c>
      <c r="P2761" s="295"/>
      <c r="R2761" s="348" t="str">
        <f t="shared" ref="R2761:R2766" si="225">IF(R$2618="DELETE","DELETE",IF(O2761=0,"DELETE"," "))</f>
        <v>DELETE</v>
      </c>
      <c r="T2761" s="334"/>
    </row>
    <row r="2762" spans="3:22" ht="36" customHeight="1" x14ac:dyDescent="0.45">
      <c r="C2762" s="397"/>
      <c r="D2762" s="434" t="s">
        <v>496</v>
      </c>
      <c r="E2762" s="434"/>
      <c r="F2762" s="434"/>
      <c r="G2762" s="434"/>
      <c r="H2762" s="434"/>
      <c r="I2762" s="434"/>
      <c r="J2762" s="449"/>
      <c r="K2762" s="292"/>
      <c r="L2762" s="350"/>
      <c r="M2762" s="350"/>
      <c r="N2762" s="292"/>
      <c r="O2762" s="408">
        <f>-SUM(TrialBalanceB!I91:I93)</f>
        <v>0</v>
      </c>
      <c r="P2762" s="295"/>
      <c r="R2762" s="348" t="str">
        <f t="shared" si="225"/>
        <v>DELETE</v>
      </c>
      <c r="T2762" s="334"/>
    </row>
    <row r="2763" spans="3:22" ht="36" customHeight="1" x14ac:dyDescent="0.45">
      <c r="C2763" s="397"/>
      <c r="D2763" s="434" t="s">
        <v>497</v>
      </c>
      <c r="E2763" s="434"/>
      <c r="F2763" s="434"/>
      <c r="G2763" s="434"/>
      <c r="H2763" s="434"/>
      <c r="I2763" s="434"/>
      <c r="J2763" s="449"/>
      <c r="K2763" s="292"/>
      <c r="L2763" s="350"/>
      <c r="M2763" s="350"/>
      <c r="N2763" s="292"/>
      <c r="O2763" s="419">
        <f>-SUM(TrialBalanceB!I86:I89)</f>
        <v>0</v>
      </c>
      <c r="P2763" s="295"/>
      <c r="R2763" s="348" t="str">
        <f t="shared" si="225"/>
        <v>DELETE</v>
      </c>
      <c r="T2763" s="334"/>
    </row>
    <row r="2764" spans="3:22" ht="36" customHeight="1" x14ac:dyDescent="0.45">
      <c r="C2764" s="397"/>
      <c r="D2764" s="434" t="s">
        <v>191</v>
      </c>
      <c r="E2764" s="434"/>
      <c r="F2764" s="434"/>
      <c r="G2764" s="434"/>
      <c r="H2764" s="434"/>
      <c r="I2764" s="434"/>
      <c r="J2764" s="449"/>
      <c r="K2764" s="292"/>
      <c r="L2764" s="350"/>
      <c r="M2764" s="350"/>
      <c r="N2764" s="292"/>
      <c r="O2764" s="419">
        <f>-SUM(TrialBalanceB!I96)</f>
        <v>0</v>
      </c>
      <c r="P2764" s="295"/>
      <c r="R2764" s="348" t="str">
        <f t="shared" si="225"/>
        <v>DELETE</v>
      </c>
      <c r="T2764" s="334"/>
    </row>
    <row r="2765" spans="3:22" ht="36" customHeight="1" x14ac:dyDescent="0.45">
      <c r="C2765" s="397"/>
      <c r="D2765" s="434" t="s">
        <v>513</v>
      </c>
      <c r="E2765" s="434"/>
      <c r="F2765" s="434"/>
      <c r="G2765" s="434"/>
      <c r="H2765" s="434"/>
      <c r="I2765" s="434"/>
      <c r="J2765" s="449"/>
      <c r="K2765" s="292"/>
      <c r="L2765" s="350"/>
      <c r="M2765" s="350"/>
      <c r="N2765" s="292"/>
      <c r="O2765" s="408">
        <f>IF(TrialBalanceB!I94&lt;0,-TrialBalanceB!I94,0)</f>
        <v>0</v>
      </c>
      <c r="P2765" s="295"/>
      <c r="R2765" s="348" t="str">
        <f t="shared" si="225"/>
        <v>DELETE</v>
      </c>
      <c r="T2765" s="334"/>
    </row>
    <row r="2766" spans="3:22" ht="36" customHeight="1" x14ac:dyDescent="0.45">
      <c r="C2766" s="397"/>
      <c r="D2766" s="434" t="s">
        <v>334</v>
      </c>
      <c r="E2766" s="434"/>
      <c r="F2766" s="434"/>
      <c r="G2766" s="434"/>
      <c r="H2766" s="434"/>
      <c r="I2766" s="434"/>
      <c r="J2766" s="449"/>
      <c r="K2766" s="292"/>
      <c r="L2766" s="350"/>
      <c r="M2766" s="350"/>
      <c r="N2766" s="292"/>
      <c r="O2766" s="408">
        <f>-TrialBalanceB!I84</f>
        <v>0</v>
      </c>
      <c r="P2766" s="295"/>
      <c r="R2766" s="348" t="str">
        <f t="shared" si="225"/>
        <v>DELETE</v>
      </c>
      <c r="T2766" s="334"/>
    </row>
    <row r="2767" spans="3:22" ht="36" customHeight="1" x14ac:dyDescent="0.45">
      <c r="C2767" s="397"/>
      <c r="D2767" s="434" t="str">
        <f>TrialBalance!C97</f>
        <v>Revaluation of investment property</v>
      </c>
      <c r="E2767" s="434"/>
      <c r="F2767" s="434"/>
      <c r="G2767" s="434"/>
      <c r="H2767" s="434"/>
      <c r="I2767" s="434"/>
      <c r="J2767" s="449"/>
      <c r="K2767" s="292"/>
      <c r="L2767" s="350"/>
      <c r="M2767" s="350"/>
      <c r="N2767" s="292"/>
      <c r="O2767" s="408">
        <f>-TrialBalanceB!I97</f>
        <v>0</v>
      </c>
      <c r="P2767" s="295"/>
      <c r="R2767" s="348" t="str">
        <f>IF(R$2618="DELETE","DELETE",IF(O2767=0,"DELETE"," "))</f>
        <v>DELETE</v>
      </c>
      <c r="T2767" s="334"/>
    </row>
    <row r="2768" spans="3:22" ht="9" customHeight="1" x14ac:dyDescent="0.45">
      <c r="C2768" s="397"/>
      <c r="D2768" s="434"/>
      <c r="E2768" s="434"/>
      <c r="F2768" s="434"/>
      <c r="G2768" s="434"/>
      <c r="H2768" s="434"/>
      <c r="I2768" s="434"/>
      <c r="J2768" s="449"/>
      <c r="K2768" s="292"/>
      <c r="L2768" s="350"/>
      <c r="M2768" s="350"/>
      <c r="N2768" s="292"/>
      <c r="O2768" s="409"/>
      <c r="P2768" s="295"/>
      <c r="R2768" s="348" t="str">
        <f>R2758</f>
        <v>DELETE</v>
      </c>
      <c r="T2768" s="334"/>
    </row>
    <row r="2769" spans="3:22" ht="9" customHeight="1" x14ac:dyDescent="0.45">
      <c r="C2769" s="397"/>
      <c r="D2769" s="434"/>
      <c r="E2769" s="434"/>
      <c r="F2769" s="434"/>
      <c r="G2769" s="434"/>
      <c r="H2769" s="434"/>
      <c r="I2769" s="434"/>
      <c r="J2769" s="449"/>
      <c r="K2769" s="292"/>
      <c r="L2769" s="350"/>
      <c r="M2769" s="350"/>
      <c r="N2769" s="292"/>
      <c r="O2769" s="298"/>
      <c r="P2769" s="295"/>
      <c r="R2769" s="348" t="str">
        <f>R2768</f>
        <v>DELETE</v>
      </c>
      <c r="T2769" s="334"/>
    </row>
    <row r="2770" spans="3:22" ht="9" customHeight="1" x14ac:dyDescent="0.45">
      <c r="C2770" s="397"/>
      <c r="D2770" s="434"/>
      <c r="E2770" s="434"/>
      <c r="F2770" s="434"/>
      <c r="G2770" s="434"/>
      <c r="H2770" s="434"/>
      <c r="I2770" s="434"/>
      <c r="J2770" s="449"/>
      <c r="K2770" s="292"/>
      <c r="L2770" s="350"/>
      <c r="M2770" s="350"/>
      <c r="N2770" s="292"/>
      <c r="O2770" s="296"/>
      <c r="P2770" s="295"/>
      <c r="R2770" s="348" t="str">
        <f>R2769</f>
        <v>DELETE</v>
      </c>
      <c r="T2770" s="334"/>
    </row>
    <row r="2771" spans="3:22" ht="36" customHeight="1" x14ac:dyDescent="0.45">
      <c r="C2771" s="397"/>
      <c r="D2771" s="434"/>
      <c r="E2771" s="434"/>
      <c r="F2771" s="434"/>
      <c r="G2771" s="434"/>
      <c r="H2771" s="434"/>
      <c r="I2771" s="434"/>
      <c r="J2771" s="449"/>
      <c r="K2771" s="292"/>
      <c r="L2771" s="350"/>
      <c r="M2771" s="350"/>
      <c r="N2771" s="292"/>
      <c r="O2771" s="296">
        <f>SUM(S2630:S2768)</f>
        <v>0</v>
      </c>
      <c r="P2771" s="295"/>
      <c r="R2771" s="348" t="str">
        <f>R2770</f>
        <v>DELETE</v>
      </c>
      <c r="T2771" s="334"/>
    </row>
    <row r="2772" spans="3:22" ht="36" customHeight="1" x14ac:dyDescent="0.45">
      <c r="C2772" s="397"/>
      <c r="D2772" s="434"/>
      <c r="E2772" s="434"/>
      <c r="F2772" s="434"/>
      <c r="G2772" s="434"/>
      <c r="H2772" s="434"/>
      <c r="I2772" s="434"/>
      <c r="J2772" s="449"/>
      <c r="K2772" s="292"/>
      <c r="L2772" s="350"/>
      <c r="M2772" s="350"/>
      <c r="N2772" s="292"/>
      <c r="O2772" s="296"/>
      <c r="P2772" s="295"/>
      <c r="R2772" s="348" t="str">
        <f>R2771</f>
        <v>DELETE</v>
      </c>
      <c r="T2772" s="334"/>
    </row>
    <row r="2773" spans="3:22" ht="36" customHeight="1" x14ac:dyDescent="0.45">
      <c r="D2773" s="434" t="s">
        <v>1077</v>
      </c>
      <c r="E2773" s="434"/>
      <c r="F2773" s="434"/>
      <c r="G2773" s="434"/>
      <c r="H2773" s="434"/>
      <c r="I2773" s="434"/>
      <c r="J2773" s="449"/>
      <c r="K2773" s="292">
        <f>'FS2'!B1131</f>
        <v>7</v>
      </c>
      <c r="L2773" s="350"/>
      <c r="M2773" s="350"/>
      <c r="N2773" s="292"/>
      <c r="O2773" s="296">
        <f>SUM(TrialBalanceB!I144:I154)</f>
        <v>0</v>
      </c>
      <c r="P2773" s="295"/>
      <c r="R2773" s="348" t="str">
        <f t="shared" ref="R2773" si="226">IF(R$2618="DELETE","DELETE",IF(O2773=0,"DELETE"," "))</f>
        <v>DELETE</v>
      </c>
      <c r="S2773" s="333">
        <f>-O2773</f>
        <v>0</v>
      </c>
      <c r="T2773" s="334"/>
      <c r="U2773" s="333"/>
      <c r="V2773" s="333"/>
    </row>
    <row r="2774" spans="3:22" ht="9" customHeight="1" x14ac:dyDescent="0.45">
      <c r="C2774" s="397"/>
      <c r="D2774" s="434"/>
      <c r="E2774" s="434"/>
      <c r="F2774" s="434"/>
      <c r="G2774" s="434"/>
      <c r="H2774" s="434"/>
      <c r="I2774" s="434"/>
      <c r="J2774" s="449"/>
      <c r="K2774" s="292"/>
      <c r="L2774" s="350"/>
      <c r="M2774" s="350"/>
      <c r="N2774" s="292"/>
      <c r="O2774" s="298"/>
      <c r="P2774" s="295"/>
      <c r="R2774" s="348" t="str">
        <f t="shared" ref="R2774:R2782" si="227">R$2618</f>
        <v>DELETE</v>
      </c>
      <c r="T2774" s="334"/>
    </row>
    <row r="2775" spans="3:22" ht="9" customHeight="1" x14ac:dyDescent="0.45">
      <c r="C2775" s="397"/>
      <c r="D2775" s="434"/>
      <c r="E2775" s="434"/>
      <c r="F2775" s="434"/>
      <c r="G2775" s="434"/>
      <c r="H2775" s="434"/>
      <c r="I2775" s="434"/>
      <c r="J2775" s="449"/>
      <c r="K2775" s="292"/>
      <c r="L2775" s="350"/>
      <c r="M2775" s="350"/>
      <c r="N2775" s="292"/>
      <c r="O2775" s="296"/>
      <c r="P2775" s="295"/>
      <c r="R2775" s="348" t="str">
        <f t="shared" si="227"/>
        <v>DELETE</v>
      </c>
      <c r="T2775" s="334"/>
    </row>
    <row r="2776" spans="3:22" ht="36.75" customHeight="1" x14ac:dyDescent="0.45">
      <c r="D2776" s="446" t="str">
        <f>IF(O2776&lt;0,"Loss before taxation","Profit before taxation")</f>
        <v>Profit before taxation</v>
      </c>
      <c r="E2776" s="434"/>
      <c r="F2776" s="434"/>
      <c r="G2776" s="434"/>
      <c r="H2776" s="434"/>
      <c r="I2776" s="434"/>
      <c r="J2776" s="449"/>
      <c r="K2776" s="292"/>
      <c r="L2776" s="350"/>
      <c r="M2776" s="350"/>
      <c r="N2776" s="292"/>
      <c r="O2776" s="296">
        <f>SUM(S2630:S2775)</f>
        <v>0</v>
      </c>
      <c r="P2776" s="295"/>
      <c r="R2776" s="348" t="str">
        <f t="shared" si="227"/>
        <v>DELETE</v>
      </c>
      <c r="T2776" s="334"/>
      <c r="U2776" s="331" t="b">
        <f>O2776='FS2'!O2438</f>
        <v>1</v>
      </c>
    </row>
    <row r="2777" spans="3:22" ht="9" customHeight="1" thickBot="1" x14ac:dyDescent="0.5">
      <c r="C2777" s="397"/>
      <c r="D2777" s="434"/>
      <c r="E2777" s="434"/>
      <c r="F2777" s="434"/>
      <c r="G2777" s="434"/>
      <c r="H2777" s="434"/>
      <c r="I2777" s="434"/>
      <c r="J2777" s="449"/>
      <c r="K2777" s="292"/>
      <c r="L2777" s="350"/>
      <c r="M2777" s="350"/>
      <c r="N2777" s="292"/>
      <c r="O2777" s="299"/>
      <c r="P2777" s="295"/>
      <c r="R2777" s="348" t="str">
        <f t="shared" si="227"/>
        <v>DELETE</v>
      </c>
      <c r="T2777" s="334"/>
    </row>
    <row r="2778" spans="3:22" ht="9" customHeight="1" thickTop="1" x14ac:dyDescent="0.45">
      <c r="C2778" s="397"/>
      <c r="D2778" s="434"/>
      <c r="E2778" s="434"/>
      <c r="F2778" s="434"/>
      <c r="G2778" s="434"/>
      <c r="H2778" s="434"/>
      <c r="I2778" s="434"/>
      <c r="J2778" s="449"/>
      <c r="K2778" s="292"/>
      <c r="L2778" s="350"/>
      <c r="M2778" s="350"/>
      <c r="N2778" s="292"/>
      <c r="O2778" s="296"/>
      <c r="P2778" s="295"/>
      <c r="R2778" s="348" t="str">
        <f t="shared" si="227"/>
        <v>DELETE</v>
      </c>
      <c r="T2778" s="334"/>
    </row>
    <row r="2779" spans="3:22" ht="36" customHeight="1" x14ac:dyDescent="0.45">
      <c r="C2779" s="397"/>
      <c r="D2779" s="434"/>
      <c r="E2779" s="434"/>
      <c r="F2779" s="434"/>
      <c r="G2779" s="434"/>
      <c r="H2779" s="434"/>
      <c r="I2779" s="434"/>
      <c r="J2779" s="449"/>
      <c r="K2779" s="292"/>
      <c r="L2779" s="350"/>
      <c r="M2779" s="350"/>
      <c r="N2779" s="292"/>
      <c r="O2779" s="296"/>
      <c r="P2779" s="295"/>
      <c r="R2779" s="348" t="str">
        <f t="shared" si="227"/>
        <v>DELETE</v>
      </c>
      <c r="T2779" s="334"/>
    </row>
    <row r="2780" spans="3:22" ht="36" customHeight="1" x14ac:dyDescent="0.45">
      <c r="C2780" s="397"/>
      <c r="D2780" s="434"/>
      <c r="E2780" s="434"/>
      <c r="F2780" s="434"/>
      <c r="G2780" s="434"/>
      <c r="H2780" s="434"/>
      <c r="I2780" s="434"/>
      <c r="J2780" s="449"/>
      <c r="K2780" s="292"/>
      <c r="L2780" s="292"/>
      <c r="M2780" s="296"/>
      <c r="N2780" s="296"/>
      <c r="O2780" s="296"/>
      <c r="P2780" s="295"/>
      <c r="R2780" s="348" t="str">
        <f t="shared" si="227"/>
        <v>DELETE</v>
      </c>
      <c r="T2780" s="334"/>
    </row>
    <row r="2781" spans="3:22" ht="36" customHeight="1" x14ac:dyDescent="0.5">
      <c r="C2781" s="353"/>
      <c r="D2781" s="434"/>
      <c r="E2781" s="434"/>
      <c r="F2781" s="434"/>
      <c r="G2781" s="434"/>
      <c r="H2781" s="434"/>
      <c r="I2781" s="434"/>
      <c r="J2781" s="434"/>
      <c r="M2781" s="371"/>
      <c r="N2781" s="371"/>
      <c r="O2781" s="371"/>
      <c r="P2781" s="356"/>
      <c r="R2781" s="348" t="str">
        <f t="shared" si="227"/>
        <v>DELETE</v>
      </c>
      <c r="T2781" s="334"/>
    </row>
    <row r="2782" spans="3:22" ht="36" customHeight="1" x14ac:dyDescent="0.5">
      <c r="C2782" s="353"/>
      <c r="D2782" s="434"/>
      <c r="E2782" s="434"/>
      <c r="F2782" s="434"/>
      <c r="G2782" s="434"/>
      <c r="H2782" s="434"/>
      <c r="I2782" s="434"/>
      <c r="J2782" s="434"/>
      <c r="M2782" s="351"/>
      <c r="N2782" s="351"/>
      <c r="O2782" s="351"/>
      <c r="R2782" s="348" t="str">
        <f t="shared" si="227"/>
        <v>DELETE</v>
      </c>
      <c r="T2782" s="334"/>
    </row>
    <row r="2783" spans="3:22" ht="36" customHeight="1" x14ac:dyDescent="0.5">
      <c r="C2783" s="353"/>
      <c r="D2783" s="434"/>
      <c r="E2783" s="434"/>
      <c r="F2783" s="434"/>
      <c r="G2783" s="434"/>
      <c r="H2783" s="434"/>
      <c r="I2783" s="434"/>
      <c r="J2783" s="434"/>
      <c r="M2783" s="351"/>
      <c r="N2783" s="351"/>
      <c r="O2783" s="296" t="s">
        <v>89</v>
      </c>
      <c r="Q2783" s="292">
        <v>1</v>
      </c>
      <c r="R2783" s="348" t="str">
        <f>IF(SUM(S2795:S2797)+SUM(S2815:S2822)+SUM(S2923:S2933)+O2941=0,"DELETE"," ")</f>
        <v>DELETE</v>
      </c>
      <c r="U2783" s="335"/>
      <c r="V2783" s="335"/>
    </row>
    <row r="2784" spans="3:22" ht="36" customHeight="1" x14ac:dyDescent="0.5">
      <c r="C2784" s="353"/>
      <c r="D2784" s="433" t="s">
        <v>610</v>
      </c>
      <c r="E2784" s="434"/>
      <c r="F2784" s="434"/>
      <c r="G2784" s="434"/>
      <c r="H2784" s="434"/>
      <c r="I2784" s="434"/>
      <c r="J2784" s="434"/>
      <c r="M2784" s="351"/>
      <c r="N2784" s="351"/>
      <c r="O2784" s="351"/>
      <c r="R2784" s="348" t="str">
        <f>R$2783</f>
        <v>DELETE</v>
      </c>
      <c r="U2784" s="332"/>
    </row>
    <row r="2785" spans="3:43" ht="36" customHeight="1" x14ac:dyDescent="0.5">
      <c r="C2785" s="353"/>
      <c r="D2785" s="434"/>
      <c r="E2785" s="434"/>
      <c r="F2785" s="434"/>
      <c r="G2785" s="434"/>
      <c r="H2785" s="434"/>
      <c r="I2785" s="434"/>
      <c r="J2785" s="434"/>
      <c r="M2785" s="351"/>
      <c r="N2785" s="351"/>
      <c r="O2785" s="351"/>
      <c r="R2785" s="348" t="str">
        <f t="shared" ref="R2785:R2794" si="228">R$2783</f>
        <v>DELETE</v>
      </c>
    </row>
    <row r="2786" spans="3:43" ht="36" customHeight="1" x14ac:dyDescent="0.5">
      <c r="C2786" s="353"/>
      <c r="D2786" s="433">
        <f>Criteria!E16</f>
        <v>0</v>
      </c>
      <c r="E2786" s="434"/>
      <c r="F2786" s="434"/>
      <c r="G2786" s="434"/>
      <c r="H2786" s="434"/>
      <c r="I2786" s="434"/>
      <c r="J2786" s="434"/>
      <c r="M2786" s="351"/>
      <c r="N2786" s="351"/>
      <c r="O2786" s="347"/>
      <c r="R2786" s="348" t="str">
        <f t="shared" si="228"/>
        <v>DELETE</v>
      </c>
    </row>
    <row r="2787" spans="3:43" s="345" customFormat="1" ht="36" customHeight="1" x14ac:dyDescent="0.5">
      <c r="C2787" s="353"/>
      <c r="D2787" s="434"/>
      <c r="E2787" s="434"/>
      <c r="F2787" s="434"/>
      <c r="G2787" s="434"/>
      <c r="H2787" s="434"/>
      <c r="I2787" s="434"/>
      <c r="J2787" s="434"/>
      <c r="M2787" s="351"/>
      <c r="N2787" s="351"/>
      <c r="O2787" s="351"/>
      <c r="P2787" s="347"/>
      <c r="R2787" s="348" t="str">
        <f t="shared" si="228"/>
        <v>DELETE</v>
      </c>
      <c r="S2787" s="331"/>
      <c r="T2787" s="331"/>
      <c r="U2787" s="331"/>
      <c r="V2787" s="331"/>
      <c r="W2787" s="331"/>
      <c r="X2787" s="331"/>
      <c r="Y2787" s="334"/>
      <c r="Z2787" s="334"/>
      <c r="AA2787" s="349"/>
      <c r="AB2787" s="365"/>
      <c r="AC2787" s="365"/>
      <c r="AD2787" s="365"/>
      <c r="AE2787" s="365"/>
      <c r="AF2787" s="365"/>
      <c r="AG2787" s="365"/>
      <c r="AH2787" s="365"/>
      <c r="AI2787" s="365"/>
      <c r="AJ2787" s="365"/>
      <c r="AK2787" s="365"/>
      <c r="AL2787" s="381"/>
      <c r="AM2787" s="381"/>
      <c r="AN2787" s="381"/>
      <c r="AO2787" s="381"/>
      <c r="AP2787" s="381"/>
      <c r="AQ2787" s="381"/>
    </row>
    <row r="2788" spans="3:43" s="345" customFormat="1" ht="36" customHeight="1" x14ac:dyDescent="0.5">
      <c r="C2788" s="353"/>
      <c r="D2788" s="434"/>
      <c r="E2788" s="434"/>
      <c r="F2788" s="434"/>
      <c r="G2788" s="434"/>
      <c r="H2788" s="434"/>
      <c r="I2788" s="434"/>
      <c r="J2788" s="434"/>
      <c r="M2788" s="351"/>
      <c r="N2788" s="351"/>
      <c r="O2788" s="351"/>
      <c r="P2788" s="347"/>
      <c r="R2788" s="348" t="str">
        <f t="shared" si="228"/>
        <v>DELETE</v>
      </c>
      <c r="S2788" s="331"/>
      <c r="T2788" s="331"/>
      <c r="U2788" s="331"/>
      <c r="V2788" s="331"/>
      <c r="W2788" s="331"/>
      <c r="X2788" s="331"/>
      <c r="Y2788" s="334"/>
      <c r="Z2788" s="334"/>
      <c r="AA2788" s="349"/>
      <c r="AB2788" s="365"/>
      <c r="AC2788" s="365"/>
      <c r="AD2788" s="365"/>
      <c r="AE2788" s="365"/>
      <c r="AF2788" s="365"/>
      <c r="AG2788" s="365"/>
      <c r="AH2788" s="365"/>
      <c r="AI2788" s="365"/>
      <c r="AJ2788" s="365"/>
      <c r="AK2788" s="365"/>
      <c r="AL2788" s="381"/>
      <c r="AM2788" s="381"/>
      <c r="AN2788" s="381"/>
      <c r="AO2788" s="381"/>
      <c r="AP2788" s="381"/>
      <c r="AQ2788" s="381"/>
    </row>
    <row r="2789" spans="3:43" s="345" customFormat="1" ht="36" customHeight="1" x14ac:dyDescent="0.5">
      <c r="C2789" s="353"/>
      <c r="D2789" s="433" t="s">
        <v>86</v>
      </c>
      <c r="E2789" s="434"/>
      <c r="F2789" s="434"/>
      <c r="G2789" s="434"/>
      <c r="H2789" s="434"/>
      <c r="I2789" s="434"/>
      <c r="J2789" s="434"/>
      <c r="M2789" s="351"/>
      <c r="N2789" s="351"/>
      <c r="O2789" s="351"/>
      <c r="P2789" s="347"/>
      <c r="R2789" s="348" t="str">
        <f t="shared" si="228"/>
        <v>DELETE</v>
      </c>
      <c r="S2789" s="331"/>
      <c r="T2789" s="331"/>
      <c r="U2789" s="331"/>
      <c r="V2789" s="331"/>
      <c r="W2789" s="331"/>
      <c r="X2789" s="331"/>
      <c r="Y2789" s="334"/>
      <c r="Z2789" s="334"/>
      <c r="AA2789" s="349"/>
      <c r="AB2789" s="365"/>
      <c r="AC2789" s="365"/>
      <c r="AD2789" s="365"/>
      <c r="AE2789" s="365"/>
      <c r="AF2789" s="365"/>
      <c r="AG2789" s="365"/>
      <c r="AH2789" s="365"/>
      <c r="AI2789" s="365"/>
      <c r="AJ2789" s="365"/>
      <c r="AK2789" s="365"/>
      <c r="AL2789" s="381"/>
      <c r="AM2789" s="381"/>
      <c r="AN2789" s="381"/>
      <c r="AO2789" s="381"/>
      <c r="AP2789" s="381"/>
      <c r="AQ2789" s="381"/>
    </row>
    <row r="2790" spans="3:43" s="345" customFormat="1" ht="36" customHeight="1" x14ac:dyDescent="0.5">
      <c r="C2790" s="353"/>
      <c r="D2790" s="433" t="str">
        <f>Criteria!E20</f>
        <v>28 FEBRUARY 2025</v>
      </c>
      <c r="E2790" s="434"/>
      <c r="F2790" s="434"/>
      <c r="G2790" s="434"/>
      <c r="H2790" s="434"/>
      <c r="I2790" s="434"/>
      <c r="J2790" s="434"/>
      <c r="M2790" s="351"/>
      <c r="N2790" s="351"/>
      <c r="O2790" s="351"/>
      <c r="P2790" s="347"/>
      <c r="R2790" s="348" t="str">
        <f t="shared" si="228"/>
        <v>DELETE</v>
      </c>
      <c r="S2790" s="331"/>
      <c r="T2790" s="331"/>
      <c r="U2790" s="331"/>
      <c r="V2790" s="331"/>
      <c r="W2790" s="331"/>
      <c r="X2790" s="331"/>
      <c r="Y2790" s="334"/>
      <c r="Z2790" s="334"/>
      <c r="AA2790" s="349"/>
      <c r="AB2790" s="365"/>
      <c r="AC2790" s="365"/>
      <c r="AD2790" s="365"/>
      <c r="AE2790" s="365"/>
      <c r="AF2790" s="365"/>
      <c r="AG2790" s="365"/>
      <c r="AH2790" s="365"/>
      <c r="AI2790" s="365"/>
      <c r="AJ2790" s="365"/>
      <c r="AK2790" s="365"/>
      <c r="AL2790" s="381"/>
      <c r="AM2790" s="381"/>
      <c r="AN2790" s="381"/>
      <c r="AO2790" s="381"/>
      <c r="AP2790" s="381"/>
      <c r="AQ2790" s="381"/>
    </row>
    <row r="2791" spans="3:43" s="345" customFormat="1" ht="36" customHeight="1" x14ac:dyDescent="0.5">
      <c r="C2791" s="353"/>
      <c r="D2791" s="434"/>
      <c r="E2791" s="434"/>
      <c r="F2791" s="434"/>
      <c r="G2791" s="434"/>
      <c r="H2791" s="434"/>
      <c r="I2791" s="434"/>
      <c r="J2791" s="434"/>
      <c r="M2791" s="351"/>
      <c r="N2791" s="351"/>
      <c r="O2791" s="351"/>
      <c r="P2791" s="347"/>
      <c r="R2791" s="348" t="str">
        <f t="shared" si="228"/>
        <v>DELETE</v>
      </c>
      <c r="S2791" s="331"/>
      <c r="T2791" s="331"/>
      <c r="U2791" s="331"/>
      <c r="V2791" s="331"/>
      <c r="W2791" s="331"/>
      <c r="X2791" s="331"/>
      <c r="Y2791" s="334"/>
      <c r="Z2791" s="334"/>
      <c r="AA2791" s="349"/>
      <c r="AB2791" s="365"/>
      <c r="AC2791" s="365"/>
      <c r="AD2791" s="365"/>
      <c r="AE2791" s="365"/>
      <c r="AF2791" s="365"/>
      <c r="AG2791" s="365"/>
      <c r="AH2791" s="365"/>
      <c r="AI2791" s="365"/>
      <c r="AJ2791" s="365"/>
      <c r="AK2791" s="365"/>
      <c r="AL2791" s="381"/>
      <c r="AM2791" s="381"/>
      <c r="AN2791" s="381"/>
      <c r="AO2791" s="381"/>
      <c r="AP2791" s="381"/>
      <c r="AQ2791" s="381"/>
    </row>
    <row r="2792" spans="3:43" s="345" customFormat="1" ht="36" customHeight="1" x14ac:dyDescent="0.5">
      <c r="C2792" s="353"/>
      <c r="D2792" s="444"/>
      <c r="E2792" s="444"/>
      <c r="F2792" s="444"/>
      <c r="G2792" s="444"/>
      <c r="H2792" s="444"/>
      <c r="I2792" s="444"/>
      <c r="J2792" s="444"/>
      <c r="K2792" s="364"/>
      <c r="L2792" s="364"/>
      <c r="M2792" s="378"/>
      <c r="N2792" s="378"/>
      <c r="O2792" s="378"/>
      <c r="P2792" s="367"/>
      <c r="Q2792" s="364"/>
      <c r="R2792" s="348" t="str">
        <f t="shared" si="228"/>
        <v>DELETE</v>
      </c>
      <c r="S2792" s="331"/>
      <c r="T2792" s="331"/>
      <c r="U2792" s="331"/>
      <c r="V2792" s="331"/>
      <c r="W2792" s="331"/>
      <c r="X2792" s="331"/>
      <c r="Y2792" s="334"/>
      <c r="Z2792" s="334"/>
      <c r="AA2792" s="349"/>
      <c r="AB2792" s="365"/>
      <c r="AC2792" s="365"/>
      <c r="AD2792" s="365"/>
      <c r="AE2792" s="365"/>
      <c r="AF2792" s="365"/>
      <c r="AG2792" s="365"/>
      <c r="AH2792" s="365"/>
      <c r="AI2792" s="365"/>
      <c r="AJ2792" s="365"/>
      <c r="AK2792" s="365"/>
      <c r="AL2792" s="381"/>
      <c r="AM2792" s="381"/>
      <c r="AN2792" s="381"/>
      <c r="AO2792" s="381"/>
      <c r="AP2792" s="381"/>
      <c r="AQ2792" s="381"/>
    </row>
    <row r="2793" spans="3:43" s="345" customFormat="1" ht="36" customHeight="1" x14ac:dyDescent="0.5">
      <c r="C2793" s="353"/>
      <c r="D2793" s="434"/>
      <c r="E2793" s="434"/>
      <c r="F2793" s="434"/>
      <c r="G2793" s="434"/>
      <c r="H2793" s="434"/>
      <c r="I2793" s="434"/>
      <c r="J2793" s="449"/>
      <c r="K2793" s="292" t="s">
        <v>1041</v>
      </c>
      <c r="L2793" s="350"/>
      <c r="M2793" s="350"/>
      <c r="N2793" s="292"/>
      <c r="O2793" s="294">
        <f>Criteria!E22</f>
        <v>2025</v>
      </c>
      <c r="P2793" s="295"/>
      <c r="R2793" s="348" t="str">
        <f t="shared" si="228"/>
        <v>DELETE</v>
      </c>
      <c r="S2793" s="331"/>
      <c r="T2793" s="331"/>
      <c r="U2793" s="331"/>
      <c r="V2793" s="331"/>
      <c r="W2793" s="331"/>
      <c r="X2793" s="331"/>
      <c r="Y2793" s="334"/>
      <c r="Z2793" s="334"/>
      <c r="AA2793" s="349"/>
      <c r="AB2793" s="365"/>
      <c r="AC2793" s="365"/>
      <c r="AD2793" s="365"/>
      <c r="AE2793" s="365"/>
      <c r="AF2793" s="365"/>
      <c r="AG2793" s="365"/>
      <c r="AH2793" s="365"/>
      <c r="AI2793" s="365"/>
      <c r="AJ2793" s="365"/>
      <c r="AK2793" s="365"/>
      <c r="AL2793" s="381"/>
      <c r="AM2793" s="381"/>
      <c r="AN2793" s="381"/>
      <c r="AO2793" s="381"/>
      <c r="AP2793" s="381"/>
      <c r="AQ2793" s="381"/>
    </row>
    <row r="2794" spans="3:43" s="345" customFormat="1" ht="36" customHeight="1" x14ac:dyDescent="0.5">
      <c r="C2794" s="353"/>
      <c r="D2794" s="434"/>
      <c r="E2794" s="434"/>
      <c r="F2794" s="434"/>
      <c r="G2794" s="434"/>
      <c r="H2794" s="434"/>
      <c r="I2794" s="434"/>
      <c r="J2794" s="449"/>
      <c r="K2794" s="292"/>
      <c r="L2794" s="350"/>
      <c r="M2794" s="350"/>
      <c r="N2794" s="292"/>
      <c r="O2794" s="296"/>
      <c r="P2794" s="295"/>
      <c r="R2794" s="348" t="str">
        <f t="shared" si="228"/>
        <v>DELETE</v>
      </c>
      <c r="S2794" s="331"/>
      <c r="T2794" s="331"/>
      <c r="U2794" s="331"/>
      <c r="V2794" s="331"/>
      <c r="W2794" s="331"/>
      <c r="X2794" s="331"/>
      <c r="Y2794" s="334"/>
      <c r="Z2794" s="334"/>
      <c r="AA2794" s="349"/>
      <c r="AB2794" s="365"/>
      <c r="AC2794" s="365"/>
      <c r="AD2794" s="365"/>
      <c r="AE2794" s="365"/>
      <c r="AF2794" s="365"/>
      <c r="AG2794" s="365"/>
      <c r="AH2794" s="365"/>
      <c r="AI2794" s="365"/>
      <c r="AJ2794" s="365"/>
      <c r="AK2794" s="365"/>
      <c r="AL2794" s="381"/>
      <c r="AM2794" s="381"/>
      <c r="AN2794" s="381"/>
      <c r="AO2794" s="381"/>
      <c r="AP2794" s="381"/>
      <c r="AQ2794" s="381"/>
    </row>
    <row r="2795" spans="3:43" s="345" customFormat="1" ht="36" customHeight="1" x14ac:dyDescent="0.45">
      <c r="D2795" s="433" t="s">
        <v>836</v>
      </c>
      <c r="E2795" s="434"/>
      <c r="F2795" s="434"/>
      <c r="G2795" s="434"/>
      <c r="H2795" s="434"/>
      <c r="I2795" s="434"/>
      <c r="J2795" s="449"/>
      <c r="K2795" s="292"/>
      <c r="L2795" s="350"/>
      <c r="M2795" s="350"/>
      <c r="N2795" s="292"/>
      <c r="O2795" s="296">
        <f>-SUM(TrialBalanceC!I5:I10)</f>
        <v>0</v>
      </c>
      <c r="P2795" s="295"/>
      <c r="R2795" s="348" t="str">
        <f>IF(R2783="DELETE","DELETE",IF(O2795=0,IF(O2797=0," ","DELETE")," "))</f>
        <v>DELETE</v>
      </c>
      <c r="S2795" s="333">
        <f>O2795</f>
        <v>0</v>
      </c>
      <c r="T2795" s="333"/>
      <c r="U2795" s="333"/>
      <c r="V2795" s="333"/>
      <c r="W2795" s="331"/>
      <c r="X2795" s="331"/>
      <c r="Y2795" s="334"/>
      <c r="Z2795" s="334"/>
      <c r="AA2795" s="349"/>
      <c r="AB2795" s="365"/>
      <c r="AC2795" s="365"/>
      <c r="AD2795" s="365"/>
      <c r="AE2795" s="365"/>
      <c r="AF2795" s="365"/>
      <c r="AG2795" s="365"/>
      <c r="AH2795" s="365"/>
      <c r="AI2795" s="365"/>
      <c r="AJ2795" s="365"/>
      <c r="AK2795" s="365"/>
      <c r="AL2795" s="381"/>
      <c r="AM2795" s="381"/>
      <c r="AN2795" s="381"/>
      <c r="AO2795" s="381"/>
      <c r="AP2795" s="381"/>
      <c r="AQ2795" s="381"/>
    </row>
    <row r="2796" spans="3:43" s="345" customFormat="1" ht="36" customHeight="1" x14ac:dyDescent="0.45">
      <c r="D2796" s="433"/>
      <c r="E2796" s="434"/>
      <c r="F2796" s="434"/>
      <c r="G2796" s="434"/>
      <c r="H2796" s="434"/>
      <c r="I2796" s="434"/>
      <c r="J2796" s="449"/>
      <c r="K2796" s="292"/>
      <c r="L2796" s="350"/>
      <c r="M2796" s="350"/>
      <c r="N2796" s="292"/>
      <c r="O2796" s="296"/>
      <c r="P2796" s="295"/>
      <c r="R2796" s="348" t="str">
        <f>R2795</f>
        <v>DELETE</v>
      </c>
      <c r="S2796" s="333"/>
      <c r="T2796" s="333"/>
      <c r="U2796" s="333"/>
      <c r="V2796" s="333"/>
      <c r="W2796" s="331"/>
      <c r="X2796" s="331"/>
      <c r="Y2796" s="334"/>
      <c r="Z2796" s="334"/>
      <c r="AA2796" s="349"/>
      <c r="AB2796" s="365"/>
      <c r="AC2796" s="365"/>
      <c r="AD2796" s="365"/>
      <c r="AE2796" s="365"/>
      <c r="AF2796" s="365"/>
      <c r="AG2796" s="365"/>
      <c r="AH2796" s="365"/>
      <c r="AI2796" s="365"/>
      <c r="AJ2796" s="365"/>
      <c r="AK2796" s="365"/>
      <c r="AL2796" s="381"/>
      <c r="AM2796" s="381"/>
      <c r="AN2796" s="381"/>
      <c r="AO2796" s="381"/>
      <c r="AP2796" s="381"/>
      <c r="AQ2796" s="381"/>
    </row>
    <row r="2797" spans="3:43" s="345" customFormat="1" ht="36" customHeight="1" x14ac:dyDescent="0.45">
      <c r="D2797" s="433" t="s">
        <v>334</v>
      </c>
      <c r="E2797" s="434"/>
      <c r="F2797" s="434"/>
      <c r="G2797" s="434"/>
      <c r="H2797" s="434"/>
      <c r="I2797" s="434"/>
      <c r="J2797" s="449"/>
      <c r="K2797" s="292"/>
      <c r="L2797" s="350"/>
      <c r="M2797" s="350"/>
      <c r="N2797" s="292"/>
      <c r="O2797" s="296">
        <f>-TrialBalanceC!I11</f>
        <v>0</v>
      </c>
      <c r="P2797" s="295"/>
      <c r="R2797" s="348" t="str">
        <f>IF(R2783="DELETE","DELETE",IF(O2797=0,"DELETE"," "))</f>
        <v>DELETE</v>
      </c>
      <c r="S2797" s="333">
        <f>O2797</f>
        <v>0</v>
      </c>
      <c r="T2797" s="333"/>
      <c r="U2797" s="333"/>
      <c r="V2797" s="333"/>
      <c r="W2797" s="331"/>
      <c r="X2797" s="331"/>
      <c r="Y2797" s="334"/>
      <c r="Z2797" s="334"/>
      <c r="AA2797" s="349"/>
      <c r="AB2797" s="365"/>
      <c r="AC2797" s="365"/>
      <c r="AD2797" s="365"/>
      <c r="AE2797" s="365"/>
      <c r="AF2797" s="365"/>
      <c r="AG2797" s="365"/>
      <c r="AH2797" s="365"/>
      <c r="AI2797" s="365"/>
      <c r="AJ2797" s="365"/>
      <c r="AK2797" s="365"/>
      <c r="AL2797" s="381"/>
      <c r="AM2797" s="381"/>
      <c r="AN2797" s="381"/>
      <c r="AO2797" s="381"/>
      <c r="AP2797" s="381"/>
      <c r="AQ2797" s="381"/>
    </row>
    <row r="2798" spans="3:43" s="345" customFormat="1" ht="36" customHeight="1" x14ac:dyDescent="0.45">
      <c r="D2798" s="433"/>
      <c r="E2798" s="434"/>
      <c r="F2798" s="434"/>
      <c r="G2798" s="434"/>
      <c r="H2798" s="434"/>
      <c r="I2798" s="434"/>
      <c r="J2798" s="449"/>
      <c r="K2798" s="292"/>
      <c r="L2798" s="350"/>
      <c r="M2798" s="350"/>
      <c r="N2798" s="292"/>
      <c r="O2798" s="296"/>
      <c r="P2798" s="295"/>
      <c r="R2798" s="348" t="str">
        <f>R2797</f>
        <v>DELETE</v>
      </c>
      <c r="S2798" s="331"/>
      <c r="T2798" s="331"/>
      <c r="U2798" s="331"/>
      <c r="V2798" s="331"/>
      <c r="W2798" s="331"/>
      <c r="X2798" s="331"/>
      <c r="Y2798" s="334"/>
      <c r="Z2798" s="334"/>
      <c r="AA2798" s="349"/>
      <c r="AB2798" s="365"/>
      <c r="AC2798" s="365"/>
      <c r="AD2798" s="365"/>
      <c r="AE2798" s="365"/>
      <c r="AF2798" s="365"/>
      <c r="AG2798" s="365"/>
      <c r="AH2798" s="365"/>
      <c r="AI2798" s="365"/>
      <c r="AJ2798" s="365"/>
      <c r="AK2798" s="365"/>
      <c r="AL2798" s="381"/>
      <c r="AM2798" s="381"/>
      <c r="AN2798" s="381"/>
      <c r="AO2798" s="381"/>
      <c r="AP2798" s="381"/>
      <c r="AQ2798" s="381"/>
    </row>
    <row r="2799" spans="3:43" s="345" customFormat="1" ht="36" customHeight="1" x14ac:dyDescent="0.45">
      <c r="D2799" s="433" t="s">
        <v>1074</v>
      </c>
      <c r="E2799" s="434"/>
      <c r="F2799" s="434"/>
      <c r="G2799" s="434"/>
      <c r="H2799" s="434"/>
      <c r="I2799" s="434"/>
      <c r="J2799" s="449"/>
      <c r="K2799" s="292"/>
      <c r="L2799" s="350"/>
      <c r="M2799" s="350"/>
      <c r="N2799" s="292"/>
      <c r="O2799" s="296">
        <f>SUM(O2802:O2809)</f>
        <v>0</v>
      </c>
      <c r="P2799" s="295"/>
      <c r="R2799" s="348" t="str">
        <f>IF(R$2783="DELETE","DELETE",IF(O2799=0,"DELETE"," "))</f>
        <v>DELETE</v>
      </c>
      <c r="S2799" s="333">
        <f>-O2799</f>
        <v>0</v>
      </c>
      <c r="T2799" s="333"/>
      <c r="U2799" s="333"/>
      <c r="V2799" s="333"/>
      <c r="W2799" s="331"/>
      <c r="X2799" s="331"/>
      <c r="Y2799" s="334"/>
      <c r="Z2799" s="334"/>
      <c r="AA2799" s="349"/>
      <c r="AB2799" s="365"/>
      <c r="AC2799" s="365"/>
      <c r="AD2799" s="365"/>
      <c r="AE2799" s="365"/>
      <c r="AF2799" s="365"/>
      <c r="AG2799" s="365"/>
      <c r="AH2799" s="365"/>
      <c r="AI2799" s="365"/>
      <c r="AJ2799" s="365"/>
      <c r="AK2799" s="365"/>
      <c r="AL2799" s="381"/>
      <c r="AM2799" s="381"/>
      <c r="AN2799" s="381"/>
      <c r="AO2799" s="381"/>
      <c r="AP2799" s="381"/>
      <c r="AQ2799" s="381"/>
    </row>
    <row r="2800" spans="3:43" s="345" customFormat="1" ht="9" customHeight="1" x14ac:dyDescent="0.45">
      <c r="C2800" s="397"/>
      <c r="D2800" s="434"/>
      <c r="E2800" s="434"/>
      <c r="F2800" s="434"/>
      <c r="G2800" s="434"/>
      <c r="H2800" s="434"/>
      <c r="I2800" s="434"/>
      <c r="J2800" s="449"/>
      <c r="K2800" s="292"/>
      <c r="L2800" s="350"/>
      <c r="M2800" s="350"/>
      <c r="N2800" s="292"/>
      <c r="O2800" s="296"/>
      <c r="P2800" s="295"/>
      <c r="R2800" s="348" t="str">
        <f>R2799</f>
        <v>DELETE</v>
      </c>
      <c r="S2800" s="331"/>
      <c r="T2800" s="331"/>
      <c r="U2800" s="331"/>
      <c r="V2800" s="331"/>
      <c r="W2800" s="331"/>
      <c r="X2800" s="331"/>
      <c r="Y2800" s="334"/>
      <c r="Z2800" s="334"/>
      <c r="AA2800" s="349"/>
      <c r="AB2800" s="365"/>
      <c r="AC2800" s="365"/>
      <c r="AD2800" s="365"/>
      <c r="AE2800" s="365"/>
      <c r="AF2800" s="365"/>
      <c r="AG2800" s="365"/>
      <c r="AH2800" s="365"/>
      <c r="AI2800" s="365"/>
      <c r="AJ2800" s="365"/>
      <c r="AK2800" s="365"/>
      <c r="AL2800" s="381"/>
      <c r="AM2800" s="381"/>
      <c r="AN2800" s="381"/>
      <c r="AO2800" s="381"/>
      <c r="AP2800" s="381"/>
      <c r="AQ2800" s="381"/>
    </row>
    <row r="2801" spans="3:43" s="345" customFormat="1" ht="9" customHeight="1" x14ac:dyDescent="0.45">
      <c r="C2801" s="397"/>
      <c r="D2801" s="434"/>
      <c r="E2801" s="434"/>
      <c r="F2801" s="434"/>
      <c r="G2801" s="434"/>
      <c r="H2801" s="434"/>
      <c r="I2801" s="434"/>
      <c r="J2801" s="449"/>
      <c r="K2801" s="292"/>
      <c r="L2801" s="350"/>
      <c r="M2801" s="350"/>
      <c r="N2801" s="292"/>
      <c r="O2801" s="407"/>
      <c r="P2801" s="295"/>
      <c r="R2801" s="348" t="str">
        <f>R2800</f>
        <v>DELETE</v>
      </c>
      <c r="S2801" s="331"/>
      <c r="T2801" s="331"/>
      <c r="U2801" s="331"/>
      <c r="V2801" s="331"/>
      <c r="W2801" s="331"/>
      <c r="X2801" s="331"/>
      <c r="Y2801" s="334"/>
      <c r="Z2801" s="334"/>
      <c r="AA2801" s="349"/>
      <c r="AB2801" s="365"/>
      <c r="AC2801" s="365"/>
      <c r="AD2801" s="365"/>
      <c r="AE2801" s="365"/>
      <c r="AF2801" s="365"/>
      <c r="AG2801" s="365"/>
      <c r="AH2801" s="365"/>
      <c r="AI2801" s="365"/>
      <c r="AJ2801" s="365"/>
      <c r="AK2801" s="365"/>
      <c r="AL2801" s="381"/>
      <c r="AM2801" s="381"/>
      <c r="AN2801" s="381"/>
      <c r="AO2801" s="381"/>
      <c r="AP2801" s="381"/>
      <c r="AQ2801" s="381"/>
    </row>
    <row r="2802" spans="3:43" s="345" customFormat="1" ht="36" customHeight="1" x14ac:dyDescent="0.45">
      <c r="C2802" s="397"/>
      <c r="D2802" s="434" t="s">
        <v>492</v>
      </c>
      <c r="E2802" s="434"/>
      <c r="F2802" s="434"/>
      <c r="G2802" s="434"/>
      <c r="H2802" s="434"/>
      <c r="I2802" s="434"/>
      <c r="J2802" s="449"/>
      <c r="K2802" s="292"/>
      <c r="L2802" s="350"/>
      <c r="M2802" s="350"/>
      <c r="N2802" s="292"/>
      <c r="O2802" s="408">
        <f>SUM(TrialBalanceC!I13:I16)</f>
        <v>0</v>
      </c>
      <c r="P2802" s="295"/>
      <c r="R2802" s="348" t="str">
        <f t="shared" ref="R2802:R2809" si="229">IF(R$2783="DELETE","DELETE",IF(O2802=0,"DELETE"," "))</f>
        <v>DELETE</v>
      </c>
      <c r="S2802" s="331"/>
      <c r="T2802" s="331"/>
      <c r="U2802" s="331"/>
      <c r="V2802" s="331"/>
      <c r="W2802" s="331"/>
      <c r="X2802" s="331"/>
      <c r="Y2802" s="334"/>
      <c r="Z2802" s="334"/>
      <c r="AA2802" s="349"/>
      <c r="AB2802" s="365"/>
      <c r="AC2802" s="365"/>
      <c r="AD2802" s="365"/>
      <c r="AE2802" s="365"/>
      <c r="AF2802" s="365"/>
      <c r="AG2802" s="365"/>
      <c r="AH2802" s="365"/>
      <c r="AI2802" s="365"/>
      <c r="AJ2802" s="365"/>
      <c r="AK2802" s="365"/>
      <c r="AL2802" s="381"/>
      <c r="AM2802" s="381"/>
      <c r="AN2802" s="381"/>
      <c r="AO2802" s="381"/>
      <c r="AP2802" s="381"/>
      <c r="AQ2802" s="381"/>
    </row>
    <row r="2803" spans="3:43" s="345" customFormat="1" ht="36" customHeight="1" x14ac:dyDescent="0.45">
      <c r="C2803" s="397"/>
      <c r="D2803" s="434" t="s">
        <v>249</v>
      </c>
      <c r="E2803" s="434"/>
      <c r="F2803" s="434"/>
      <c r="G2803" s="434"/>
      <c r="H2803" s="434"/>
      <c r="I2803" s="434"/>
      <c r="J2803" s="449"/>
      <c r="K2803" s="292"/>
      <c r="L2803" s="350"/>
      <c r="M2803" s="350"/>
      <c r="N2803" s="292"/>
      <c r="O2803" s="408">
        <f>TrialBalanceC!I17</f>
        <v>0</v>
      </c>
      <c r="P2803" s="295"/>
      <c r="R2803" s="348" t="str">
        <f t="shared" si="229"/>
        <v>DELETE</v>
      </c>
      <c r="S2803" s="331"/>
      <c r="T2803" s="331"/>
      <c r="U2803" s="331"/>
      <c r="V2803" s="331"/>
      <c r="W2803" s="331"/>
      <c r="X2803" s="331"/>
      <c r="Y2803" s="334"/>
      <c r="Z2803" s="334"/>
      <c r="AA2803" s="349"/>
      <c r="AB2803" s="365"/>
      <c r="AC2803" s="365"/>
      <c r="AD2803" s="365"/>
      <c r="AE2803" s="365"/>
      <c r="AF2803" s="365"/>
      <c r="AG2803" s="365"/>
      <c r="AH2803" s="365"/>
      <c r="AI2803" s="365"/>
      <c r="AJ2803" s="365"/>
      <c r="AK2803" s="365"/>
      <c r="AL2803" s="381"/>
      <c r="AM2803" s="381"/>
      <c r="AN2803" s="381"/>
      <c r="AO2803" s="381"/>
      <c r="AP2803" s="381"/>
      <c r="AQ2803" s="381"/>
    </row>
    <row r="2804" spans="3:43" s="345" customFormat="1" ht="36" customHeight="1" x14ac:dyDescent="0.45">
      <c r="C2804" s="397"/>
      <c r="D2804" s="434">
        <f>TrialBalanceC!C18</f>
        <v>0</v>
      </c>
      <c r="E2804" s="434"/>
      <c r="F2804" s="434"/>
      <c r="G2804" s="434"/>
      <c r="H2804" s="434"/>
      <c r="I2804" s="434"/>
      <c r="J2804" s="449"/>
      <c r="K2804" s="292"/>
      <c r="L2804" s="350"/>
      <c r="M2804" s="350"/>
      <c r="N2804" s="292"/>
      <c r="O2804" s="408">
        <f>TrialBalanceC!I18</f>
        <v>0</v>
      </c>
      <c r="P2804" s="295"/>
      <c r="R2804" s="348" t="str">
        <f t="shared" si="229"/>
        <v>DELETE</v>
      </c>
      <c r="S2804" s="331"/>
      <c r="T2804" s="331"/>
      <c r="U2804" s="331"/>
      <c r="V2804" s="331"/>
      <c r="W2804" s="331"/>
      <c r="X2804" s="331"/>
      <c r="Y2804" s="334"/>
      <c r="Z2804" s="334"/>
      <c r="AA2804" s="349"/>
      <c r="AB2804" s="365"/>
      <c r="AC2804" s="365"/>
      <c r="AD2804" s="365"/>
      <c r="AE2804" s="365"/>
      <c r="AF2804" s="365"/>
      <c r="AG2804" s="365"/>
      <c r="AH2804" s="365"/>
      <c r="AI2804" s="365"/>
      <c r="AJ2804" s="365"/>
      <c r="AK2804" s="365"/>
      <c r="AL2804" s="381"/>
      <c r="AM2804" s="381"/>
      <c r="AN2804" s="381"/>
      <c r="AO2804" s="381"/>
      <c r="AP2804" s="381"/>
      <c r="AQ2804" s="381"/>
    </row>
    <row r="2805" spans="3:43" s="345" customFormat="1" ht="36" customHeight="1" x14ac:dyDescent="0.45">
      <c r="C2805" s="397"/>
      <c r="D2805" s="434">
        <f>TrialBalanceC!C19</f>
        <v>0</v>
      </c>
      <c r="E2805" s="434"/>
      <c r="F2805" s="434"/>
      <c r="G2805" s="434"/>
      <c r="H2805" s="434"/>
      <c r="I2805" s="434"/>
      <c r="J2805" s="449"/>
      <c r="K2805" s="292"/>
      <c r="L2805" s="350"/>
      <c r="M2805" s="350"/>
      <c r="N2805" s="292"/>
      <c r="O2805" s="408">
        <f>TrialBalanceC!I19</f>
        <v>0</v>
      </c>
      <c r="P2805" s="295"/>
      <c r="R2805" s="348" t="str">
        <f t="shared" si="229"/>
        <v>DELETE</v>
      </c>
      <c r="S2805" s="331"/>
      <c r="T2805" s="331"/>
      <c r="U2805" s="331"/>
      <c r="V2805" s="331"/>
      <c r="W2805" s="331"/>
      <c r="X2805" s="331"/>
      <c r="Y2805" s="334"/>
      <c r="Z2805" s="334"/>
      <c r="AA2805" s="349"/>
      <c r="AB2805" s="365"/>
      <c r="AC2805" s="365"/>
      <c r="AD2805" s="365"/>
      <c r="AE2805" s="365"/>
      <c r="AF2805" s="365"/>
      <c r="AG2805" s="365"/>
      <c r="AH2805" s="365"/>
      <c r="AI2805" s="365"/>
      <c r="AJ2805" s="365"/>
      <c r="AK2805" s="365"/>
      <c r="AL2805" s="381"/>
      <c r="AM2805" s="381"/>
      <c r="AN2805" s="381"/>
      <c r="AO2805" s="381"/>
      <c r="AP2805" s="381"/>
      <c r="AQ2805" s="381"/>
    </row>
    <row r="2806" spans="3:43" s="345" customFormat="1" ht="36" customHeight="1" x14ac:dyDescent="0.45">
      <c r="C2806" s="397"/>
      <c r="D2806" s="434">
        <f>TrialBalanceC!C20</f>
        <v>0</v>
      </c>
      <c r="E2806" s="434"/>
      <c r="F2806" s="434"/>
      <c r="G2806" s="434"/>
      <c r="H2806" s="434"/>
      <c r="I2806" s="434"/>
      <c r="J2806" s="449"/>
      <c r="K2806" s="292"/>
      <c r="L2806" s="350"/>
      <c r="M2806" s="350"/>
      <c r="N2806" s="292"/>
      <c r="O2806" s="408">
        <f>TrialBalanceC!I20</f>
        <v>0</v>
      </c>
      <c r="P2806" s="295"/>
      <c r="R2806" s="348" t="str">
        <f t="shared" si="229"/>
        <v>DELETE</v>
      </c>
      <c r="S2806" s="331"/>
      <c r="T2806" s="331"/>
      <c r="U2806" s="331"/>
      <c r="V2806" s="331"/>
      <c r="W2806" s="331"/>
      <c r="X2806" s="331"/>
      <c r="Y2806" s="334"/>
      <c r="Z2806" s="334"/>
      <c r="AA2806" s="349"/>
      <c r="AB2806" s="365"/>
      <c r="AC2806" s="365"/>
      <c r="AD2806" s="365"/>
      <c r="AE2806" s="365"/>
      <c r="AF2806" s="365"/>
      <c r="AG2806" s="365"/>
      <c r="AH2806" s="365"/>
      <c r="AI2806" s="365"/>
      <c r="AJ2806" s="365"/>
      <c r="AK2806" s="365"/>
      <c r="AL2806" s="381"/>
      <c r="AM2806" s="381"/>
      <c r="AN2806" s="381"/>
      <c r="AO2806" s="381"/>
      <c r="AP2806" s="381"/>
      <c r="AQ2806" s="381"/>
    </row>
    <row r="2807" spans="3:43" s="345" customFormat="1" ht="36" customHeight="1" x14ac:dyDescent="0.45">
      <c r="C2807" s="397"/>
      <c r="D2807" s="434">
        <f>TrialBalanceC!C21</f>
        <v>0</v>
      </c>
      <c r="E2807" s="434"/>
      <c r="F2807" s="434"/>
      <c r="G2807" s="434"/>
      <c r="H2807" s="434"/>
      <c r="I2807" s="434"/>
      <c r="J2807" s="449"/>
      <c r="K2807" s="292"/>
      <c r="L2807" s="350"/>
      <c r="M2807" s="350"/>
      <c r="N2807" s="292"/>
      <c r="O2807" s="408">
        <f>TrialBalanceC!I21</f>
        <v>0</v>
      </c>
      <c r="P2807" s="295"/>
      <c r="R2807" s="348" t="str">
        <f t="shared" si="229"/>
        <v>DELETE</v>
      </c>
      <c r="S2807" s="331"/>
      <c r="T2807" s="331"/>
      <c r="U2807" s="331"/>
      <c r="V2807" s="331"/>
      <c r="W2807" s="331"/>
      <c r="X2807" s="331"/>
      <c r="Y2807" s="334"/>
      <c r="Z2807" s="334"/>
      <c r="AA2807" s="349"/>
      <c r="AB2807" s="365"/>
      <c r="AC2807" s="365"/>
      <c r="AD2807" s="365"/>
      <c r="AE2807" s="365"/>
      <c r="AF2807" s="365"/>
      <c r="AG2807" s="365"/>
      <c r="AH2807" s="365"/>
      <c r="AI2807" s="365"/>
      <c r="AJ2807" s="365"/>
      <c r="AK2807" s="365"/>
      <c r="AL2807" s="381"/>
      <c r="AM2807" s="381"/>
      <c r="AN2807" s="381"/>
      <c r="AO2807" s="381"/>
      <c r="AP2807" s="381"/>
      <c r="AQ2807" s="381"/>
    </row>
    <row r="2808" spans="3:43" s="345" customFormat="1" ht="36" customHeight="1" x14ac:dyDescent="0.45">
      <c r="C2808" s="397"/>
      <c r="D2808" s="434">
        <f>TrialBalanceC!C22</f>
        <v>0</v>
      </c>
      <c r="E2808" s="434"/>
      <c r="F2808" s="434"/>
      <c r="G2808" s="434"/>
      <c r="H2808" s="434"/>
      <c r="I2808" s="434"/>
      <c r="J2808" s="449"/>
      <c r="K2808" s="292"/>
      <c r="L2808" s="350"/>
      <c r="M2808" s="350"/>
      <c r="N2808" s="292"/>
      <c r="O2808" s="408">
        <f>TrialBalanceC!I22</f>
        <v>0</v>
      </c>
      <c r="P2808" s="295"/>
      <c r="R2808" s="348" t="str">
        <f t="shared" si="229"/>
        <v>DELETE</v>
      </c>
      <c r="S2808" s="331"/>
      <c r="T2808" s="331"/>
      <c r="U2808" s="331"/>
      <c r="V2808" s="331"/>
      <c r="W2808" s="331"/>
      <c r="X2808" s="331"/>
      <c r="Y2808" s="334"/>
      <c r="Z2808" s="334"/>
      <c r="AA2808" s="349"/>
      <c r="AB2808" s="365"/>
      <c r="AC2808" s="365"/>
      <c r="AD2808" s="365"/>
      <c r="AE2808" s="365"/>
      <c r="AF2808" s="365"/>
      <c r="AG2808" s="365"/>
      <c r="AH2808" s="365"/>
      <c r="AI2808" s="365"/>
      <c r="AJ2808" s="365"/>
      <c r="AK2808" s="365"/>
      <c r="AL2808" s="381"/>
      <c r="AM2808" s="381"/>
      <c r="AN2808" s="381"/>
      <c r="AO2808" s="381"/>
      <c r="AP2808" s="381"/>
      <c r="AQ2808" s="381"/>
    </row>
    <row r="2809" spans="3:43" s="345" customFormat="1" ht="36" customHeight="1" x14ac:dyDescent="0.45">
      <c r="C2809" s="397"/>
      <c r="D2809" s="434" t="s">
        <v>493</v>
      </c>
      <c r="E2809" s="434"/>
      <c r="F2809" s="434"/>
      <c r="G2809" s="434"/>
      <c r="H2809" s="434"/>
      <c r="I2809" s="434"/>
      <c r="J2809" s="449"/>
      <c r="K2809" s="292"/>
      <c r="L2809" s="350"/>
      <c r="M2809" s="350"/>
      <c r="N2809" s="292"/>
      <c r="O2809" s="408">
        <f>SUM(TrialBalanceC!I23:I26)</f>
        <v>0</v>
      </c>
      <c r="P2809" s="295"/>
      <c r="R2809" s="348" t="str">
        <f t="shared" si="229"/>
        <v>DELETE</v>
      </c>
      <c r="S2809" s="331"/>
      <c r="T2809" s="331"/>
      <c r="U2809" s="331"/>
      <c r="V2809" s="331"/>
      <c r="W2809" s="331"/>
      <c r="X2809" s="331"/>
      <c r="Y2809" s="334"/>
      <c r="Z2809" s="334"/>
      <c r="AA2809" s="349"/>
      <c r="AB2809" s="365"/>
      <c r="AC2809" s="365"/>
      <c r="AD2809" s="365"/>
      <c r="AE2809" s="365"/>
      <c r="AF2809" s="365"/>
      <c r="AG2809" s="365"/>
      <c r="AH2809" s="365"/>
      <c r="AI2809" s="365"/>
      <c r="AJ2809" s="365"/>
      <c r="AK2809" s="365"/>
      <c r="AL2809" s="381"/>
      <c r="AM2809" s="381"/>
      <c r="AN2809" s="381"/>
      <c r="AO2809" s="381"/>
      <c r="AP2809" s="381"/>
      <c r="AQ2809" s="381"/>
    </row>
    <row r="2810" spans="3:43" s="345" customFormat="1" ht="9" customHeight="1" x14ac:dyDescent="0.45">
      <c r="C2810" s="397"/>
      <c r="D2810" s="434"/>
      <c r="E2810" s="434"/>
      <c r="F2810" s="434"/>
      <c r="G2810" s="434"/>
      <c r="H2810" s="434"/>
      <c r="I2810" s="434"/>
      <c r="J2810" s="449"/>
      <c r="K2810" s="292"/>
      <c r="L2810" s="350"/>
      <c r="M2810" s="350"/>
      <c r="N2810" s="292"/>
      <c r="O2810" s="409"/>
      <c r="P2810" s="295"/>
      <c r="R2810" s="348" t="str">
        <f>R2799</f>
        <v>DELETE</v>
      </c>
      <c r="S2810" s="331"/>
      <c r="T2810" s="331"/>
      <c r="U2810" s="331"/>
      <c r="V2810" s="331"/>
      <c r="W2810" s="331"/>
      <c r="X2810" s="331"/>
      <c r="Y2810" s="334"/>
      <c r="Z2810" s="334"/>
      <c r="AA2810" s="349"/>
      <c r="AB2810" s="365"/>
      <c r="AC2810" s="365"/>
      <c r="AD2810" s="365"/>
      <c r="AE2810" s="365"/>
      <c r="AF2810" s="365"/>
      <c r="AG2810" s="365"/>
      <c r="AH2810" s="365"/>
      <c r="AI2810" s="365"/>
      <c r="AJ2810" s="365"/>
      <c r="AK2810" s="365"/>
      <c r="AL2810" s="381"/>
      <c r="AM2810" s="381"/>
      <c r="AN2810" s="381"/>
      <c r="AO2810" s="381"/>
      <c r="AP2810" s="381"/>
      <c r="AQ2810" s="381"/>
    </row>
    <row r="2811" spans="3:43" s="345" customFormat="1" ht="9" customHeight="1" x14ac:dyDescent="0.45">
      <c r="C2811" s="397"/>
      <c r="D2811" s="434"/>
      <c r="E2811" s="434"/>
      <c r="F2811" s="434"/>
      <c r="G2811" s="434"/>
      <c r="H2811" s="434"/>
      <c r="I2811" s="434"/>
      <c r="J2811" s="449"/>
      <c r="K2811" s="292"/>
      <c r="L2811" s="350"/>
      <c r="M2811" s="350"/>
      <c r="N2811" s="292"/>
      <c r="O2811" s="298"/>
      <c r="P2811" s="295"/>
      <c r="R2811" s="348" t="str">
        <f>R2799</f>
        <v>DELETE</v>
      </c>
      <c r="S2811" s="331"/>
      <c r="T2811" s="331"/>
      <c r="U2811" s="331"/>
      <c r="V2811" s="331"/>
      <c r="W2811" s="331"/>
      <c r="X2811" s="331"/>
      <c r="Y2811" s="334"/>
      <c r="Z2811" s="334"/>
      <c r="AA2811" s="349"/>
      <c r="AB2811" s="365"/>
      <c r="AC2811" s="365"/>
      <c r="AD2811" s="365"/>
      <c r="AE2811" s="365"/>
      <c r="AF2811" s="365"/>
      <c r="AG2811" s="365"/>
      <c r="AH2811" s="365"/>
      <c r="AI2811" s="365"/>
      <c r="AJ2811" s="365"/>
      <c r="AK2811" s="365"/>
      <c r="AL2811" s="381"/>
      <c r="AM2811" s="381"/>
      <c r="AN2811" s="381"/>
      <c r="AO2811" s="381"/>
      <c r="AP2811" s="381"/>
      <c r="AQ2811" s="381"/>
    </row>
    <row r="2812" spans="3:43" s="345" customFormat="1" ht="9" customHeight="1" x14ac:dyDescent="0.45">
      <c r="C2812" s="397"/>
      <c r="D2812" s="434"/>
      <c r="E2812" s="434"/>
      <c r="F2812" s="434"/>
      <c r="G2812" s="434"/>
      <c r="H2812" s="434"/>
      <c r="I2812" s="434"/>
      <c r="J2812" s="449"/>
      <c r="K2812" s="292"/>
      <c r="L2812" s="350"/>
      <c r="M2812" s="350"/>
      <c r="N2812" s="292"/>
      <c r="O2812" s="296"/>
      <c r="P2812" s="295"/>
      <c r="R2812" s="348" t="str">
        <f>R2811</f>
        <v>DELETE</v>
      </c>
      <c r="S2812" s="331"/>
      <c r="T2812" s="331"/>
      <c r="U2812" s="331"/>
      <c r="V2812" s="331"/>
      <c r="W2812" s="331"/>
      <c r="X2812" s="331"/>
      <c r="Y2812" s="334"/>
      <c r="Z2812" s="334"/>
      <c r="AA2812" s="349"/>
      <c r="AB2812" s="365"/>
      <c r="AC2812" s="365"/>
      <c r="AD2812" s="365"/>
      <c r="AE2812" s="365"/>
      <c r="AF2812" s="365"/>
      <c r="AG2812" s="365"/>
      <c r="AH2812" s="365"/>
      <c r="AI2812" s="365"/>
      <c r="AJ2812" s="365"/>
      <c r="AK2812" s="365"/>
      <c r="AL2812" s="381"/>
      <c r="AM2812" s="381"/>
      <c r="AN2812" s="381"/>
      <c r="AO2812" s="381"/>
      <c r="AP2812" s="381"/>
      <c r="AQ2812" s="381"/>
    </row>
    <row r="2813" spans="3:43" s="345" customFormat="1" ht="36" customHeight="1" x14ac:dyDescent="0.45">
      <c r="D2813" s="446" t="str">
        <f>IF(O2813&lt;0,"Gross loss","Gross profit")</f>
        <v>Gross profit</v>
      </c>
      <c r="E2813" s="434"/>
      <c r="F2813" s="434"/>
      <c r="G2813" s="434"/>
      <c r="H2813" s="434"/>
      <c r="I2813" s="434"/>
      <c r="J2813" s="449"/>
      <c r="K2813" s="292"/>
      <c r="L2813" s="350"/>
      <c r="M2813" s="350"/>
      <c r="N2813" s="292"/>
      <c r="O2813" s="296">
        <f>SUM(S2795:S2810)</f>
        <v>0</v>
      </c>
      <c r="P2813" s="295"/>
      <c r="R2813" s="348" t="str">
        <f>R2812</f>
        <v>DELETE</v>
      </c>
      <c r="S2813" s="331"/>
      <c r="T2813" s="331"/>
      <c r="U2813" s="331"/>
      <c r="V2813" s="331"/>
      <c r="W2813" s="331"/>
      <c r="X2813" s="331"/>
      <c r="Y2813" s="334"/>
      <c r="Z2813" s="334"/>
      <c r="AA2813" s="349"/>
      <c r="AB2813" s="365"/>
      <c r="AC2813" s="365"/>
      <c r="AD2813" s="365"/>
      <c r="AE2813" s="365"/>
      <c r="AF2813" s="365"/>
      <c r="AG2813" s="365"/>
      <c r="AH2813" s="365"/>
      <c r="AI2813" s="365"/>
      <c r="AJ2813" s="365"/>
      <c r="AK2813" s="365"/>
      <c r="AL2813" s="381"/>
      <c r="AM2813" s="381"/>
      <c r="AN2813" s="381"/>
      <c r="AO2813" s="381"/>
      <c r="AP2813" s="381"/>
      <c r="AQ2813" s="381"/>
    </row>
    <row r="2814" spans="3:43" s="345" customFormat="1" ht="36" customHeight="1" x14ac:dyDescent="0.45">
      <c r="C2814" s="397"/>
      <c r="D2814" s="434"/>
      <c r="E2814" s="434"/>
      <c r="F2814" s="434"/>
      <c r="G2814" s="434"/>
      <c r="H2814" s="434"/>
      <c r="I2814" s="434"/>
      <c r="J2814" s="449"/>
      <c r="K2814" s="292"/>
      <c r="L2814" s="350"/>
      <c r="M2814" s="350"/>
      <c r="N2814" s="292"/>
      <c r="O2814" s="296"/>
      <c r="P2814" s="295"/>
      <c r="R2814" s="348" t="str">
        <f>R2813</f>
        <v>DELETE</v>
      </c>
      <c r="S2814" s="331"/>
      <c r="T2814" s="331"/>
      <c r="U2814" s="331"/>
      <c r="V2814" s="331"/>
      <c r="W2814" s="331"/>
      <c r="X2814" s="331"/>
      <c r="Y2814" s="334"/>
      <c r="Z2814" s="334"/>
      <c r="AA2814" s="349"/>
      <c r="AB2814" s="365"/>
      <c r="AC2814" s="365"/>
      <c r="AD2814" s="365"/>
      <c r="AE2814" s="365"/>
      <c r="AF2814" s="365"/>
      <c r="AG2814" s="365"/>
      <c r="AH2814" s="365"/>
      <c r="AI2814" s="365"/>
      <c r="AJ2814" s="365"/>
      <c r="AK2814" s="365"/>
      <c r="AL2814" s="381"/>
      <c r="AM2814" s="381"/>
      <c r="AN2814" s="381"/>
      <c r="AO2814" s="381"/>
      <c r="AP2814" s="381"/>
      <c r="AQ2814" s="381"/>
    </row>
    <row r="2815" spans="3:43" s="345" customFormat="1" ht="36" customHeight="1" x14ac:dyDescent="0.45">
      <c r="D2815" s="433" t="s">
        <v>1037</v>
      </c>
      <c r="E2815" s="434"/>
      <c r="F2815" s="434"/>
      <c r="G2815" s="434"/>
      <c r="H2815" s="434"/>
      <c r="I2815" s="434"/>
      <c r="J2815" s="449"/>
      <c r="K2815" s="292"/>
      <c r="L2815" s="350"/>
      <c r="M2815" s="350"/>
      <c r="N2815" s="292"/>
      <c r="O2815" s="296">
        <f>SUM(O2817:O2824)</f>
        <v>0</v>
      </c>
      <c r="P2815" s="295"/>
      <c r="R2815" s="348" t="str">
        <f t="shared" ref="R2815" si="230">IF(R$2783="DELETE","DELETE",IF(O2815=0,"DELETE"," "))</f>
        <v>DELETE</v>
      </c>
      <c r="S2815" s="333">
        <f>O2815</f>
        <v>0</v>
      </c>
      <c r="T2815" s="333"/>
      <c r="U2815" s="331"/>
      <c r="V2815" s="331"/>
      <c r="W2815" s="331"/>
      <c r="X2815" s="331"/>
      <c r="Y2815" s="334"/>
      <c r="Z2815" s="334"/>
      <c r="AA2815" s="349"/>
      <c r="AB2815" s="365"/>
      <c r="AC2815" s="365"/>
      <c r="AD2815" s="365"/>
      <c r="AE2815" s="365"/>
      <c r="AF2815" s="365"/>
      <c r="AG2815" s="365"/>
      <c r="AH2815" s="365"/>
      <c r="AI2815" s="365"/>
      <c r="AJ2815" s="365"/>
      <c r="AK2815" s="365"/>
      <c r="AL2815" s="381"/>
      <c r="AM2815" s="381"/>
      <c r="AN2815" s="381"/>
      <c r="AO2815" s="381"/>
      <c r="AP2815" s="381"/>
      <c r="AQ2815" s="381"/>
    </row>
    <row r="2816" spans="3:43" s="345" customFormat="1" ht="9" customHeight="1" x14ac:dyDescent="0.45">
      <c r="C2816" s="397"/>
      <c r="D2816" s="434"/>
      <c r="E2816" s="434"/>
      <c r="F2816" s="434"/>
      <c r="G2816" s="434"/>
      <c r="H2816" s="434"/>
      <c r="I2816" s="434"/>
      <c r="J2816" s="449"/>
      <c r="K2816" s="292"/>
      <c r="L2816" s="350"/>
      <c r="M2816" s="350"/>
      <c r="N2816" s="292"/>
      <c r="O2816" s="296"/>
      <c r="P2816" s="295"/>
      <c r="R2816" s="348" t="str">
        <f>R2815</f>
        <v>DELETE</v>
      </c>
      <c r="S2816" s="331"/>
      <c r="T2816" s="331"/>
      <c r="U2816" s="331"/>
      <c r="V2816" s="331"/>
      <c r="W2816" s="331"/>
      <c r="X2816" s="331"/>
      <c r="Y2816" s="334"/>
      <c r="Z2816" s="334"/>
      <c r="AA2816" s="349"/>
      <c r="AB2816" s="365"/>
      <c r="AC2816" s="365"/>
      <c r="AD2816" s="365"/>
      <c r="AE2816" s="365"/>
      <c r="AF2816" s="365"/>
      <c r="AG2816" s="365"/>
      <c r="AH2816" s="365"/>
      <c r="AI2816" s="365"/>
      <c r="AJ2816" s="365"/>
      <c r="AK2816" s="365"/>
      <c r="AL2816" s="381"/>
      <c r="AM2816" s="381"/>
      <c r="AN2816" s="381"/>
      <c r="AO2816" s="381"/>
      <c r="AP2816" s="381"/>
      <c r="AQ2816" s="381"/>
    </row>
    <row r="2817" spans="3:43" s="345" customFormat="1" ht="9" customHeight="1" x14ac:dyDescent="0.45">
      <c r="C2817" s="397"/>
      <c r="D2817" s="434"/>
      <c r="E2817" s="434"/>
      <c r="F2817" s="434"/>
      <c r="G2817" s="434"/>
      <c r="H2817" s="434"/>
      <c r="I2817" s="434"/>
      <c r="J2817" s="449"/>
      <c r="K2817" s="292"/>
      <c r="L2817" s="350"/>
      <c r="M2817" s="350"/>
      <c r="N2817" s="292"/>
      <c r="O2817" s="407"/>
      <c r="P2817" s="295"/>
      <c r="R2817" s="348" t="str">
        <f>R2815</f>
        <v>DELETE</v>
      </c>
      <c r="S2817" s="331"/>
      <c r="T2817" s="331"/>
      <c r="U2817" s="331"/>
      <c r="V2817" s="331"/>
      <c r="W2817" s="331"/>
      <c r="X2817" s="331"/>
      <c r="Y2817" s="334"/>
      <c r="Z2817" s="334"/>
      <c r="AA2817" s="349"/>
      <c r="AB2817" s="365"/>
      <c r="AC2817" s="365"/>
      <c r="AD2817" s="365"/>
      <c r="AE2817" s="365"/>
      <c r="AF2817" s="365"/>
      <c r="AG2817" s="365"/>
      <c r="AH2817" s="365"/>
      <c r="AI2817" s="365"/>
      <c r="AJ2817" s="365"/>
      <c r="AK2817" s="365"/>
      <c r="AL2817" s="381"/>
      <c r="AM2817" s="381"/>
      <c r="AN2817" s="381"/>
      <c r="AO2817" s="381"/>
      <c r="AP2817" s="381"/>
      <c r="AQ2817" s="381"/>
    </row>
    <row r="2818" spans="3:43" s="345" customFormat="1" ht="36" customHeight="1" x14ac:dyDescent="0.45">
      <c r="C2818" s="397"/>
      <c r="D2818" s="434" t="str">
        <f>TrialBalanceC!C28</f>
        <v xml:space="preserve">Insurance claims - </v>
      </c>
      <c r="E2818" s="434"/>
      <c r="F2818" s="434"/>
      <c r="G2818" s="434"/>
      <c r="H2818" s="434"/>
      <c r="I2818" s="434"/>
      <c r="J2818" s="449"/>
      <c r="K2818" s="292"/>
      <c r="L2818" s="350"/>
      <c r="M2818" s="350"/>
      <c r="N2818" s="292"/>
      <c r="O2818" s="408">
        <f>-TrialBalanceC!I28</f>
        <v>0</v>
      </c>
      <c r="P2818" s="295"/>
      <c r="R2818" s="348" t="str">
        <f t="shared" ref="R2818:R2822" si="231">IF(R$2783="DELETE","DELETE",IF(O2818=0,"DELETE"," "))</f>
        <v>DELETE</v>
      </c>
      <c r="S2818" s="331"/>
      <c r="T2818" s="331"/>
      <c r="U2818" s="331"/>
      <c r="V2818" s="331"/>
      <c r="W2818" s="331"/>
      <c r="X2818" s="331"/>
      <c r="Y2818" s="334"/>
      <c r="Z2818" s="334"/>
      <c r="AA2818" s="349"/>
      <c r="AB2818" s="365"/>
      <c r="AC2818" s="365"/>
      <c r="AD2818" s="365"/>
      <c r="AE2818" s="365"/>
      <c r="AF2818" s="365"/>
      <c r="AG2818" s="365"/>
      <c r="AH2818" s="365"/>
      <c r="AI2818" s="365"/>
      <c r="AJ2818" s="365"/>
      <c r="AK2818" s="365"/>
      <c r="AL2818" s="381"/>
      <c r="AM2818" s="381"/>
      <c r="AN2818" s="381"/>
      <c r="AO2818" s="381"/>
      <c r="AP2818" s="381"/>
      <c r="AQ2818" s="381"/>
    </row>
    <row r="2819" spans="3:43" s="345" customFormat="1" ht="36" customHeight="1" x14ac:dyDescent="0.45">
      <c r="C2819" s="397"/>
      <c r="D2819" s="434" t="str">
        <f>TrialBalanceC!C29</f>
        <v>Government grants received</v>
      </c>
      <c r="E2819" s="434"/>
      <c r="F2819" s="434"/>
      <c r="G2819" s="434"/>
      <c r="H2819" s="434"/>
      <c r="I2819" s="434"/>
      <c r="J2819" s="449"/>
      <c r="K2819" s="292"/>
      <c r="L2819" s="350"/>
      <c r="M2819" s="350"/>
      <c r="N2819" s="292"/>
      <c r="O2819" s="408">
        <f>-TrialBalanceC!I29</f>
        <v>0</v>
      </c>
      <c r="P2819" s="295"/>
      <c r="R2819" s="348" t="str">
        <f t="shared" si="231"/>
        <v>DELETE</v>
      </c>
      <c r="S2819" s="331"/>
      <c r="T2819" s="331"/>
      <c r="U2819" s="331"/>
      <c r="V2819" s="331"/>
      <c r="W2819" s="331"/>
      <c r="X2819" s="331"/>
      <c r="Y2819" s="334"/>
      <c r="Z2819" s="334"/>
      <c r="AA2819" s="349"/>
      <c r="AB2819" s="365"/>
      <c r="AC2819" s="365"/>
      <c r="AD2819" s="365"/>
      <c r="AE2819" s="365"/>
      <c r="AF2819" s="365"/>
      <c r="AG2819" s="365"/>
      <c r="AH2819" s="365"/>
      <c r="AI2819" s="365"/>
      <c r="AJ2819" s="365"/>
      <c r="AK2819" s="365"/>
      <c r="AL2819" s="381"/>
      <c r="AM2819" s="381"/>
      <c r="AN2819" s="381"/>
      <c r="AO2819" s="381"/>
      <c r="AP2819" s="381"/>
      <c r="AQ2819" s="381"/>
    </row>
    <row r="2820" spans="3:43" s="345" customFormat="1" ht="36" customHeight="1" x14ac:dyDescent="0.45">
      <c r="C2820" s="397"/>
      <c r="D2820" s="434">
        <f>TrialBalanceC!C30</f>
        <v>0</v>
      </c>
      <c r="E2820" s="434"/>
      <c r="F2820" s="434"/>
      <c r="G2820" s="434"/>
      <c r="H2820" s="434"/>
      <c r="I2820" s="434"/>
      <c r="J2820" s="449"/>
      <c r="K2820" s="292"/>
      <c r="L2820" s="350"/>
      <c r="M2820" s="350"/>
      <c r="N2820" s="292"/>
      <c r="O2820" s="408">
        <f>-TrialBalanceC!I30</f>
        <v>0</v>
      </c>
      <c r="P2820" s="295"/>
      <c r="R2820" s="348" t="str">
        <f t="shared" si="231"/>
        <v>DELETE</v>
      </c>
      <c r="S2820" s="331"/>
      <c r="T2820" s="331"/>
      <c r="U2820" s="331"/>
      <c r="V2820" s="331"/>
      <c r="W2820" s="331"/>
      <c r="X2820" s="331"/>
      <c r="Y2820" s="334"/>
      <c r="Z2820" s="334"/>
      <c r="AA2820" s="349"/>
      <c r="AB2820" s="365"/>
      <c r="AC2820" s="365"/>
      <c r="AD2820" s="365"/>
      <c r="AE2820" s="365"/>
      <c r="AF2820" s="365"/>
      <c r="AG2820" s="365"/>
      <c r="AH2820" s="365"/>
      <c r="AI2820" s="365"/>
      <c r="AJ2820" s="365"/>
      <c r="AK2820" s="365"/>
      <c r="AL2820" s="381"/>
      <c r="AM2820" s="381"/>
      <c r="AN2820" s="381"/>
      <c r="AO2820" s="381"/>
      <c r="AP2820" s="381"/>
      <c r="AQ2820" s="381"/>
    </row>
    <row r="2821" spans="3:43" s="345" customFormat="1" ht="36" customHeight="1" x14ac:dyDescent="0.45">
      <c r="C2821" s="397"/>
      <c r="D2821" s="434">
        <f>TrialBalanceC!C31</f>
        <v>0</v>
      </c>
      <c r="E2821" s="434"/>
      <c r="F2821" s="434"/>
      <c r="G2821" s="434"/>
      <c r="H2821" s="434"/>
      <c r="I2821" s="434"/>
      <c r="J2821" s="449"/>
      <c r="K2821" s="292"/>
      <c r="L2821" s="350"/>
      <c r="M2821" s="350"/>
      <c r="N2821" s="292"/>
      <c r="O2821" s="408">
        <f>-TrialBalanceC!I31</f>
        <v>0</v>
      </c>
      <c r="P2821" s="295"/>
      <c r="R2821" s="348" t="str">
        <f t="shared" si="231"/>
        <v>DELETE</v>
      </c>
      <c r="S2821" s="331"/>
      <c r="T2821" s="331"/>
      <c r="U2821" s="331"/>
      <c r="V2821" s="331"/>
      <c r="W2821" s="331"/>
      <c r="X2821" s="331"/>
      <c r="Y2821" s="334"/>
      <c r="Z2821" s="334"/>
      <c r="AA2821" s="349"/>
      <c r="AB2821" s="365"/>
      <c r="AC2821" s="365"/>
      <c r="AD2821" s="365"/>
      <c r="AE2821" s="365"/>
      <c r="AF2821" s="365"/>
      <c r="AG2821" s="365"/>
      <c r="AH2821" s="365"/>
      <c r="AI2821" s="365"/>
      <c r="AJ2821" s="365"/>
      <c r="AK2821" s="365"/>
      <c r="AL2821" s="381"/>
      <c r="AM2821" s="381"/>
      <c r="AN2821" s="381"/>
      <c r="AO2821" s="381"/>
      <c r="AP2821" s="381"/>
      <c r="AQ2821" s="381"/>
    </row>
    <row r="2822" spans="3:43" s="345" customFormat="1" ht="36" customHeight="1" x14ac:dyDescent="0.45">
      <c r="C2822" s="397"/>
      <c r="D2822" s="434">
        <f>TrialBalanceC!C32</f>
        <v>0</v>
      </c>
      <c r="E2822" s="434"/>
      <c r="F2822" s="434"/>
      <c r="G2822" s="434"/>
      <c r="H2822" s="434"/>
      <c r="I2822" s="434"/>
      <c r="J2822" s="449"/>
      <c r="K2822" s="292"/>
      <c r="L2822" s="350"/>
      <c r="M2822" s="350"/>
      <c r="N2822" s="292"/>
      <c r="O2822" s="408">
        <f>-TrialBalanceC!I32</f>
        <v>0</v>
      </c>
      <c r="P2822" s="295"/>
      <c r="R2822" s="348" t="str">
        <f t="shared" si="231"/>
        <v>DELETE</v>
      </c>
      <c r="S2822" s="331"/>
      <c r="T2822" s="331"/>
      <c r="U2822" s="331"/>
      <c r="V2822" s="331"/>
      <c r="W2822" s="331"/>
      <c r="X2822" s="331"/>
      <c r="Y2822" s="334"/>
      <c r="Z2822" s="334"/>
      <c r="AA2822" s="349"/>
      <c r="AB2822" s="365"/>
      <c r="AC2822" s="365"/>
      <c r="AD2822" s="365"/>
      <c r="AE2822" s="365"/>
      <c r="AF2822" s="365"/>
      <c r="AG2822" s="365"/>
      <c r="AH2822" s="365"/>
      <c r="AI2822" s="365"/>
      <c r="AJ2822" s="365"/>
      <c r="AK2822" s="365"/>
      <c r="AL2822" s="381"/>
      <c r="AM2822" s="381"/>
      <c r="AN2822" s="381"/>
      <c r="AO2822" s="381"/>
      <c r="AP2822" s="381"/>
      <c r="AQ2822" s="381"/>
    </row>
    <row r="2823" spans="3:43" s="345" customFormat="1" ht="36" customHeight="1" x14ac:dyDescent="0.45">
      <c r="C2823" s="397"/>
      <c r="D2823" s="434" t="str">
        <f>TrialBalanceC!C33</f>
        <v>Recoupment of depreciation</v>
      </c>
      <c r="E2823" s="434"/>
      <c r="F2823" s="434"/>
      <c r="G2823" s="434"/>
      <c r="H2823" s="434"/>
      <c r="I2823" s="434"/>
      <c r="J2823" s="449"/>
      <c r="K2823" s="292"/>
      <c r="L2823" s="350"/>
      <c r="M2823" s="350"/>
      <c r="N2823" s="292"/>
      <c r="O2823" s="408">
        <f>-TrialBalanceC!I33</f>
        <v>0</v>
      </c>
      <c r="P2823" s="295"/>
      <c r="R2823" s="348" t="str">
        <f t="shared" ref="R2823" si="232">IF(R$2783="DELETE","DELETE",IF(O2823=0,"DELETE"," "))</f>
        <v>DELETE</v>
      </c>
      <c r="S2823" s="331"/>
      <c r="T2823" s="331"/>
      <c r="U2823" s="331"/>
      <c r="V2823" s="331"/>
      <c r="W2823" s="331"/>
      <c r="X2823" s="331"/>
      <c r="Y2823" s="334"/>
      <c r="Z2823" s="334"/>
      <c r="AA2823" s="349"/>
      <c r="AB2823" s="365"/>
      <c r="AC2823" s="365"/>
      <c r="AD2823" s="365"/>
      <c r="AE2823" s="365"/>
      <c r="AF2823" s="365"/>
      <c r="AG2823" s="365"/>
      <c r="AH2823" s="365"/>
      <c r="AI2823" s="365"/>
      <c r="AJ2823" s="365"/>
      <c r="AK2823" s="365"/>
      <c r="AL2823" s="381"/>
      <c r="AM2823" s="381"/>
      <c r="AN2823" s="381"/>
      <c r="AO2823" s="381"/>
      <c r="AP2823" s="381"/>
      <c r="AQ2823" s="381"/>
    </row>
    <row r="2824" spans="3:43" s="345" customFormat="1" ht="9" customHeight="1" x14ac:dyDescent="0.45">
      <c r="C2824" s="397"/>
      <c r="D2824" s="434"/>
      <c r="E2824" s="434"/>
      <c r="F2824" s="434"/>
      <c r="G2824" s="434"/>
      <c r="H2824" s="434"/>
      <c r="I2824" s="434"/>
      <c r="J2824" s="449"/>
      <c r="K2824" s="292"/>
      <c r="L2824" s="350"/>
      <c r="M2824" s="350"/>
      <c r="N2824" s="292"/>
      <c r="O2824" s="409"/>
      <c r="P2824" s="295"/>
      <c r="R2824" s="348" t="str">
        <f>R2815</f>
        <v>DELETE</v>
      </c>
      <c r="S2824" s="331"/>
      <c r="T2824" s="331"/>
      <c r="U2824" s="331"/>
      <c r="V2824" s="331"/>
      <c r="W2824" s="331"/>
      <c r="X2824" s="331"/>
      <c r="Y2824" s="334"/>
      <c r="Z2824" s="334"/>
      <c r="AA2824" s="349"/>
      <c r="AB2824" s="365"/>
      <c r="AC2824" s="365"/>
      <c r="AD2824" s="365"/>
      <c r="AE2824" s="365"/>
      <c r="AF2824" s="365"/>
      <c r="AG2824" s="365"/>
      <c r="AH2824" s="365"/>
      <c r="AI2824" s="365"/>
      <c r="AJ2824" s="365"/>
      <c r="AK2824" s="365"/>
      <c r="AL2824" s="381"/>
      <c r="AM2824" s="381"/>
      <c r="AN2824" s="381"/>
      <c r="AO2824" s="381"/>
      <c r="AP2824" s="381"/>
      <c r="AQ2824" s="381"/>
    </row>
    <row r="2825" spans="3:43" s="345" customFormat="1" ht="9" customHeight="1" x14ac:dyDescent="0.45">
      <c r="C2825" s="397"/>
      <c r="D2825" s="434"/>
      <c r="E2825" s="434"/>
      <c r="F2825" s="434"/>
      <c r="G2825" s="434"/>
      <c r="H2825" s="434"/>
      <c r="I2825" s="434"/>
      <c r="J2825" s="449"/>
      <c r="K2825" s="292"/>
      <c r="L2825" s="350"/>
      <c r="M2825" s="350"/>
      <c r="N2825" s="292"/>
      <c r="O2825" s="314"/>
      <c r="P2825" s="295"/>
      <c r="R2825" s="348" t="str">
        <f>R2824</f>
        <v>DELETE</v>
      </c>
      <c r="S2825" s="331"/>
      <c r="T2825" s="331"/>
      <c r="U2825" s="331"/>
      <c r="V2825" s="331"/>
      <c r="W2825" s="331"/>
      <c r="X2825" s="331"/>
      <c r="Y2825" s="334"/>
      <c r="Z2825" s="334"/>
      <c r="AA2825" s="349"/>
      <c r="AB2825" s="365"/>
      <c r="AC2825" s="365"/>
      <c r="AD2825" s="365"/>
      <c r="AE2825" s="365"/>
      <c r="AF2825" s="365"/>
      <c r="AG2825" s="365"/>
      <c r="AH2825" s="365"/>
      <c r="AI2825" s="365"/>
      <c r="AJ2825" s="365"/>
      <c r="AK2825" s="365"/>
      <c r="AL2825" s="381"/>
      <c r="AM2825" s="381"/>
      <c r="AN2825" s="381"/>
      <c r="AO2825" s="381"/>
      <c r="AP2825" s="381"/>
      <c r="AQ2825" s="381"/>
    </row>
    <row r="2826" spans="3:43" s="345" customFormat="1" ht="9" customHeight="1" x14ac:dyDescent="0.45">
      <c r="C2826" s="397"/>
      <c r="D2826" s="434"/>
      <c r="E2826" s="434"/>
      <c r="F2826" s="434"/>
      <c r="G2826" s="434"/>
      <c r="H2826" s="434"/>
      <c r="I2826" s="434"/>
      <c r="J2826" s="449"/>
      <c r="K2826" s="292"/>
      <c r="L2826" s="350"/>
      <c r="M2826" s="350"/>
      <c r="N2826" s="292"/>
      <c r="O2826" s="296"/>
      <c r="P2826" s="295"/>
      <c r="R2826" s="348" t="str">
        <f>R2825</f>
        <v>DELETE</v>
      </c>
      <c r="S2826" s="331"/>
      <c r="T2826" s="331"/>
      <c r="U2826" s="331"/>
      <c r="V2826" s="331"/>
      <c r="W2826" s="331"/>
      <c r="X2826" s="331"/>
      <c r="Y2826" s="334"/>
      <c r="Z2826" s="334"/>
      <c r="AA2826" s="349"/>
      <c r="AB2826" s="365"/>
      <c r="AC2826" s="365"/>
      <c r="AD2826" s="365"/>
      <c r="AE2826" s="365"/>
      <c r="AF2826" s="365"/>
      <c r="AG2826" s="365"/>
      <c r="AH2826" s="365"/>
      <c r="AI2826" s="365"/>
      <c r="AJ2826" s="365"/>
      <c r="AK2826" s="365"/>
      <c r="AL2826" s="381"/>
      <c r="AM2826" s="381"/>
      <c r="AN2826" s="381"/>
      <c r="AO2826" s="381"/>
      <c r="AP2826" s="381"/>
      <c r="AQ2826" s="381"/>
    </row>
    <row r="2827" spans="3:43" s="345" customFormat="1" ht="36" customHeight="1" x14ac:dyDescent="0.45">
      <c r="C2827" s="397"/>
      <c r="D2827" s="434"/>
      <c r="E2827" s="434"/>
      <c r="F2827" s="434"/>
      <c r="G2827" s="434"/>
      <c r="H2827" s="434"/>
      <c r="I2827" s="434"/>
      <c r="J2827" s="449"/>
      <c r="K2827" s="292"/>
      <c r="L2827" s="350"/>
      <c r="M2827" s="350"/>
      <c r="N2827" s="292"/>
      <c r="O2827" s="296">
        <f>SUM(S2795:S2815)</f>
        <v>0</v>
      </c>
      <c r="P2827" s="295"/>
      <c r="R2827" s="348" t="str">
        <f>R2815</f>
        <v>DELETE</v>
      </c>
      <c r="S2827" s="331"/>
      <c r="T2827" s="331"/>
      <c r="U2827" s="331"/>
      <c r="V2827" s="331"/>
      <c r="W2827" s="331"/>
      <c r="X2827" s="331"/>
      <c r="Y2827" s="334"/>
      <c r="Z2827" s="334"/>
      <c r="AA2827" s="349"/>
      <c r="AB2827" s="365"/>
      <c r="AC2827" s="365"/>
      <c r="AD2827" s="365"/>
      <c r="AE2827" s="365"/>
      <c r="AF2827" s="365"/>
      <c r="AG2827" s="365"/>
      <c r="AH2827" s="365"/>
      <c r="AI2827" s="365"/>
      <c r="AJ2827" s="365"/>
      <c r="AK2827" s="365"/>
      <c r="AL2827" s="381"/>
      <c r="AM2827" s="381"/>
      <c r="AN2827" s="381"/>
      <c r="AO2827" s="381"/>
      <c r="AP2827" s="381"/>
      <c r="AQ2827" s="381"/>
    </row>
    <row r="2828" spans="3:43" s="345" customFormat="1" ht="36" customHeight="1" x14ac:dyDescent="0.45">
      <c r="C2828" s="397"/>
      <c r="D2828" s="434"/>
      <c r="E2828" s="434"/>
      <c r="F2828" s="434"/>
      <c r="G2828" s="434"/>
      <c r="H2828" s="434"/>
      <c r="I2828" s="434"/>
      <c r="J2828" s="449"/>
      <c r="K2828" s="292"/>
      <c r="L2828" s="350"/>
      <c r="M2828" s="350"/>
      <c r="N2828" s="292"/>
      <c r="O2828" s="296"/>
      <c r="P2828" s="295"/>
      <c r="R2828" s="348" t="str">
        <f>R2827</f>
        <v>DELETE</v>
      </c>
      <c r="S2828" s="331"/>
      <c r="T2828" s="331"/>
      <c r="U2828" s="331"/>
      <c r="V2828" s="331"/>
      <c r="W2828" s="331"/>
      <c r="X2828" s="331"/>
      <c r="Y2828" s="334"/>
      <c r="Z2828" s="334"/>
      <c r="AA2828" s="349"/>
      <c r="AB2828" s="365"/>
      <c r="AC2828" s="365"/>
      <c r="AD2828" s="365"/>
      <c r="AE2828" s="365"/>
      <c r="AF2828" s="365"/>
      <c r="AG2828" s="365"/>
      <c r="AH2828" s="365"/>
      <c r="AI2828" s="365"/>
      <c r="AJ2828" s="365"/>
      <c r="AK2828" s="365"/>
      <c r="AL2828" s="381"/>
      <c r="AM2828" s="381"/>
      <c r="AN2828" s="381"/>
      <c r="AO2828" s="381"/>
      <c r="AP2828" s="381"/>
      <c r="AQ2828" s="381"/>
    </row>
    <row r="2829" spans="3:43" s="345" customFormat="1" ht="36" customHeight="1" x14ac:dyDescent="0.45">
      <c r="D2829" s="433" t="s">
        <v>1075</v>
      </c>
      <c r="E2829" s="434"/>
      <c r="F2829" s="434"/>
      <c r="G2829" s="434"/>
      <c r="H2829" s="434"/>
      <c r="I2829" s="434"/>
      <c r="J2829" s="449"/>
      <c r="K2829" s="292"/>
      <c r="L2829" s="350"/>
      <c r="M2829" s="350"/>
      <c r="N2829" s="292"/>
      <c r="O2829" s="296">
        <f>SUM(O2831:O2860)</f>
        <v>0</v>
      </c>
      <c r="P2829" s="295"/>
      <c r="R2829" s="348" t="str">
        <f t="shared" ref="R2829" si="233">IF(R$2783="DELETE","DELETE",IF(O2829=0,"DELETE"," "))</f>
        <v>DELETE</v>
      </c>
      <c r="S2829" s="333">
        <f>-O2829</f>
        <v>0</v>
      </c>
      <c r="T2829" s="333"/>
      <c r="U2829" s="333"/>
      <c r="V2829" s="333"/>
      <c r="W2829" s="331"/>
      <c r="X2829" s="331"/>
      <c r="Y2829" s="334"/>
      <c r="Z2829" s="334"/>
      <c r="AA2829" s="349"/>
      <c r="AB2829" s="365"/>
      <c r="AC2829" s="365"/>
      <c r="AD2829" s="365"/>
      <c r="AE2829" s="365"/>
      <c r="AF2829" s="365"/>
      <c r="AG2829" s="365"/>
      <c r="AH2829" s="365"/>
      <c r="AI2829" s="365"/>
      <c r="AJ2829" s="365"/>
      <c r="AK2829" s="365"/>
      <c r="AL2829" s="381"/>
      <c r="AM2829" s="381"/>
      <c r="AN2829" s="381"/>
      <c r="AO2829" s="381"/>
      <c r="AP2829" s="381"/>
      <c r="AQ2829" s="381"/>
    </row>
    <row r="2830" spans="3:43" s="345" customFormat="1" ht="9" customHeight="1" x14ac:dyDescent="0.45">
      <c r="C2830" s="397"/>
      <c r="D2830" s="434"/>
      <c r="E2830" s="434"/>
      <c r="F2830" s="434"/>
      <c r="G2830" s="434"/>
      <c r="H2830" s="434"/>
      <c r="I2830" s="434"/>
      <c r="J2830" s="449"/>
      <c r="K2830" s="292"/>
      <c r="L2830" s="350"/>
      <c r="M2830" s="350"/>
      <c r="N2830" s="292"/>
      <c r="O2830" s="296"/>
      <c r="P2830" s="295"/>
      <c r="R2830" s="348" t="str">
        <f>R2829</f>
        <v>DELETE</v>
      </c>
      <c r="S2830" s="331"/>
      <c r="T2830" s="331"/>
      <c r="U2830" s="331"/>
      <c r="V2830" s="331"/>
      <c r="W2830" s="331"/>
      <c r="X2830" s="331"/>
      <c r="Y2830" s="334"/>
      <c r="Z2830" s="334"/>
      <c r="AA2830" s="349"/>
      <c r="AB2830" s="365"/>
      <c r="AC2830" s="365"/>
      <c r="AD2830" s="365"/>
      <c r="AE2830" s="365"/>
      <c r="AF2830" s="365"/>
      <c r="AG2830" s="365"/>
      <c r="AH2830" s="365"/>
      <c r="AI2830" s="365"/>
      <c r="AJ2830" s="365"/>
      <c r="AK2830" s="365"/>
      <c r="AL2830" s="381"/>
      <c r="AM2830" s="381"/>
      <c r="AN2830" s="381"/>
      <c r="AO2830" s="381"/>
      <c r="AP2830" s="381"/>
      <c r="AQ2830" s="381"/>
    </row>
    <row r="2831" spans="3:43" s="345" customFormat="1" ht="9" customHeight="1" x14ac:dyDescent="0.45">
      <c r="C2831" s="397"/>
      <c r="D2831" s="434"/>
      <c r="E2831" s="434"/>
      <c r="F2831" s="434"/>
      <c r="G2831" s="434"/>
      <c r="H2831" s="434"/>
      <c r="I2831" s="434"/>
      <c r="J2831" s="449"/>
      <c r="K2831" s="292"/>
      <c r="L2831" s="350"/>
      <c r="M2831" s="350"/>
      <c r="N2831" s="292"/>
      <c r="O2831" s="407"/>
      <c r="P2831" s="295"/>
      <c r="R2831" s="348" t="str">
        <f>R2830</f>
        <v>DELETE</v>
      </c>
      <c r="S2831" s="331"/>
      <c r="T2831" s="331"/>
      <c r="U2831" s="331"/>
      <c r="V2831" s="331"/>
      <c r="W2831" s="331"/>
      <c r="X2831" s="331"/>
      <c r="Y2831" s="334"/>
      <c r="Z2831" s="334"/>
      <c r="AA2831" s="349"/>
      <c r="AB2831" s="365"/>
      <c r="AC2831" s="365"/>
      <c r="AD2831" s="365"/>
      <c r="AE2831" s="365"/>
      <c r="AF2831" s="365"/>
      <c r="AG2831" s="365"/>
      <c r="AH2831" s="365"/>
      <c r="AI2831" s="365"/>
      <c r="AJ2831" s="365"/>
      <c r="AK2831" s="365"/>
      <c r="AL2831" s="381"/>
      <c r="AM2831" s="381"/>
      <c r="AN2831" s="381"/>
      <c r="AO2831" s="381"/>
      <c r="AP2831" s="381"/>
      <c r="AQ2831" s="381"/>
    </row>
    <row r="2832" spans="3:43" s="345" customFormat="1" ht="36" customHeight="1" x14ac:dyDescent="0.45">
      <c r="C2832" s="397"/>
      <c r="D2832" s="434" t="s">
        <v>250</v>
      </c>
      <c r="E2832" s="434"/>
      <c r="F2832" s="434"/>
      <c r="G2832" s="434"/>
      <c r="H2832" s="434"/>
      <c r="I2832" s="434"/>
      <c r="J2832" s="449"/>
      <c r="K2832" s="292"/>
      <c r="L2832" s="350"/>
      <c r="M2832" s="350"/>
      <c r="N2832" s="292"/>
      <c r="O2832" s="408">
        <f>TrialBalanceC!I40</f>
        <v>0</v>
      </c>
      <c r="P2832" s="295"/>
      <c r="R2832" s="348" t="str">
        <f t="shared" ref="R2832:R2859" si="234">IF(R$2783="DELETE","DELETE",IF(O2832=0,"DELETE"," "))</f>
        <v>DELETE</v>
      </c>
      <c r="S2832" s="331"/>
      <c r="T2832" s="331"/>
      <c r="U2832" s="331"/>
      <c r="V2832" s="331"/>
      <c r="W2832" s="331"/>
      <c r="X2832" s="331"/>
      <c r="Y2832" s="334"/>
      <c r="Z2832" s="334"/>
      <c r="AA2832" s="349"/>
      <c r="AB2832" s="365"/>
      <c r="AC2832" s="365"/>
      <c r="AD2832" s="365"/>
      <c r="AE2832" s="365"/>
      <c r="AF2832" s="365"/>
      <c r="AG2832" s="365"/>
      <c r="AH2832" s="365"/>
      <c r="AI2832" s="365"/>
      <c r="AJ2832" s="365"/>
      <c r="AK2832" s="365"/>
      <c r="AL2832" s="381"/>
      <c r="AM2832" s="381"/>
      <c r="AN2832" s="381"/>
      <c r="AO2832" s="381"/>
      <c r="AP2832" s="381"/>
      <c r="AQ2832" s="381"/>
    </row>
    <row r="2833" spans="3:43" s="345" customFormat="1" ht="36" customHeight="1" x14ac:dyDescent="0.45">
      <c r="C2833" s="397"/>
      <c r="D2833" s="434" t="s">
        <v>658</v>
      </c>
      <c r="E2833" s="434"/>
      <c r="F2833" s="434"/>
      <c r="G2833" s="434"/>
      <c r="H2833" s="434"/>
      <c r="I2833" s="434"/>
      <c r="J2833" s="449"/>
      <c r="K2833" s="292"/>
      <c r="L2833" s="350"/>
      <c r="M2833" s="350"/>
      <c r="N2833" s="292"/>
      <c r="O2833" s="408">
        <f>TrialBalanceC!I41</f>
        <v>0</v>
      </c>
      <c r="P2833" s="295"/>
      <c r="R2833" s="348" t="str">
        <f t="shared" si="234"/>
        <v>DELETE</v>
      </c>
      <c r="S2833" s="331"/>
      <c r="T2833" s="331"/>
      <c r="U2833" s="331"/>
      <c r="V2833" s="331"/>
      <c r="W2833" s="331"/>
      <c r="X2833" s="331"/>
      <c r="Y2833" s="334"/>
      <c r="Z2833" s="334"/>
      <c r="AA2833" s="349"/>
      <c r="AB2833" s="365"/>
      <c r="AC2833" s="365"/>
      <c r="AD2833" s="365"/>
      <c r="AE2833" s="365"/>
      <c r="AF2833" s="365"/>
      <c r="AG2833" s="365"/>
      <c r="AH2833" s="365"/>
      <c r="AI2833" s="365"/>
      <c r="AJ2833" s="365"/>
      <c r="AK2833" s="365"/>
      <c r="AL2833" s="381"/>
      <c r="AM2833" s="381"/>
      <c r="AN2833" s="381"/>
      <c r="AO2833" s="381"/>
      <c r="AP2833" s="381"/>
      <c r="AQ2833" s="381"/>
    </row>
    <row r="2834" spans="3:43" s="345" customFormat="1" ht="36" customHeight="1" x14ac:dyDescent="0.45">
      <c r="C2834" s="397"/>
      <c r="D2834" s="434" t="s">
        <v>251</v>
      </c>
      <c r="E2834" s="434"/>
      <c r="F2834" s="434"/>
      <c r="G2834" s="434"/>
      <c r="H2834" s="434"/>
      <c r="I2834" s="434"/>
      <c r="J2834" s="449"/>
      <c r="K2834" s="292"/>
      <c r="L2834" s="350"/>
      <c r="M2834" s="350"/>
      <c r="N2834" s="292"/>
      <c r="O2834" s="408">
        <f>TrialBalanceC!I42</f>
        <v>0</v>
      </c>
      <c r="P2834" s="295"/>
      <c r="R2834" s="348" t="str">
        <f t="shared" si="234"/>
        <v>DELETE</v>
      </c>
      <c r="S2834" s="331"/>
      <c r="T2834" s="331"/>
      <c r="U2834" s="331"/>
      <c r="V2834" s="331"/>
      <c r="W2834" s="331"/>
      <c r="X2834" s="331"/>
      <c r="Y2834" s="334"/>
      <c r="Z2834" s="334"/>
      <c r="AA2834" s="349"/>
      <c r="AB2834" s="365"/>
      <c r="AC2834" s="365"/>
      <c r="AD2834" s="365"/>
      <c r="AE2834" s="365"/>
      <c r="AF2834" s="365"/>
      <c r="AG2834" s="365"/>
      <c r="AH2834" s="365"/>
      <c r="AI2834" s="365"/>
      <c r="AJ2834" s="365"/>
      <c r="AK2834" s="365"/>
      <c r="AL2834" s="381"/>
      <c r="AM2834" s="381"/>
      <c r="AN2834" s="381"/>
      <c r="AO2834" s="381"/>
      <c r="AP2834" s="381"/>
      <c r="AQ2834" s="381"/>
    </row>
    <row r="2835" spans="3:43" s="345" customFormat="1" ht="36" customHeight="1" x14ac:dyDescent="0.45">
      <c r="C2835" s="397"/>
      <c r="D2835" s="434" t="s">
        <v>252</v>
      </c>
      <c r="E2835" s="434"/>
      <c r="F2835" s="434"/>
      <c r="G2835" s="434"/>
      <c r="H2835" s="434"/>
      <c r="I2835" s="434"/>
      <c r="J2835" s="449"/>
      <c r="K2835" s="292">
        <f>B$958</f>
        <v>5</v>
      </c>
      <c r="L2835" s="350"/>
      <c r="M2835" s="350"/>
      <c r="N2835" s="292"/>
      <c r="O2835" s="408">
        <f>SUM(TrialBalanceC!I44:I46)</f>
        <v>0</v>
      </c>
      <c r="P2835" s="295"/>
      <c r="R2835" s="348" t="str">
        <f t="shared" si="234"/>
        <v>DELETE</v>
      </c>
      <c r="S2835" s="331"/>
      <c r="T2835" s="331"/>
      <c r="U2835" s="331"/>
      <c r="V2835" s="331"/>
      <c r="W2835" s="331"/>
      <c r="X2835" s="331"/>
      <c r="Y2835" s="334"/>
      <c r="Z2835" s="334"/>
      <c r="AA2835" s="349"/>
      <c r="AB2835" s="365"/>
      <c r="AC2835" s="365"/>
      <c r="AD2835" s="365"/>
      <c r="AE2835" s="365"/>
      <c r="AF2835" s="365"/>
      <c r="AG2835" s="365"/>
      <c r="AH2835" s="365"/>
      <c r="AI2835" s="365"/>
      <c r="AJ2835" s="365"/>
      <c r="AK2835" s="365"/>
      <c r="AL2835" s="381"/>
      <c r="AM2835" s="381"/>
      <c r="AN2835" s="381"/>
      <c r="AO2835" s="381"/>
      <c r="AP2835" s="381"/>
      <c r="AQ2835" s="381"/>
    </row>
    <row r="2836" spans="3:43" s="345" customFormat="1" ht="36" customHeight="1" x14ac:dyDescent="0.45">
      <c r="C2836" s="397"/>
      <c r="D2836" s="434" t="s">
        <v>494</v>
      </c>
      <c r="E2836" s="434"/>
      <c r="F2836" s="434"/>
      <c r="G2836" s="434"/>
      <c r="H2836" s="434"/>
      <c r="I2836" s="434"/>
      <c r="J2836" s="449"/>
      <c r="K2836" s="292"/>
      <c r="L2836" s="350"/>
      <c r="M2836" s="350"/>
      <c r="N2836" s="292"/>
      <c r="O2836" s="408">
        <f>TrialBalanceC!I47</f>
        <v>0</v>
      </c>
      <c r="P2836" s="295"/>
      <c r="R2836" s="348" t="str">
        <f t="shared" si="234"/>
        <v>DELETE</v>
      </c>
      <c r="S2836" s="336"/>
      <c r="T2836" s="336"/>
      <c r="U2836" s="336"/>
      <c r="V2836" s="336"/>
      <c r="W2836" s="331"/>
      <c r="X2836" s="331"/>
      <c r="Y2836" s="334"/>
      <c r="Z2836" s="334"/>
      <c r="AA2836" s="349"/>
      <c r="AB2836" s="365"/>
      <c r="AC2836" s="365"/>
      <c r="AD2836" s="365"/>
      <c r="AE2836" s="365"/>
      <c r="AF2836" s="365"/>
      <c r="AG2836" s="365"/>
      <c r="AH2836" s="365"/>
      <c r="AI2836" s="365"/>
      <c r="AJ2836" s="365"/>
      <c r="AK2836" s="365"/>
      <c r="AL2836" s="381"/>
      <c r="AM2836" s="381"/>
      <c r="AN2836" s="381"/>
      <c r="AO2836" s="381"/>
      <c r="AP2836" s="381"/>
      <c r="AQ2836" s="381"/>
    </row>
    <row r="2837" spans="3:43" s="345" customFormat="1" ht="36" customHeight="1" x14ac:dyDescent="0.45">
      <c r="C2837" s="397"/>
      <c r="D2837" s="434" t="s">
        <v>678</v>
      </c>
      <c r="E2837" s="434"/>
      <c r="F2837" s="434"/>
      <c r="G2837" s="434"/>
      <c r="H2837" s="434"/>
      <c r="I2837" s="434"/>
      <c r="J2837" s="449"/>
      <c r="K2837" s="292"/>
      <c r="L2837" s="350"/>
      <c r="M2837" s="350"/>
      <c r="N2837" s="292"/>
      <c r="O2837" s="408">
        <f>TrialBalanceC!I48</f>
        <v>0</v>
      </c>
      <c r="P2837" s="295"/>
      <c r="R2837" s="348" t="str">
        <f t="shared" si="234"/>
        <v>DELETE</v>
      </c>
      <c r="S2837" s="331"/>
      <c r="T2837" s="331"/>
      <c r="U2837" s="331"/>
      <c r="V2837" s="331"/>
      <c r="W2837" s="331"/>
      <c r="X2837" s="331"/>
      <c r="Y2837" s="334"/>
      <c r="Z2837" s="334"/>
      <c r="AA2837" s="349"/>
      <c r="AB2837" s="365"/>
      <c r="AC2837" s="365"/>
      <c r="AD2837" s="365"/>
      <c r="AE2837" s="365"/>
      <c r="AF2837" s="365"/>
      <c r="AG2837" s="365"/>
      <c r="AH2837" s="365"/>
      <c r="AI2837" s="365"/>
      <c r="AJ2837" s="365"/>
      <c r="AK2837" s="365"/>
      <c r="AL2837" s="381"/>
      <c r="AM2837" s="381"/>
      <c r="AN2837" s="381"/>
      <c r="AO2837" s="381"/>
      <c r="AP2837" s="381"/>
      <c r="AQ2837" s="381"/>
    </row>
    <row r="2838" spans="3:43" s="345" customFormat="1" ht="36" customHeight="1" x14ac:dyDescent="0.45">
      <c r="C2838" s="397"/>
      <c r="D2838" s="434" t="s">
        <v>54</v>
      </c>
      <c r="E2838" s="434"/>
      <c r="F2838" s="434"/>
      <c r="G2838" s="434"/>
      <c r="H2838" s="434"/>
      <c r="I2838" s="434"/>
      <c r="J2838" s="449"/>
      <c r="K2838" s="292"/>
      <c r="L2838" s="350"/>
      <c r="M2838" s="350"/>
      <c r="N2838" s="292"/>
      <c r="O2838" s="408">
        <f>TrialBalanceC!I49</f>
        <v>0</v>
      </c>
      <c r="P2838" s="295"/>
      <c r="R2838" s="348" t="str">
        <f t="shared" si="234"/>
        <v>DELETE</v>
      </c>
      <c r="S2838" s="331"/>
      <c r="T2838" s="331"/>
      <c r="U2838" s="331"/>
      <c r="V2838" s="331"/>
      <c r="W2838" s="331"/>
      <c r="X2838" s="331"/>
      <c r="Y2838" s="334"/>
      <c r="Z2838" s="334"/>
      <c r="AA2838" s="349"/>
      <c r="AB2838" s="365"/>
      <c r="AC2838" s="365"/>
      <c r="AD2838" s="365"/>
      <c r="AE2838" s="365"/>
      <c r="AF2838" s="365"/>
      <c r="AG2838" s="365"/>
      <c r="AH2838" s="365"/>
      <c r="AI2838" s="365"/>
      <c r="AJ2838" s="365"/>
      <c r="AK2838" s="365"/>
      <c r="AL2838" s="381"/>
      <c r="AM2838" s="381"/>
      <c r="AN2838" s="381"/>
      <c r="AO2838" s="381"/>
      <c r="AP2838" s="381"/>
      <c r="AQ2838" s="381"/>
    </row>
    <row r="2839" spans="3:43" s="345" customFormat="1" ht="36" customHeight="1" x14ac:dyDescent="0.45">
      <c r="C2839" s="397"/>
      <c r="D2839" s="434" t="s">
        <v>253</v>
      </c>
      <c r="E2839" s="434"/>
      <c r="F2839" s="434"/>
      <c r="G2839" s="434"/>
      <c r="H2839" s="434"/>
      <c r="I2839" s="434"/>
      <c r="J2839" s="449"/>
      <c r="K2839" s="292"/>
      <c r="L2839" s="350"/>
      <c r="M2839" s="350"/>
      <c r="N2839" s="292"/>
      <c r="O2839" s="408">
        <f>TrialBalanceC!I50</f>
        <v>0</v>
      </c>
      <c r="P2839" s="295"/>
      <c r="R2839" s="348" t="str">
        <f t="shared" si="234"/>
        <v>DELETE</v>
      </c>
      <c r="S2839" s="331"/>
      <c r="T2839" s="331"/>
      <c r="U2839" s="331"/>
      <c r="V2839" s="331"/>
      <c r="W2839" s="331"/>
      <c r="X2839" s="331"/>
      <c r="Y2839" s="334"/>
      <c r="Z2839" s="334"/>
      <c r="AA2839" s="349"/>
      <c r="AB2839" s="365"/>
      <c r="AC2839" s="365"/>
      <c r="AD2839" s="365"/>
      <c r="AE2839" s="365"/>
      <c r="AF2839" s="365"/>
      <c r="AG2839" s="365"/>
      <c r="AH2839" s="365"/>
      <c r="AI2839" s="365"/>
      <c r="AJ2839" s="365"/>
      <c r="AK2839" s="365"/>
      <c r="AL2839" s="381"/>
      <c r="AM2839" s="381"/>
      <c r="AN2839" s="381"/>
      <c r="AO2839" s="381"/>
      <c r="AP2839" s="381"/>
      <c r="AQ2839" s="381"/>
    </row>
    <row r="2840" spans="3:43" s="345" customFormat="1" ht="36" customHeight="1" x14ac:dyDescent="0.45">
      <c r="C2840" s="397"/>
      <c r="D2840" s="434" t="s">
        <v>511</v>
      </c>
      <c r="E2840" s="434"/>
      <c r="F2840" s="434"/>
      <c r="G2840" s="434"/>
      <c r="H2840" s="434"/>
      <c r="I2840" s="434"/>
      <c r="J2840" s="449"/>
      <c r="K2840" s="292"/>
      <c r="L2840" s="350"/>
      <c r="M2840" s="350"/>
      <c r="N2840" s="292"/>
      <c r="O2840" s="408">
        <f>SUM(TrialBalanceC!I51:I52)</f>
        <v>0</v>
      </c>
      <c r="P2840" s="295"/>
      <c r="R2840" s="348" t="str">
        <f t="shared" si="234"/>
        <v>DELETE</v>
      </c>
      <c r="S2840" s="331"/>
      <c r="T2840" s="331"/>
      <c r="U2840" s="331"/>
      <c r="V2840" s="331"/>
      <c r="W2840" s="331"/>
      <c r="X2840" s="331"/>
      <c r="Y2840" s="334"/>
      <c r="Z2840" s="334"/>
      <c r="AA2840" s="349"/>
      <c r="AB2840" s="365"/>
      <c r="AC2840" s="365"/>
      <c r="AD2840" s="365"/>
      <c r="AE2840" s="365"/>
      <c r="AF2840" s="365"/>
      <c r="AG2840" s="365"/>
      <c r="AH2840" s="365"/>
      <c r="AI2840" s="365"/>
      <c r="AJ2840" s="365"/>
      <c r="AK2840" s="365"/>
      <c r="AL2840" s="381"/>
      <c r="AM2840" s="381"/>
      <c r="AN2840" s="381"/>
      <c r="AO2840" s="381"/>
      <c r="AP2840" s="381"/>
      <c r="AQ2840" s="381"/>
    </row>
    <row r="2841" spans="3:43" s="345" customFormat="1" ht="36" customHeight="1" x14ac:dyDescent="0.45">
      <c r="C2841" s="397"/>
      <c r="D2841" s="434" t="s">
        <v>510</v>
      </c>
      <c r="E2841" s="434"/>
      <c r="F2841" s="434"/>
      <c r="G2841" s="434"/>
      <c r="H2841" s="434"/>
      <c r="I2841" s="434"/>
      <c r="J2841" s="449"/>
      <c r="K2841" s="292"/>
      <c r="L2841" s="350"/>
      <c r="M2841" s="350"/>
      <c r="N2841" s="292"/>
      <c r="O2841" s="408">
        <f>TrialBalanceC!I53</f>
        <v>0</v>
      </c>
      <c r="P2841" s="295"/>
      <c r="R2841" s="348" t="str">
        <f t="shared" si="234"/>
        <v>DELETE</v>
      </c>
      <c r="S2841" s="331"/>
      <c r="T2841" s="331"/>
      <c r="U2841" s="331"/>
      <c r="V2841" s="331"/>
      <c r="W2841" s="331"/>
      <c r="X2841" s="331"/>
      <c r="Y2841" s="334"/>
      <c r="Z2841" s="334"/>
      <c r="AA2841" s="349"/>
      <c r="AB2841" s="365"/>
      <c r="AC2841" s="365"/>
      <c r="AD2841" s="365"/>
      <c r="AE2841" s="365"/>
      <c r="AF2841" s="365"/>
      <c r="AG2841" s="365"/>
      <c r="AH2841" s="365"/>
      <c r="AI2841" s="365"/>
      <c r="AJ2841" s="365"/>
      <c r="AK2841" s="365"/>
      <c r="AL2841" s="381"/>
      <c r="AM2841" s="381"/>
      <c r="AN2841" s="381"/>
      <c r="AO2841" s="381"/>
      <c r="AP2841" s="381"/>
      <c r="AQ2841" s="381"/>
    </row>
    <row r="2842" spans="3:43" s="345" customFormat="1" ht="36" customHeight="1" x14ac:dyDescent="0.45">
      <c r="C2842" s="397"/>
      <c r="D2842" s="434" t="s">
        <v>495</v>
      </c>
      <c r="E2842" s="434"/>
      <c r="F2842" s="434"/>
      <c r="G2842" s="434"/>
      <c r="H2842" s="434"/>
      <c r="I2842" s="434"/>
      <c r="J2842" s="449"/>
      <c r="K2842" s="292"/>
      <c r="L2842" s="350"/>
      <c r="M2842" s="350"/>
      <c r="N2842" s="292"/>
      <c r="O2842" s="408">
        <f>SUM(TrialBalanceC!I55:I59)</f>
        <v>0</v>
      </c>
      <c r="P2842" s="295"/>
      <c r="R2842" s="348" t="str">
        <f t="shared" si="234"/>
        <v>DELETE</v>
      </c>
      <c r="S2842" s="331"/>
      <c r="T2842" s="331"/>
      <c r="U2842" s="331"/>
      <c r="V2842" s="331"/>
      <c r="W2842" s="331"/>
      <c r="X2842" s="331"/>
      <c r="Y2842" s="334"/>
      <c r="Z2842" s="334"/>
      <c r="AA2842" s="349"/>
      <c r="AB2842" s="365"/>
      <c r="AC2842" s="365"/>
      <c r="AD2842" s="365"/>
      <c r="AE2842" s="365"/>
      <c r="AF2842" s="365"/>
      <c r="AG2842" s="365"/>
      <c r="AH2842" s="365"/>
      <c r="AI2842" s="365"/>
      <c r="AJ2842" s="365"/>
      <c r="AK2842" s="365"/>
      <c r="AL2842" s="381"/>
      <c r="AM2842" s="381"/>
      <c r="AN2842" s="381"/>
      <c r="AO2842" s="381"/>
      <c r="AP2842" s="381"/>
      <c r="AQ2842" s="381"/>
    </row>
    <row r="2843" spans="3:43" s="345" customFormat="1" ht="36" customHeight="1" x14ac:dyDescent="0.45">
      <c r="C2843" s="397"/>
      <c r="D2843" s="434" t="s">
        <v>479</v>
      </c>
      <c r="E2843" s="434"/>
      <c r="F2843" s="434"/>
      <c r="G2843" s="434"/>
      <c r="H2843" s="434"/>
      <c r="I2843" s="434"/>
      <c r="J2843" s="449"/>
      <c r="K2843" s="292">
        <f>B$958</f>
        <v>5</v>
      </c>
      <c r="L2843" s="350"/>
      <c r="M2843" s="350"/>
      <c r="N2843" s="292"/>
      <c r="O2843" s="408">
        <f>SUM(TrialBalanceC!I61:I63)</f>
        <v>0</v>
      </c>
      <c r="P2843" s="295"/>
      <c r="R2843" s="348" t="str">
        <f t="shared" si="234"/>
        <v>DELETE</v>
      </c>
      <c r="S2843" s="331"/>
      <c r="T2843" s="331"/>
      <c r="U2843" s="331"/>
      <c r="V2843" s="331"/>
      <c r="W2843" s="331"/>
      <c r="X2843" s="331"/>
      <c r="Y2843" s="334"/>
      <c r="Z2843" s="334"/>
      <c r="AA2843" s="349"/>
      <c r="AB2843" s="365"/>
      <c r="AC2843" s="365"/>
      <c r="AD2843" s="365"/>
      <c r="AE2843" s="365"/>
      <c r="AF2843" s="365"/>
      <c r="AG2843" s="365"/>
      <c r="AH2843" s="365"/>
      <c r="AI2843" s="365"/>
      <c r="AJ2843" s="365"/>
      <c r="AK2843" s="365"/>
      <c r="AL2843" s="381"/>
      <c r="AM2843" s="381"/>
      <c r="AN2843" s="381"/>
      <c r="AO2843" s="381"/>
      <c r="AP2843" s="381"/>
      <c r="AQ2843" s="381"/>
    </row>
    <row r="2844" spans="3:43" s="345" customFormat="1" ht="36" customHeight="1" x14ac:dyDescent="0.45">
      <c r="C2844" s="397"/>
      <c r="D2844" s="434" t="s">
        <v>57</v>
      </c>
      <c r="E2844" s="434"/>
      <c r="F2844" s="434"/>
      <c r="G2844" s="434"/>
      <c r="H2844" s="434"/>
      <c r="I2844" s="434"/>
      <c r="J2844" s="449"/>
      <c r="K2844" s="292"/>
      <c r="L2844" s="350"/>
      <c r="M2844" s="350"/>
      <c r="N2844" s="292"/>
      <c r="O2844" s="408">
        <f>TrialBalanceC!I64</f>
        <v>0</v>
      </c>
      <c r="P2844" s="295"/>
      <c r="R2844" s="348" t="str">
        <f t="shared" si="234"/>
        <v>DELETE</v>
      </c>
      <c r="S2844" s="331"/>
      <c r="T2844" s="331"/>
      <c r="U2844" s="331"/>
      <c r="V2844" s="331"/>
      <c r="W2844" s="331"/>
      <c r="X2844" s="331"/>
      <c r="Y2844" s="334"/>
      <c r="Z2844" s="334"/>
      <c r="AA2844" s="349"/>
      <c r="AB2844" s="365"/>
      <c r="AC2844" s="365"/>
      <c r="AD2844" s="365"/>
      <c r="AE2844" s="365"/>
      <c r="AF2844" s="365"/>
      <c r="AG2844" s="365"/>
      <c r="AH2844" s="365"/>
      <c r="AI2844" s="365"/>
      <c r="AJ2844" s="365"/>
      <c r="AK2844" s="365"/>
      <c r="AL2844" s="381"/>
      <c r="AM2844" s="381"/>
      <c r="AN2844" s="381"/>
      <c r="AO2844" s="381"/>
      <c r="AP2844" s="381"/>
      <c r="AQ2844" s="381"/>
    </row>
    <row r="2845" spans="3:43" s="345" customFormat="1" ht="36" customHeight="1" x14ac:dyDescent="0.45">
      <c r="C2845" s="397"/>
      <c r="D2845" s="434" t="s">
        <v>1210</v>
      </c>
      <c r="E2845" s="434"/>
      <c r="F2845" s="434"/>
      <c r="G2845" s="434"/>
      <c r="H2845" s="434"/>
      <c r="I2845" s="434"/>
      <c r="J2845" s="449"/>
      <c r="K2845" s="292"/>
      <c r="L2845" s="350"/>
      <c r="M2845" s="350"/>
      <c r="N2845" s="292"/>
      <c r="O2845" s="408">
        <f>TrialBalanceC!I65</f>
        <v>0</v>
      </c>
      <c r="P2845" s="295"/>
      <c r="R2845" s="348" t="str">
        <f>IF(R$2783="DELETE","DELETE",IF(O2845=0,"DELETE"," "))</f>
        <v>DELETE</v>
      </c>
      <c r="S2845" s="331"/>
      <c r="T2845" s="331"/>
      <c r="U2845" s="331"/>
      <c r="V2845" s="331"/>
      <c r="W2845" s="331"/>
      <c r="X2845" s="331"/>
      <c r="Y2845" s="334"/>
      <c r="Z2845" s="334"/>
      <c r="AA2845" s="349"/>
      <c r="AB2845" s="365"/>
      <c r="AC2845" s="365"/>
      <c r="AD2845" s="365"/>
      <c r="AE2845" s="365"/>
      <c r="AF2845" s="365"/>
      <c r="AG2845" s="365"/>
      <c r="AH2845" s="365"/>
      <c r="AI2845" s="365"/>
      <c r="AJ2845" s="365"/>
      <c r="AK2845" s="365"/>
      <c r="AL2845" s="381"/>
      <c r="AM2845" s="381"/>
      <c r="AN2845" s="381"/>
      <c r="AO2845" s="381"/>
      <c r="AP2845" s="381"/>
      <c r="AQ2845" s="381"/>
    </row>
    <row r="2846" spans="3:43" s="345" customFormat="1" ht="36" customHeight="1" x14ac:dyDescent="0.45">
      <c r="C2846" s="397"/>
      <c r="D2846" s="434" t="s">
        <v>235</v>
      </c>
      <c r="E2846" s="434"/>
      <c r="F2846" s="434"/>
      <c r="G2846" s="434"/>
      <c r="H2846" s="434"/>
      <c r="I2846" s="434"/>
      <c r="J2846" s="449"/>
      <c r="K2846" s="292"/>
      <c r="L2846" s="350"/>
      <c r="M2846" s="350"/>
      <c r="N2846" s="292"/>
      <c r="O2846" s="408">
        <f>SUM(TrialBalanceC!I66:I68)</f>
        <v>0</v>
      </c>
      <c r="P2846" s="295"/>
      <c r="R2846" s="348" t="str">
        <f t="shared" si="234"/>
        <v>DELETE</v>
      </c>
      <c r="S2846" s="331"/>
      <c r="T2846" s="331"/>
      <c r="U2846" s="331"/>
      <c r="V2846" s="331"/>
      <c r="W2846" s="331"/>
      <c r="X2846" s="331"/>
      <c r="Y2846" s="334"/>
      <c r="Z2846" s="334"/>
      <c r="AA2846" s="349"/>
      <c r="AB2846" s="365"/>
      <c r="AC2846" s="365"/>
      <c r="AD2846" s="365"/>
      <c r="AE2846" s="365"/>
      <c r="AF2846" s="365"/>
      <c r="AG2846" s="365"/>
      <c r="AH2846" s="365"/>
      <c r="AI2846" s="365"/>
      <c r="AJ2846" s="365"/>
      <c r="AK2846" s="365"/>
      <c r="AL2846" s="381"/>
      <c r="AM2846" s="381"/>
      <c r="AN2846" s="381"/>
      <c r="AO2846" s="381"/>
      <c r="AP2846" s="381"/>
      <c r="AQ2846" s="381"/>
    </row>
    <row r="2847" spans="3:43" s="345" customFormat="1" ht="36" customHeight="1" x14ac:dyDescent="0.45">
      <c r="C2847" s="397"/>
      <c r="D2847" s="434" t="s">
        <v>679</v>
      </c>
      <c r="E2847" s="434"/>
      <c r="F2847" s="434"/>
      <c r="G2847" s="434"/>
      <c r="H2847" s="434"/>
      <c r="I2847" s="434"/>
      <c r="J2847" s="449"/>
      <c r="K2847" s="292"/>
      <c r="L2847" s="350"/>
      <c r="M2847" s="350"/>
      <c r="N2847" s="292"/>
      <c r="O2847" s="408">
        <f>SUM(TrialBalanceC!I69:I70)</f>
        <v>0</v>
      </c>
      <c r="P2847" s="295"/>
      <c r="R2847" s="348" t="str">
        <f t="shared" si="234"/>
        <v>DELETE</v>
      </c>
      <c r="S2847" s="331"/>
      <c r="T2847" s="331"/>
      <c r="U2847" s="331"/>
      <c r="V2847" s="331"/>
      <c r="W2847" s="331"/>
      <c r="X2847" s="331"/>
      <c r="Y2847" s="334"/>
      <c r="Z2847" s="334"/>
      <c r="AA2847" s="349"/>
      <c r="AB2847" s="365"/>
      <c r="AC2847" s="365"/>
      <c r="AD2847" s="365"/>
      <c r="AE2847" s="365"/>
      <c r="AF2847" s="365"/>
      <c r="AG2847" s="365"/>
      <c r="AH2847" s="365"/>
      <c r="AI2847" s="365"/>
      <c r="AJ2847" s="365"/>
      <c r="AK2847" s="365"/>
      <c r="AL2847" s="381"/>
      <c r="AM2847" s="381"/>
      <c r="AN2847" s="381"/>
      <c r="AO2847" s="381"/>
      <c r="AP2847" s="381"/>
      <c r="AQ2847" s="381"/>
    </row>
    <row r="2848" spans="3:43" s="345" customFormat="1" ht="36" customHeight="1" x14ac:dyDescent="0.45">
      <c r="C2848" s="397"/>
      <c r="D2848" s="434" t="s">
        <v>236</v>
      </c>
      <c r="E2848" s="434"/>
      <c r="F2848" s="434"/>
      <c r="G2848" s="434"/>
      <c r="H2848" s="434"/>
      <c r="I2848" s="434"/>
      <c r="J2848" s="449"/>
      <c r="K2848" s="292"/>
      <c r="L2848" s="350"/>
      <c r="M2848" s="350"/>
      <c r="N2848" s="292"/>
      <c r="O2848" s="408">
        <f>TrialBalanceC!I71</f>
        <v>0</v>
      </c>
      <c r="P2848" s="295"/>
      <c r="R2848" s="348" t="str">
        <f t="shared" si="234"/>
        <v>DELETE</v>
      </c>
      <c r="S2848" s="331"/>
      <c r="T2848" s="331"/>
      <c r="U2848" s="331"/>
      <c r="V2848" s="331"/>
      <c r="W2848" s="331"/>
      <c r="X2848" s="331"/>
      <c r="Y2848" s="334"/>
      <c r="Z2848" s="334"/>
      <c r="AA2848" s="349"/>
      <c r="AB2848" s="365"/>
      <c r="AC2848" s="365"/>
      <c r="AD2848" s="365"/>
      <c r="AE2848" s="365"/>
      <c r="AF2848" s="365"/>
      <c r="AG2848" s="365"/>
      <c r="AH2848" s="365"/>
      <c r="AI2848" s="365"/>
      <c r="AJ2848" s="365"/>
      <c r="AK2848" s="365"/>
      <c r="AL2848" s="381"/>
      <c r="AM2848" s="381"/>
      <c r="AN2848" s="381"/>
      <c r="AO2848" s="381"/>
      <c r="AP2848" s="381"/>
      <c r="AQ2848" s="381"/>
    </row>
    <row r="2849" spans="3:43" s="345" customFormat="1" ht="36" customHeight="1" x14ac:dyDescent="0.45">
      <c r="C2849" s="397"/>
      <c r="D2849" s="434" t="s">
        <v>361</v>
      </c>
      <c r="E2849" s="434"/>
      <c r="F2849" s="434"/>
      <c r="G2849" s="434"/>
      <c r="H2849" s="434"/>
      <c r="I2849" s="434"/>
      <c r="J2849" s="449"/>
      <c r="K2849" s="292"/>
      <c r="L2849" s="350"/>
      <c r="M2849" s="350"/>
      <c r="N2849" s="292"/>
      <c r="O2849" s="408">
        <f>TrialBalanceC!I72</f>
        <v>0</v>
      </c>
      <c r="P2849" s="295"/>
      <c r="R2849" s="348" t="str">
        <f t="shared" si="234"/>
        <v>DELETE</v>
      </c>
      <c r="S2849" s="331"/>
      <c r="T2849" s="331"/>
      <c r="U2849" s="331"/>
      <c r="V2849" s="331"/>
      <c r="W2849" s="331"/>
      <c r="X2849" s="331"/>
      <c r="Y2849" s="334"/>
      <c r="Z2849" s="334"/>
      <c r="AA2849" s="349"/>
      <c r="AB2849" s="365"/>
      <c r="AC2849" s="365"/>
      <c r="AD2849" s="365"/>
      <c r="AE2849" s="365"/>
      <c r="AF2849" s="365"/>
      <c r="AG2849" s="365"/>
      <c r="AH2849" s="365"/>
      <c r="AI2849" s="365"/>
      <c r="AJ2849" s="365"/>
      <c r="AK2849" s="365"/>
      <c r="AL2849" s="381"/>
      <c r="AM2849" s="381"/>
      <c r="AN2849" s="381"/>
      <c r="AO2849" s="381"/>
      <c r="AP2849" s="381"/>
      <c r="AQ2849" s="381"/>
    </row>
    <row r="2850" spans="3:43" s="345" customFormat="1" ht="36" customHeight="1" x14ac:dyDescent="0.45">
      <c r="C2850" s="397"/>
      <c r="D2850" s="434">
        <f>TrialBalanceC!C73</f>
        <v>0</v>
      </c>
      <c r="E2850" s="434"/>
      <c r="F2850" s="434"/>
      <c r="G2850" s="434"/>
      <c r="H2850" s="434"/>
      <c r="I2850" s="434"/>
      <c r="J2850" s="449"/>
      <c r="K2850" s="292"/>
      <c r="L2850" s="350"/>
      <c r="M2850" s="350"/>
      <c r="N2850" s="292"/>
      <c r="O2850" s="408">
        <f>TrialBalanceC!I73</f>
        <v>0</v>
      </c>
      <c r="P2850" s="295"/>
      <c r="R2850" s="348" t="str">
        <f t="shared" si="234"/>
        <v>DELETE</v>
      </c>
      <c r="S2850" s="331"/>
      <c r="T2850" s="331"/>
      <c r="U2850" s="331"/>
      <c r="V2850" s="331"/>
      <c r="W2850" s="331"/>
      <c r="X2850" s="331"/>
      <c r="Y2850" s="334"/>
      <c r="Z2850" s="334"/>
      <c r="AA2850" s="349"/>
      <c r="AB2850" s="365"/>
      <c r="AC2850" s="365"/>
      <c r="AD2850" s="365"/>
      <c r="AE2850" s="365"/>
      <c r="AF2850" s="365"/>
      <c r="AG2850" s="365"/>
      <c r="AH2850" s="365"/>
      <c r="AI2850" s="365"/>
      <c r="AJ2850" s="365"/>
      <c r="AK2850" s="365"/>
      <c r="AL2850" s="381"/>
      <c r="AM2850" s="381"/>
      <c r="AN2850" s="381"/>
      <c r="AO2850" s="381"/>
      <c r="AP2850" s="381"/>
      <c r="AQ2850" s="381"/>
    </row>
    <row r="2851" spans="3:43" s="345" customFormat="1" ht="36" customHeight="1" x14ac:dyDescent="0.45">
      <c r="C2851" s="397"/>
      <c r="D2851" s="434">
        <f>TrialBalanceC!C74</f>
        <v>0</v>
      </c>
      <c r="E2851" s="434"/>
      <c r="F2851" s="434"/>
      <c r="G2851" s="434"/>
      <c r="H2851" s="434"/>
      <c r="I2851" s="434"/>
      <c r="J2851" s="449"/>
      <c r="K2851" s="292"/>
      <c r="L2851" s="350"/>
      <c r="M2851" s="350"/>
      <c r="N2851" s="292"/>
      <c r="O2851" s="408">
        <f>TrialBalanceC!I74</f>
        <v>0</v>
      </c>
      <c r="P2851" s="295"/>
      <c r="R2851" s="348" t="str">
        <f t="shared" si="234"/>
        <v>DELETE</v>
      </c>
      <c r="S2851" s="331"/>
      <c r="T2851" s="331"/>
      <c r="U2851" s="331"/>
      <c r="V2851" s="331"/>
      <c r="W2851" s="331"/>
      <c r="X2851" s="331"/>
      <c r="Y2851" s="334"/>
      <c r="Z2851" s="334"/>
      <c r="AA2851" s="349"/>
      <c r="AB2851" s="365"/>
      <c r="AC2851" s="365"/>
      <c r="AD2851" s="365"/>
      <c r="AE2851" s="365"/>
      <c r="AF2851" s="365"/>
      <c r="AG2851" s="365"/>
      <c r="AH2851" s="365"/>
      <c r="AI2851" s="365"/>
      <c r="AJ2851" s="365"/>
      <c r="AK2851" s="365"/>
      <c r="AL2851" s="381"/>
      <c r="AM2851" s="381"/>
      <c r="AN2851" s="381"/>
      <c r="AO2851" s="381"/>
      <c r="AP2851" s="381"/>
      <c r="AQ2851" s="381"/>
    </row>
    <row r="2852" spans="3:43" s="345" customFormat="1" ht="36" customHeight="1" x14ac:dyDescent="0.45">
      <c r="C2852" s="397"/>
      <c r="D2852" s="434">
        <f>TrialBalanceC!C75</f>
        <v>0</v>
      </c>
      <c r="E2852" s="434"/>
      <c r="F2852" s="434"/>
      <c r="G2852" s="434"/>
      <c r="H2852" s="434"/>
      <c r="I2852" s="434"/>
      <c r="J2852" s="449"/>
      <c r="K2852" s="292"/>
      <c r="L2852" s="350"/>
      <c r="M2852" s="350"/>
      <c r="N2852" s="292"/>
      <c r="O2852" s="408">
        <f>TrialBalanceC!I75</f>
        <v>0</v>
      </c>
      <c r="P2852" s="295"/>
      <c r="R2852" s="348" t="str">
        <f t="shared" si="234"/>
        <v>DELETE</v>
      </c>
      <c r="S2852" s="331"/>
      <c r="T2852" s="331"/>
      <c r="U2852" s="331"/>
      <c r="V2852" s="331"/>
      <c r="W2852" s="331"/>
      <c r="X2852" s="331"/>
      <c r="Y2852" s="334"/>
      <c r="Z2852" s="334"/>
      <c r="AA2852" s="349"/>
      <c r="AB2852" s="365"/>
      <c r="AC2852" s="365"/>
      <c r="AD2852" s="365"/>
      <c r="AE2852" s="365"/>
      <c r="AF2852" s="365"/>
      <c r="AG2852" s="365"/>
      <c r="AH2852" s="365"/>
      <c r="AI2852" s="365"/>
      <c r="AJ2852" s="365"/>
      <c r="AK2852" s="365"/>
      <c r="AL2852" s="381"/>
      <c r="AM2852" s="381"/>
      <c r="AN2852" s="381"/>
      <c r="AO2852" s="381"/>
      <c r="AP2852" s="381"/>
      <c r="AQ2852" s="381"/>
    </row>
    <row r="2853" spans="3:43" s="345" customFormat="1" ht="36" customHeight="1" x14ac:dyDescent="0.45">
      <c r="C2853" s="397"/>
      <c r="D2853" s="434">
        <f>TrialBalanceC!C76</f>
        <v>0</v>
      </c>
      <c r="E2853" s="434"/>
      <c r="F2853" s="434"/>
      <c r="G2853" s="434"/>
      <c r="H2853" s="434"/>
      <c r="I2853" s="434"/>
      <c r="J2853" s="449"/>
      <c r="K2853" s="292"/>
      <c r="L2853" s="350"/>
      <c r="M2853" s="350"/>
      <c r="N2853" s="292"/>
      <c r="O2853" s="408">
        <f>TrialBalanceC!I76</f>
        <v>0</v>
      </c>
      <c r="P2853" s="295"/>
      <c r="R2853" s="348" t="str">
        <f t="shared" si="234"/>
        <v>DELETE</v>
      </c>
      <c r="S2853" s="331"/>
      <c r="T2853" s="331"/>
      <c r="U2853" s="331"/>
      <c r="V2853" s="331"/>
      <c r="W2853" s="331"/>
      <c r="X2853" s="331"/>
      <c r="Y2853" s="334"/>
      <c r="Z2853" s="334"/>
      <c r="AA2853" s="349"/>
      <c r="AB2853" s="365"/>
      <c r="AC2853" s="365"/>
      <c r="AD2853" s="365"/>
      <c r="AE2853" s="365"/>
      <c r="AF2853" s="365"/>
      <c r="AG2853" s="365"/>
      <c r="AH2853" s="365"/>
      <c r="AI2853" s="365"/>
      <c r="AJ2853" s="365"/>
      <c r="AK2853" s="365"/>
      <c r="AL2853" s="381"/>
      <c r="AM2853" s="381"/>
      <c r="AN2853" s="381"/>
      <c r="AO2853" s="381"/>
      <c r="AP2853" s="381"/>
      <c r="AQ2853" s="381"/>
    </row>
    <row r="2854" spans="3:43" s="345" customFormat="1" ht="36" customHeight="1" x14ac:dyDescent="0.45">
      <c r="C2854" s="397"/>
      <c r="D2854" s="434">
        <f>TrialBalanceC!C77</f>
        <v>0</v>
      </c>
      <c r="E2854" s="434"/>
      <c r="F2854" s="434"/>
      <c r="G2854" s="434"/>
      <c r="H2854" s="434"/>
      <c r="I2854" s="434"/>
      <c r="J2854" s="449"/>
      <c r="K2854" s="292"/>
      <c r="L2854" s="350"/>
      <c r="M2854" s="350"/>
      <c r="N2854" s="292"/>
      <c r="O2854" s="408">
        <f>TrialBalanceC!I77</f>
        <v>0</v>
      </c>
      <c r="P2854" s="295"/>
      <c r="R2854" s="348" t="str">
        <f t="shared" si="234"/>
        <v>DELETE</v>
      </c>
      <c r="S2854" s="331"/>
      <c r="T2854" s="331"/>
      <c r="U2854" s="331"/>
      <c r="V2854" s="331"/>
      <c r="W2854" s="331"/>
      <c r="X2854" s="331"/>
      <c r="Y2854" s="334"/>
      <c r="Z2854" s="334"/>
      <c r="AA2854" s="349"/>
      <c r="AB2854" s="365"/>
      <c r="AC2854" s="365"/>
      <c r="AD2854" s="365"/>
      <c r="AE2854" s="365"/>
      <c r="AF2854" s="365"/>
      <c r="AG2854" s="365"/>
      <c r="AH2854" s="365"/>
      <c r="AI2854" s="365"/>
      <c r="AJ2854" s="365"/>
      <c r="AK2854" s="365"/>
      <c r="AL2854" s="381"/>
      <c r="AM2854" s="381"/>
      <c r="AN2854" s="381"/>
      <c r="AO2854" s="381"/>
      <c r="AP2854" s="381"/>
      <c r="AQ2854" s="381"/>
    </row>
    <row r="2855" spans="3:43" s="345" customFormat="1" ht="36" customHeight="1" x14ac:dyDescent="0.45">
      <c r="C2855" s="397"/>
      <c r="D2855" s="434">
        <f>TrialBalanceC!C78</f>
        <v>0</v>
      </c>
      <c r="E2855" s="434"/>
      <c r="F2855" s="434"/>
      <c r="G2855" s="434"/>
      <c r="H2855" s="434"/>
      <c r="I2855" s="434"/>
      <c r="J2855" s="449"/>
      <c r="K2855" s="292"/>
      <c r="L2855" s="350"/>
      <c r="M2855" s="350"/>
      <c r="N2855" s="292"/>
      <c r="O2855" s="408">
        <f>TrialBalanceC!I78</f>
        <v>0</v>
      </c>
      <c r="P2855" s="295"/>
      <c r="R2855" s="348" t="str">
        <f t="shared" si="234"/>
        <v>DELETE</v>
      </c>
      <c r="S2855" s="331"/>
      <c r="T2855" s="331"/>
      <c r="U2855" s="331"/>
      <c r="V2855" s="331"/>
      <c r="W2855" s="331"/>
      <c r="X2855" s="331"/>
      <c r="Y2855" s="334"/>
      <c r="Z2855" s="334"/>
      <c r="AA2855" s="349"/>
      <c r="AB2855" s="365"/>
      <c r="AC2855" s="365"/>
      <c r="AD2855" s="365"/>
      <c r="AE2855" s="365"/>
      <c r="AF2855" s="365"/>
      <c r="AG2855" s="365"/>
      <c r="AH2855" s="365"/>
      <c r="AI2855" s="365"/>
      <c r="AJ2855" s="365"/>
      <c r="AK2855" s="365"/>
      <c r="AL2855" s="381"/>
      <c r="AM2855" s="381"/>
      <c r="AN2855" s="381"/>
      <c r="AO2855" s="381"/>
      <c r="AP2855" s="381"/>
      <c r="AQ2855" s="381"/>
    </row>
    <row r="2856" spans="3:43" s="345" customFormat="1" ht="36" customHeight="1" x14ac:dyDescent="0.45">
      <c r="C2856" s="397"/>
      <c r="D2856" s="434">
        <f>TrialBalanceC!C79</f>
        <v>0</v>
      </c>
      <c r="E2856" s="434"/>
      <c r="F2856" s="434"/>
      <c r="G2856" s="434"/>
      <c r="H2856" s="434"/>
      <c r="I2856" s="434"/>
      <c r="J2856" s="449"/>
      <c r="K2856" s="292"/>
      <c r="L2856" s="350"/>
      <c r="M2856" s="350"/>
      <c r="N2856" s="292"/>
      <c r="O2856" s="408">
        <f>TrialBalanceC!I79</f>
        <v>0</v>
      </c>
      <c r="P2856" s="295"/>
      <c r="R2856" s="348" t="str">
        <f t="shared" si="234"/>
        <v>DELETE</v>
      </c>
      <c r="S2856" s="331"/>
      <c r="T2856" s="331"/>
      <c r="U2856" s="331"/>
      <c r="V2856" s="331"/>
      <c r="W2856" s="331"/>
      <c r="X2856" s="331"/>
      <c r="Y2856" s="334"/>
      <c r="Z2856" s="334"/>
      <c r="AA2856" s="349"/>
      <c r="AB2856" s="365"/>
      <c r="AC2856" s="365"/>
      <c r="AD2856" s="365"/>
      <c r="AE2856" s="365"/>
      <c r="AF2856" s="365"/>
      <c r="AG2856" s="365"/>
      <c r="AH2856" s="365"/>
      <c r="AI2856" s="365"/>
      <c r="AJ2856" s="365"/>
      <c r="AK2856" s="365"/>
      <c r="AL2856" s="381"/>
      <c r="AM2856" s="381"/>
      <c r="AN2856" s="381"/>
      <c r="AO2856" s="381"/>
      <c r="AP2856" s="381"/>
      <c r="AQ2856" s="381"/>
    </row>
    <row r="2857" spans="3:43" s="345" customFormat="1" ht="36" customHeight="1" x14ac:dyDescent="0.45">
      <c r="C2857" s="397"/>
      <c r="D2857" s="434">
        <f>TrialBalanceC!C80</f>
        <v>0</v>
      </c>
      <c r="E2857" s="434"/>
      <c r="F2857" s="434"/>
      <c r="G2857" s="434"/>
      <c r="H2857" s="434"/>
      <c r="I2857" s="434"/>
      <c r="J2857" s="449"/>
      <c r="K2857" s="292"/>
      <c r="L2857" s="350"/>
      <c r="M2857" s="350"/>
      <c r="N2857" s="292"/>
      <c r="O2857" s="408">
        <f>TrialBalanceC!I80</f>
        <v>0</v>
      </c>
      <c r="P2857" s="295"/>
      <c r="R2857" s="348" t="str">
        <f t="shared" si="234"/>
        <v>DELETE</v>
      </c>
      <c r="S2857" s="331"/>
      <c r="T2857" s="331"/>
      <c r="U2857" s="331"/>
      <c r="V2857" s="331"/>
      <c r="W2857" s="331"/>
      <c r="X2857" s="331"/>
      <c r="Y2857" s="334"/>
      <c r="Z2857" s="334"/>
      <c r="AA2857" s="349"/>
      <c r="AB2857" s="365"/>
      <c r="AC2857" s="365"/>
      <c r="AD2857" s="365"/>
      <c r="AE2857" s="365"/>
      <c r="AF2857" s="365"/>
      <c r="AG2857" s="365"/>
      <c r="AH2857" s="365"/>
      <c r="AI2857" s="365"/>
      <c r="AJ2857" s="365"/>
      <c r="AK2857" s="365"/>
      <c r="AL2857" s="381"/>
      <c r="AM2857" s="381"/>
      <c r="AN2857" s="381"/>
      <c r="AO2857" s="381"/>
      <c r="AP2857" s="381"/>
      <c r="AQ2857" s="381"/>
    </row>
    <row r="2858" spans="3:43" s="345" customFormat="1" ht="36" customHeight="1" x14ac:dyDescent="0.45">
      <c r="C2858" s="397"/>
      <c r="D2858" s="434">
        <f>TrialBalanceC!C81</f>
        <v>0</v>
      </c>
      <c r="E2858" s="434"/>
      <c r="F2858" s="434"/>
      <c r="G2858" s="434"/>
      <c r="H2858" s="434"/>
      <c r="I2858" s="434"/>
      <c r="J2858" s="449"/>
      <c r="K2858" s="292"/>
      <c r="L2858" s="350"/>
      <c r="M2858" s="350"/>
      <c r="N2858" s="292"/>
      <c r="O2858" s="408">
        <f>TrialBalanceC!I81</f>
        <v>0</v>
      </c>
      <c r="P2858" s="295"/>
      <c r="R2858" s="348" t="str">
        <f t="shared" si="234"/>
        <v>DELETE</v>
      </c>
      <c r="S2858" s="331"/>
      <c r="T2858" s="331"/>
      <c r="U2858" s="331"/>
      <c r="V2858" s="331"/>
      <c r="W2858" s="331"/>
      <c r="X2858" s="331"/>
      <c r="Y2858" s="334"/>
      <c r="Z2858" s="334"/>
      <c r="AA2858" s="349"/>
      <c r="AB2858" s="365"/>
      <c r="AC2858" s="365"/>
      <c r="AD2858" s="365"/>
      <c r="AE2858" s="365"/>
      <c r="AF2858" s="365"/>
      <c r="AG2858" s="365"/>
      <c r="AH2858" s="365"/>
      <c r="AI2858" s="365"/>
      <c r="AJ2858" s="365"/>
      <c r="AK2858" s="365"/>
      <c r="AL2858" s="381"/>
      <c r="AM2858" s="381"/>
      <c r="AN2858" s="381"/>
      <c r="AO2858" s="381"/>
      <c r="AP2858" s="381"/>
      <c r="AQ2858" s="381"/>
    </row>
    <row r="2859" spans="3:43" s="345" customFormat="1" ht="36" customHeight="1" x14ac:dyDescent="0.45">
      <c r="C2859" s="397"/>
      <c r="D2859" s="434">
        <f>TrialBalanceC!C82</f>
        <v>0</v>
      </c>
      <c r="E2859" s="434"/>
      <c r="F2859" s="434"/>
      <c r="G2859" s="434"/>
      <c r="H2859" s="434"/>
      <c r="I2859" s="434"/>
      <c r="J2859" s="449"/>
      <c r="K2859" s="292"/>
      <c r="L2859" s="350"/>
      <c r="M2859" s="350"/>
      <c r="N2859" s="292"/>
      <c r="O2859" s="408">
        <f>TrialBalanceC!I82</f>
        <v>0</v>
      </c>
      <c r="P2859" s="295"/>
      <c r="R2859" s="348" t="str">
        <f t="shared" si="234"/>
        <v>DELETE</v>
      </c>
      <c r="S2859" s="331"/>
      <c r="T2859" s="331"/>
      <c r="U2859" s="331"/>
      <c r="V2859" s="331"/>
      <c r="W2859" s="331"/>
      <c r="X2859" s="331"/>
      <c r="Y2859" s="334"/>
      <c r="Z2859" s="334"/>
      <c r="AA2859" s="349"/>
      <c r="AB2859" s="365"/>
      <c r="AC2859" s="365"/>
      <c r="AD2859" s="365"/>
      <c r="AE2859" s="365"/>
      <c r="AF2859" s="365"/>
      <c r="AG2859" s="365"/>
      <c r="AH2859" s="365"/>
      <c r="AI2859" s="365"/>
      <c r="AJ2859" s="365"/>
      <c r="AK2859" s="365"/>
      <c r="AL2859" s="381"/>
      <c r="AM2859" s="381"/>
      <c r="AN2859" s="381"/>
      <c r="AO2859" s="381"/>
      <c r="AP2859" s="381"/>
      <c r="AQ2859" s="381"/>
    </row>
    <row r="2860" spans="3:43" s="345" customFormat="1" ht="9" customHeight="1" x14ac:dyDescent="0.45">
      <c r="C2860" s="397"/>
      <c r="D2860" s="434"/>
      <c r="E2860" s="434"/>
      <c r="F2860" s="434"/>
      <c r="G2860" s="434"/>
      <c r="H2860" s="434"/>
      <c r="I2860" s="434"/>
      <c r="J2860" s="449"/>
      <c r="K2860" s="292"/>
      <c r="L2860" s="350"/>
      <c r="M2860" s="350"/>
      <c r="N2860" s="292"/>
      <c r="O2860" s="409"/>
      <c r="P2860" s="295"/>
      <c r="R2860" s="348" t="str">
        <f>R2829</f>
        <v>DELETE</v>
      </c>
      <c r="S2860" s="331"/>
      <c r="T2860" s="331"/>
      <c r="U2860" s="331"/>
      <c r="V2860" s="331"/>
      <c r="W2860" s="331"/>
      <c r="X2860" s="331"/>
      <c r="Y2860" s="334"/>
      <c r="Z2860" s="334"/>
      <c r="AA2860" s="349"/>
      <c r="AB2860" s="365"/>
      <c r="AC2860" s="365"/>
      <c r="AD2860" s="365"/>
      <c r="AE2860" s="365"/>
      <c r="AF2860" s="365"/>
      <c r="AG2860" s="365"/>
      <c r="AH2860" s="365"/>
      <c r="AI2860" s="365"/>
      <c r="AJ2860" s="365"/>
      <c r="AK2860" s="365"/>
      <c r="AL2860" s="381"/>
      <c r="AM2860" s="381"/>
      <c r="AN2860" s="381"/>
      <c r="AO2860" s="381"/>
      <c r="AP2860" s="381"/>
      <c r="AQ2860" s="381"/>
    </row>
    <row r="2861" spans="3:43" s="345" customFormat="1" ht="9" customHeight="1" x14ac:dyDescent="0.45">
      <c r="C2861" s="397"/>
      <c r="D2861" s="434"/>
      <c r="E2861" s="434"/>
      <c r="F2861" s="434"/>
      <c r="G2861" s="434"/>
      <c r="H2861" s="434"/>
      <c r="I2861" s="434"/>
      <c r="J2861" s="449"/>
      <c r="K2861" s="292"/>
      <c r="L2861" s="350"/>
      <c r="M2861" s="350"/>
      <c r="N2861" s="292"/>
      <c r="O2861" s="298"/>
      <c r="P2861" s="295"/>
      <c r="R2861" s="348" t="str">
        <f t="shared" ref="R2861:R2881" si="235">R$2783</f>
        <v>DELETE</v>
      </c>
      <c r="S2861" s="331"/>
      <c r="T2861" s="331"/>
      <c r="U2861" s="331"/>
      <c r="V2861" s="331"/>
      <c r="W2861" s="331"/>
      <c r="X2861" s="331"/>
      <c r="Y2861" s="334"/>
      <c r="Z2861" s="334"/>
      <c r="AA2861" s="349"/>
      <c r="AB2861" s="365"/>
      <c r="AC2861" s="365"/>
      <c r="AD2861" s="365"/>
      <c r="AE2861" s="365"/>
      <c r="AF2861" s="365"/>
      <c r="AG2861" s="365"/>
      <c r="AH2861" s="365"/>
      <c r="AI2861" s="365"/>
      <c r="AJ2861" s="365"/>
      <c r="AK2861" s="365"/>
      <c r="AL2861" s="381"/>
      <c r="AM2861" s="381"/>
      <c r="AN2861" s="381"/>
      <c r="AO2861" s="381"/>
      <c r="AP2861" s="381"/>
      <c r="AQ2861" s="381"/>
    </row>
    <row r="2862" spans="3:43" s="345" customFormat="1" ht="9" customHeight="1" x14ac:dyDescent="0.45">
      <c r="C2862" s="397"/>
      <c r="D2862" s="434"/>
      <c r="E2862" s="434"/>
      <c r="F2862" s="434"/>
      <c r="G2862" s="434"/>
      <c r="H2862" s="434"/>
      <c r="I2862" s="434"/>
      <c r="J2862" s="449"/>
      <c r="K2862" s="292"/>
      <c r="L2862" s="350"/>
      <c r="M2862" s="350"/>
      <c r="N2862" s="292"/>
      <c r="O2862" s="296"/>
      <c r="P2862" s="295"/>
      <c r="R2862" s="348" t="str">
        <f t="shared" si="235"/>
        <v>DELETE</v>
      </c>
      <c r="S2862" s="331"/>
      <c r="T2862" s="331"/>
      <c r="U2862" s="331"/>
      <c r="V2862" s="331"/>
      <c r="W2862" s="331"/>
      <c r="X2862" s="331"/>
      <c r="Y2862" s="334"/>
      <c r="Z2862" s="334"/>
      <c r="AA2862" s="349"/>
      <c r="AB2862" s="365"/>
      <c r="AC2862" s="365"/>
      <c r="AD2862" s="365"/>
      <c r="AE2862" s="365"/>
      <c r="AF2862" s="365"/>
      <c r="AG2862" s="365"/>
      <c r="AH2862" s="365"/>
      <c r="AI2862" s="365"/>
      <c r="AJ2862" s="365"/>
      <c r="AK2862" s="365"/>
      <c r="AL2862" s="381"/>
      <c r="AM2862" s="381"/>
      <c r="AN2862" s="381"/>
      <c r="AO2862" s="381"/>
      <c r="AP2862" s="381"/>
      <c r="AQ2862" s="381"/>
    </row>
    <row r="2863" spans="3:43" s="345" customFormat="1" ht="36" customHeight="1" x14ac:dyDescent="0.45">
      <c r="D2863" s="446" t="str">
        <f>IF(O2863&lt;0,"Operating loss","Operating profit")</f>
        <v>Operating profit</v>
      </c>
      <c r="E2863" s="434"/>
      <c r="F2863" s="434"/>
      <c r="G2863" s="434"/>
      <c r="H2863" s="434"/>
      <c r="I2863" s="434"/>
      <c r="J2863" s="449"/>
      <c r="K2863" s="292"/>
      <c r="L2863" s="350"/>
      <c r="M2863" s="350"/>
      <c r="N2863" s="292"/>
      <c r="O2863" s="296">
        <f>SUM(S2795:S2861)</f>
        <v>0</v>
      </c>
      <c r="P2863" s="295"/>
      <c r="R2863" s="348" t="str">
        <f t="shared" si="235"/>
        <v>DELETE</v>
      </c>
      <c r="S2863" s="331"/>
      <c r="T2863" s="331"/>
      <c r="U2863" s="331"/>
      <c r="V2863" s="331"/>
      <c r="W2863" s="331"/>
      <c r="X2863" s="331"/>
      <c r="Y2863" s="334"/>
      <c r="Z2863" s="334"/>
      <c r="AA2863" s="349"/>
      <c r="AB2863" s="365"/>
      <c r="AC2863" s="365"/>
      <c r="AD2863" s="365"/>
      <c r="AE2863" s="365"/>
      <c r="AF2863" s="365"/>
      <c r="AG2863" s="365"/>
      <c r="AH2863" s="365"/>
      <c r="AI2863" s="365"/>
      <c r="AJ2863" s="365"/>
      <c r="AK2863" s="365"/>
      <c r="AL2863" s="381"/>
      <c r="AM2863" s="381"/>
      <c r="AN2863" s="381"/>
      <c r="AO2863" s="381"/>
      <c r="AP2863" s="381"/>
      <c r="AQ2863" s="381"/>
    </row>
    <row r="2864" spans="3:43" s="345" customFormat="1" ht="36" customHeight="1" x14ac:dyDescent="0.45">
      <c r="C2864" s="397"/>
      <c r="D2864" s="434"/>
      <c r="E2864" s="434" t="s">
        <v>238</v>
      </c>
      <c r="F2864" s="434"/>
      <c r="G2864" s="434"/>
      <c r="H2864" s="434"/>
      <c r="I2864" s="434"/>
      <c r="J2864" s="449"/>
      <c r="K2864" s="292"/>
      <c r="L2864" s="350"/>
      <c r="M2864" s="350"/>
      <c r="N2864" s="292"/>
      <c r="O2864" s="296"/>
      <c r="P2864" s="295"/>
      <c r="R2864" s="348" t="str">
        <f t="shared" si="235"/>
        <v>DELETE</v>
      </c>
      <c r="S2864" s="331"/>
      <c r="T2864" s="331"/>
      <c r="U2864" s="331"/>
      <c r="V2864" s="331"/>
      <c r="W2864" s="331"/>
      <c r="X2864" s="331"/>
      <c r="Y2864" s="334"/>
      <c r="Z2864" s="334"/>
      <c r="AA2864" s="349"/>
      <c r="AB2864" s="365"/>
      <c r="AC2864" s="365"/>
      <c r="AD2864" s="365"/>
      <c r="AE2864" s="365"/>
      <c r="AF2864" s="365"/>
      <c r="AG2864" s="365"/>
      <c r="AH2864" s="365"/>
      <c r="AI2864" s="365"/>
      <c r="AJ2864" s="365"/>
      <c r="AK2864" s="365"/>
      <c r="AL2864" s="381"/>
      <c r="AM2864" s="381"/>
      <c r="AN2864" s="381"/>
      <c r="AO2864" s="381"/>
      <c r="AP2864" s="381"/>
      <c r="AQ2864" s="381"/>
    </row>
    <row r="2865" spans="3:43" s="345" customFormat="1" ht="36" customHeight="1" x14ac:dyDescent="0.45">
      <c r="C2865" s="397"/>
      <c r="D2865" s="434"/>
      <c r="E2865" s="434"/>
      <c r="F2865" s="434"/>
      <c r="G2865" s="434"/>
      <c r="H2865" s="434"/>
      <c r="I2865" s="434"/>
      <c r="J2865" s="449"/>
      <c r="K2865" s="292"/>
      <c r="L2865" s="292"/>
      <c r="M2865" s="296"/>
      <c r="N2865" s="296"/>
      <c r="O2865" s="296"/>
      <c r="P2865" s="295"/>
      <c r="R2865" s="348" t="str">
        <f t="shared" si="235"/>
        <v>DELETE</v>
      </c>
      <c r="S2865" s="331"/>
      <c r="T2865" s="331"/>
      <c r="U2865" s="331"/>
      <c r="V2865" s="331"/>
      <c r="W2865" s="331"/>
      <c r="X2865" s="331"/>
      <c r="Y2865" s="334"/>
      <c r="Z2865" s="334"/>
      <c r="AA2865" s="349"/>
      <c r="AB2865" s="365"/>
      <c r="AC2865" s="365"/>
      <c r="AD2865" s="365"/>
      <c r="AE2865" s="365"/>
      <c r="AF2865" s="365"/>
      <c r="AG2865" s="365"/>
      <c r="AH2865" s="365"/>
      <c r="AI2865" s="365"/>
      <c r="AJ2865" s="365"/>
      <c r="AK2865" s="365"/>
      <c r="AL2865" s="381"/>
      <c r="AM2865" s="381"/>
      <c r="AN2865" s="381"/>
      <c r="AO2865" s="381"/>
      <c r="AP2865" s="381"/>
      <c r="AQ2865" s="381"/>
    </row>
    <row r="2866" spans="3:43" s="345" customFormat="1" ht="36" customHeight="1" x14ac:dyDescent="0.45">
      <c r="C2866" s="397"/>
      <c r="D2866" s="434"/>
      <c r="E2866" s="434"/>
      <c r="F2866" s="434"/>
      <c r="G2866" s="434"/>
      <c r="H2866" s="434"/>
      <c r="I2866" s="434"/>
      <c r="J2866" s="449"/>
      <c r="K2866" s="292"/>
      <c r="L2866" s="292"/>
      <c r="M2866" s="296"/>
      <c r="N2866" s="296"/>
      <c r="O2866" s="296"/>
      <c r="P2866" s="295"/>
      <c r="R2866" s="348" t="str">
        <f t="shared" si="235"/>
        <v>DELETE</v>
      </c>
      <c r="S2866" s="331"/>
      <c r="T2866" s="331"/>
      <c r="U2866" s="331"/>
      <c r="V2866" s="331"/>
      <c r="W2866" s="331"/>
      <c r="X2866" s="331"/>
      <c r="Y2866" s="334"/>
      <c r="Z2866" s="334"/>
      <c r="AA2866" s="349"/>
      <c r="AB2866" s="365"/>
      <c r="AC2866" s="365"/>
      <c r="AD2866" s="365"/>
      <c r="AE2866" s="365"/>
      <c r="AF2866" s="365"/>
      <c r="AG2866" s="365"/>
      <c r="AH2866" s="365"/>
      <c r="AI2866" s="365"/>
      <c r="AJ2866" s="365"/>
      <c r="AK2866" s="365"/>
      <c r="AL2866" s="381"/>
      <c r="AM2866" s="381"/>
      <c r="AN2866" s="381"/>
      <c r="AO2866" s="381"/>
      <c r="AP2866" s="381"/>
      <c r="AQ2866" s="381"/>
    </row>
    <row r="2867" spans="3:43" s="345" customFormat="1" ht="36" customHeight="1" x14ac:dyDescent="0.45">
      <c r="C2867" s="397"/>
      <c r="D2867" s="434"/>
      <c r="E2867" s="434"/>
      <c r="F2867" s="434"/>
      <c r="G2867" s="434"/>
      <c r="H2867" s="434"/>
      <c r="I2867" s="434"/>
      <c r="J2867" s="449"/>
      <c r="K2867" s="292"/>
      <c r="L2867" s="292"/>
      <c r="M2867" s="310"/>
      <c r="N2867" s="310"/>
      <c r="O2867" s="310"/>
      <c r="P2867" s="330"/>
      <c r="R2867" s="348" t="str">
        <f t="shared" si="235"/>
        <v>DELETE</v>
      </c>
      <c r="S2867" s="331"/>
      <c r="T2867" s="331"/>
      <c r="U2867" s="331"/>
      <c r="V2867" s="331"/>
      <c r="W2867" s="331"/>
      <c r="X2867" s="331"/>
      <c r="Y2867" s="334"/>
      <c r="Z2867" s="334"/>
      <c r="AA2867" s="349"/>
      <c r="AB2867" s="365"/>
      <c r="AC2867" s="365"/>
      <c r="AD2867" s="365"/>
      <c r="AE2867" s="365"/>
      <c r="AF2867" s="365"/>
      <c r="AG2867" s="365"/>
      <c r="AH2867" s="365"/>
      <c r="AI2867" s="365"/>
      <c r="AJ2867" s="365"/>
      <c r="AK2867" s="365"/>
      <c r="AL2867" s="381"/>
      <c r="AM2867" s="381"/>
      <c r="AN2867" s="381"/>
      <c r="AO2867" s="381"/>
      <c r="AP2867" s="381"/>
      <c r="AQ2867" s="381"/>
    </row>
    <row r="2868" spans="3:43" s="345" customFormat="1" ht="36" customHeight="1" x14ac:dyDescent="0.45">
      <c r="C2868" s="397"/>
      <c r="D2868" s="434"/>
      <c r="E2868" s="434"/>
      <c r="F2868" s="434"/>
      <c r="G2868" s="434"/>
      <c r="H2868" s="434"/>
      <c r="I2868" s="434"/>
      <c r="J2868" s="449"/>
      <c r="K2868" s="292"/>
      <c r="L2868" s="292"/>
      <c r="M2868" s="296"/>
      <c r="N2868" s="296"/>
      <c r="O2868" s="296"/>
      <c r="P2868" s="295"/>
      <c r="R2868" s="348" t="str">
        <f t="shared" si="235"/>
        <v>DELETE</v>
      </c>
      <c r="S2868" s="331"/>
      <c r="T2868" s="331"/>
      <c r="U2868" s="331"/>
      <c r="V2868" s="331"/>
      <c r="W2868" s="331"/>
      <c r="X2868" s="331"/>
      <c r="Y2868" s="334"/>
      <c r="Z2868" s="334"/>
      <c r="AA2868" s="349"/>
      <c r="AB2868" s="365"/>
      <c r="AC2868" s="365"/>
      <c r="AD2868" s="365"/>
      <c r="AE2868" s="365"/>
      <c r="AF2868" s="365"/>
      <c r="AG2868" s="365"/>
      <c r="AH2868" s="365"/>
      <c r="AI2868" s="365"/>
      <c r="AJ2868" s="365"/>
      <c r="AK2868" s="365"/>
      <c r="AL2868" s="381"/>
      <c r="AM2868" s="381"/>
      <c r="AN2868" s="381"/>
      <c r="AO2868" s="381"/>
      <c r="AP2868" s="381"/>
      <c r="AQ2868" s="381"/>
    </row>
    <row r="2869" spans="3:43" s="345" customFormat="1" ht="36" customHeight="1" x14ac:dyDescent="0.45">
      <c r="C2869" s="397"/>
      <c r="D2869" s="434"/>
      <c r="E2869" s="434"/>
      <c r="F2869" s="434"/>
      <c r="G2869" s="434"/>
      <c r="H2869" s="434"/>
      <c r="I2869" s="434"/>
      <c r="J2869" s="449"/>
      <c r="K2869" s="292"/>
      <c r="L2869" s="292"/>
      <c r="M2869" s="296"/>
      <c r="N2869" s="296"/>
      <c r="O2869" s="296" t="s">
        <v>89</v>
      </c>
      <c r="P2869" s="295"/>
      <c r="Q2869" s="292">
        <f>MAX($Q$2783:Q2868)+1</f>
        <v>2</v>
      </c>
      <c r="R2869" s="348" t="str">
        <f t="shared" si="235"/>
        <v>DELETE</v>
      </c>
      <c r="S2869" s="331"/>
      <c r="T2869" s="331"/>
      <c r="U2869" s="331"/>
      <c r="V2869" s="331"/>
      <c r="W2869" s="331"/>
      <c r="X2869" s="331"/>
      <c r="Y2869" s="334"/>
      <c r="Z2869" s="334"/>
      <c r="AA2869" s="349"/>
      <c r="AB2869" s="365"/>
      <c r="AC2869" s="365"/>
      <c r="AD2869" s="365"/>
      <c r="AE2869" s="365"/>
      <c r="AF2869" s="365"/>
      <c r="AG2869" s="365"/>
      <c r="AH2869" s="365"/>
      <c r="AI2869" s="365"/>
      <c r="AJ2869" s="365"/>
      <c r="AK2869" s="365"/>
      <c r="AL2869" s="381"/>
      <c r="AM2869" s="381"/>
      <c r="AN2869" s="381"/>
      <c r="AO2869" s="381"/>
      <c r="AP2869" s="381"/>
      <c r="AQ2869" s="381"/>
    </row>
    <row r="2870" spans="3:43" s="345" customFormat="1" ht="36" customHeight="1" x14ac:dyDescent="0.45">
      <c r="C2870" s="397"/>
      <c r="D2870" s="433">
        <f>Criteria!E16</f>
        <v>0</v>
      </c>
      <c r="E2870" s="434"/>
      <c r="F2870" s="434"/>
      <c r="G2870" s="434"/>
      <c r="H2870" s="434"/>
      <c r="I2870" s="434"/>
      <c r="J2870" s="449"/>
      <c r="K2870" s="292"/>
      <c r="L2870" s="292"/>
      <c r="M2870" s="296"/>
      <c r="N2870" s="296"/>
      <c r="R2870" s="348" t="str">
        <f t="shared" si="235"/>
        <v>DELETE</v>
      </c>
      <c r="S2870" s="331"/>
      <c r="T2870" s="331"/>
      <c r="U2870" s="331"/>
      <c r="V2870" s="331"/>
      <c r="W2870" s="331"/>
      <c r="X2870" s="331"/>
      <c r="Y2870" s="334"/>
      <c r="Z2870" s="334"/>
      <c r="AA2870" s="349"/>
      <c r="AB2870" s="365"/>
      <c r="AC2870" s="365"/>
      <c r="AD2870" s="365"/>
      <c r="AE2870" s="365"/>
      <c r="AF2870" s="365"/>
      <c r="AG2870" s="365"/>
      <c r="AH2870" s="365"/>
      <c r="AI2870" s="365"/>
      <c r="AJ2870" s="365"/>
      <c r="AK2870" s="365"/>
      <c r="AL2870" s="381"/>
      <c r="AM2870" s="381"/>
      <c r="AN2870" s="381"/>
      <c r="AO2870" s="381"/>
      <c r="AP2870" s="381"/>
      <c r="AQ2870" s="381"/>
    </row>
    <row r="2871" spans="3:43" s="345" customFormat="1" ht="36" customHeight="1" x14ac:dyDescent="0.45">
      <c r="C2871" s="397"/>
      <c r="D2871" s="434"/>
      <c r="E2871" s="434"/>
      <c r="F2871" s="434"/>
      <c r="G2871" s="434"/>
      <c r="H2871" s="434"/>
      <c r="I2871" s="434"/>
      <c r="J2871" s="449"/>
      <c r="K2871" s="292"/>
      <c r="L2871" s="292"/>
      <c r="M2871" s="296"/>
      <c r="N2871" s="296"/>
      <c r="O2871" s="296"/>
      <c r="P2871" s="295"/>
      <c r="R2871" s="348" t="str">
        <f t="shared" si="235"/>
        <v>DELETE</v>
      </c>
      <c r="S2871" s="331"/>
      <c r="T2871" s="331"/>
      <c r="U2871" s="331"/>
      <c r="V2871" s="331"/>
      <c r="W2871" s="331"/>
      <c r="X2871" s="331"/>
      <c r="Y2871" s="334"/>
      <c r="Z2871" s="334"/>
      <c r="AA2871" s="349"/>
      <c r="AB2871" s="365"/>
      <c r="AC2871" s="365"/>
      <c r="AD2871" s="365"/>
      <c r="AE2871" s="365"/>
      <c r="AF2871" s="365"/>
      <c r="AG2871" s="365"/>
      <c r="AH2871" s="365"/>
      <c r="AI2871" s="365"/>
      <c r="AJ2871" s="365"/>
      <c r="AK2871" s="365"/>
      <c r="AL2871" s="381"/>
      <c r="AM2871" s="381"/>
      <c r="AN2871" s="381"/>
      <c r="AO2871" s="381"/>
      <c r="AP2871" s="381"/>
      <c r="AQ2871" s="381"/>
    </row>
    <row r="2872" spans="3:43" s="345" customFormat="1" ht="36" customHeight="1" x14ac:dyDescent="0.45">
      <c r="C2872" s="397"/>
      <c r="D2872" s="434"/>
      <c r="E2872" s="434"/>
      <c r="F2872" s="434"/>
      <c r="G2872" s="434"/>
      <c r="H2872" s="434"/>
      <c r="I2872" s="434"/>
      <c r="J2872" s="449"/>
      <c r="K2872" s="292"/>
      <c r="L2872" s="292"/>
      <c r="M2872" s="296"/>
      <c r="N2872" s="296"/>
      <c r="O2872" s="296"/>
      <c r="P2872" s="295"/>
      <c r="R2872" s="348" t="str">
        <f t="shared" si="235"/>
        <v>DELETE</v>
      </c>
      <c r="S2872" s="331"/>
      <c r="T2872" s="331"/>
      <c r="U2872" s="331"/>
      <c r="V2872" s="331"/>
      <c r="W2872" s="331"/>
      <c r="X2872" s="331"/>
      <c r="Y2872" s="334"/>
      <c r="Z2872" s="334"/>
      <c r="AA2872" s="349"/>
      <c r="AB2872" s="365"/>
      <c r="AC2872" s="365"/>
      <c r="AD2872" s="365"/>
      <c r="AE2872" s="365"/>
      <c r="AF2872" s="365"/>
      <c r="AG2872" s="365"/>
      <c r="AH2872" s="365"/>
      <c r="AI2872" s="365"/>
      <c r="AJ2872" s="365"/>
      <c r="AK2872" s="365"/>
      <c r="AL2872" s="381"/>
      <c r="AM2872" s="381"/>
      <c r="AN2872" s="381"/>
      <c r="AO2872" s="381"/>
      <c r="AP2872" s="381"/>
      <c r="AQ2872" s="381"/>
    </row>
    <row r="2873" spans="3:43" s="345" customFormat="1" ht="36" customHeight="1" x14ac:dyDescent="0.45">
      <c r="C2873" s="397"/>
      <c r="D2873" s="433" t="s">
        <v>86</v>
      </c>
      <c r="E2873" s="434"/>
      <c r="F2873" s="434"/>
      <c r="G2873" s="434"/>
      <c r="H2873" s="434"/>
      <c r="I2873" s="434"/>
      <c r="J2873" s="449"/>
      <c r="K2873" s="292"/>
      <c r="L2873" s="292"/>
      <c r="M2873" s="296"/>
      <c r="N2873" s="296"/>
      <c r="O2873" s="296"/>
      <c r="P2873" s="295"/>
      <c r="R2873" s="348" t="str">
        <f t="shared" si="235"/>
        <v>DELETE</v>
      </c>
      <c r="S2873" s="331"/>
      <c r="T2873" s="331"/>
      <c r="U2873" s="331"/>
      <c r="V2873" s="331"/>
      <c r="W2873" s="331"/>
      <c r="X2873" s="331"/>
      <c r="Y2873" s="334"/>
      <c r="Z2873" s="334"/>
      <c r="AA2873" s="349"/>
      <c r="AB2873" s="365"/>
      <c r="AC2873" s="365"/>
      <c r="AD2873" s="365"/>
      <c r="AE2873" s="365"/>
      <c r="AF2873" s="365"/>
      <c r="AG2873" s="365"/>
      <c r="AH2873" s="365"/>
      <c r="AI2873" s="365"/>
      <c r="AJ2873" s="365"/>
      <c r="AK2873" s="365"/>
      <c r="AL2873" s="381"/>
      <c r="AM2873" s="381"/>
      <c r="AN2873" s="381"/>
      <c r="AO2873" s="381"/>
      <c r="AP2873" s="381"/>
      <c r="AQ2873" s="381"/>
    </row>
    <row r="2874" spans="3:43" s="345" customFormat="1" ht="36" customHeight="1" x14ac:dyDescent="0.45">
      <c r="C2874" s="397"/>
      <c r="D2874" s="433" t="str">
        <f>D2790</f>
        <v>28 FEBRUARY 2025</v>
      </c>
      <c r="E2874" s="434"/>
      <c r="F2874" s="434"/>
      <c r="G2874" s="434"/>
      <c r="H2874" s="434"/>
      <c r="I2874" s="434"/>
      <c r="J2874" s="434" t="s">
        <v>95</v>
      </c>
      <c r="K2874" s="292"/>
      <c r="L2874" s="292"/>
      <c r="M2874" s="296"/>
      <c r="N2874" s="296"/>
      <c r="O2874" s="296"/>
      <c r="P2874" s="295"/>
      <c r="R2874" s="348" t="str">
        <f t="shared" si="235"/>
        <v>DELETE</v>
      </c>
      <c r="S2874" s="331"/>
      <c r="T2874" s="331"/>
      <c r="U2874" s="331"/>
      <c r="V2874" s="331"/>
      <c r="W2874" s="331"/>
      <c r="X2874" s="331"/>
      <c r="Y2874" s="334"/>
      <c r="Z2874" s="334"/>
      <c r="AA2874" s="349"/>
      <c r="AB2874" s="365"/>
      <c r="AC2874" s="365"/>
      <c r="AD2874" s="365"/>
      <c r="AE2874" s="365"/>
      <c r="AF2874" s="365"/>
      <c r="AG2874" s="365"/>
      <c r="AH2874" s="365"/>
      <c r="AI2874" s="365"/>
      <c r="AJ2874" s="365"/>
      <c r="AK2874" s="365"/>
      <c r="AL2874" s="381"/>
      <c r="AM2874" s="381"/>
      <c r="AN2874" s="381"/>
      <c r="AO2874" s="381"/>
      <c r="AP2874" s="381"/>
      <c r="AQ2874" s="381"/>
    </row>
    <row r="2875" spans="3:43" s="345" customFormat="1" ht="36" customHeight="1" x14ac:dyDescent="0.45">
      <c r="C2875" s="397"/>
      <c r="D2875" s="434"/>
      <c r="E2875" s="434"/>
      <c r="F2875" s="434"/>
      <c r="G2875" s="434"/>
      <c r="H2875" s="434"/>
      <c r="I2875" s="434"/>
      <c r="J2875" s="449"/>
      <c r="K2875" s="304"/>
      <c r="L2875" s="304"/>
      <c r="M2875" s="298"/>
      <c r="N2875" s="298"/>
      <c r="O2875" s="298"/>
      <c r="P2875" s="295"/>
      <c r="R2875" s="348" t="str">
        <f t="shared" si="235"/>
        <v>DELETE</v>
      </c>
      <c r="S2875" s="331"/>
      <c r="T2875" s="331"/>
      <c r="U2875" s="331"/>
      <c r="V2875" s="331"/>
      <c r="W2875" s="331"/>
      <c r="X2875" s="331"/>
      <c r="Y2875" s="334"/>
      <c r="Z2875" s="334"/>
      <c r="AA2875" s="349"/>
      <c r="AB2875" s="365"/>
      <c r="AC2875" s="365"/>
      <c r="AD2875" s="365"/>
      <c r="AE2875" s="365"/>
      <c r="AF2875" s="365"/>
      <c r="AG2875" s="365"/>
      <c r="AH2875" s="365"/>
      <c r="AI2875" s="365"/>
      <c r="AJ2875" s="365"/>
      <c r="AK2875" s="365"/>
      <c r="AL2875" s="381"/>
      <c r="AM2875" s="381"/>
      <c r="AN2875" s="381"/>
      <c r="AO2875" s="381"/>
      <c r="AP2875" s="381"/>
      <c r="AQ2875" s="381"/>
    </row>
    <row r="2876" spans="3:43" s="345" customFormat="1" ht="36" customHeight="1" x14ac:dyDescent="0.45">
      <c r="C2876" s="397"/>
      <c r="D2876" s="444"/>
      <c r="E2876" s="444"/>
      <c r="F2876" s="444"/>
      <c r="G2876" s="444"/>
      <c r="H2876" s="444"/>
      <c r="I2876" s="444"/>
      <c r="J2876" s="453"/>
      <c r="M2876" s="351"/>
      <c r="N2876" s="351"/>
      <c r="O2876" s="351"/>
      <c r="P2876" s="313"/>
      <c r="Q2876" s="364"/>
      <c r="R2876" s="348" t="str">
        <f t="shared" si="235"/>
        <v>DELETE</v>
      </c>
      <c r="S2876" s="331"/>
      <c r="T2876" s="331"/>
      <c r="U2876" s="331"/>
      <c r="V2876" s="331"/>
      <c r="W2876" s="331"/>
      <c r="X2876" s="331"/>
      <c r="Y2876" s="334"/>
      <c r="Z2876" s="334"/>
      <c r="AA2876" s="349"/>
      <c r="AB2876" s="365"/>
      <c r="AC2876" s="365"/>
      <c r="AD2876" s="365"/>
      <c r="AE2876" s="365"/>
      <c r="AF2876" s="365"/>
      <c r="AG2876" s="365"/>
      <c r="AH2876" s="365"/>
      <c r="AI2876" s="365"/>
      <c r="AJ2876" s="365"/>
      <c r="AK2876" s="365"/>
      <c r="AL2876" s="381"/>
      <c r="AM2876" s="381"/>
      <c r="AN2876" s="381"/>
      <c r="AO2876" s="381"/>
      <c r="AP2876" s="381"/>
      <c r="AQ2876" s="381"/>
    </row>
    <row r="2877" spans="3:43" s="345" customFormat="1" ht="36" customHeight="1" x14ac:dyDescent="0.45">
      <c r="C2877" s="397"/>
      <c r="D2877" s="434"/>
      <c r="E2877" s="434"/>
      <c r="F2877" s="434"/>
      <c r="G2877" s="434"/>
      <c r="H2877" s="434"/>
      <c r="I2877" s="434"/>
      <c r="J2877" s="449"/>
      <c r="K2877" s="292" t="s">
        <v>1041</v>
      </c>
      <c r="L2877" s="350"/>
      <c r="M2877" s="350"/>
      <c r="N2877" s="292"/>
      <c r="O2877" s="294">
        <f>Criteria!E22</f>
        <v>2025</v>
      </c>
      <c r="P2877" s="295"/>
      <c r="R2877" s="348" t="str">
        <f t="shared" si="235"/>
        <v>DELETE</v>
      </c>
      <c r="S2877" s="331"/>
      <c r="T2877" s="331"/>
      <c r="U2877" s="331"/>
      <c r="V2877" s="331"/>
      <c r="W2877" s="331"/>
      <c r="X2877" s="331"/>
      <c r="Y2877" s="334"/>
      <c r="Z2877" s="334"/>
      <c r="AA2877" s="349"/>
      <c r="AB2877" s="365"/>
      <c r="AC2877" s="365"/>
      <c r="AD2877" s="365"/>
      <c r="AE2877" s="365"/>
      <c r="AF2877" s="365"/>
      <c r="AG2877" s="365"/>
      <c r="AH2877" s="365"/>
      <c r="AI2877" s="365"/>
      <c r="AJ2877" s="365"/>
      <c r="AK2877" s="365"/>
      <c r="AL2877" s="381"/>
      <c r="AM2877" s="381"/>
      <c r="AN2877" s="381"/>
      <c r="AO2877" s="381"/>
      <c r="AP2877" s="381"/>
      <c r="AQ2877" s="381"/>
    </row>
    <row r="2878" spans="3:43" s="345" customFormat="1" ht="36" customHeight="1" x14ac:dyDescent="0.45">
      <c r="C2878" s="397"/>
      <c r="D2878" s="434"/>
      <c r="E2878" s="434"/>
      <c r="F2878" s="434"/>
      <c r="G2878" s="434"/>
      <c r="H2878" s="434"/>
      <c r="I2878" s="434"/>
      <c r="J2878" s="449"/>
      <c r="K2878" s="292"/>
      <c r="L2878" s="350"/>
      <c r="M2878" s="350"/>
      <c r="N2878" s="292"/>
      <c r="O2878" s="296"/>
      <c r="P2878" s="295"/>
      <c r="R2878" s="348" t="str">
        <f t="shared" si="235"/>
        <v>DELETE</v>
      </c>
      <c r="S2878" s="331"/>
      <c r="T2878" s="331"/>
      <c r="U2878" s="331"/>
      <c r="V2878" s="331"/>
      <c r="W2878" s="331"/>
      <c r="X2878" s="331"/>
      <c r="Y2878" s="334"/>
      <c r="Z2878" s="334"/>
      <c r="AA2878" s="349"/>
      <c r="AB2878" s="365"/>
      <c r="AC2878" s="365"/>
      <c r="AD2878" s="365"/>
      <c r="AE2878" s="365"/>
      <c r="AF2878" s="365"/>
      <c r="AG2878" s="365"/>
      <c r="AH2878" s="365"/>
      <c r="AI2878" s="365"/>
      <c r="AJ2878" s="365"/>
      <c r="AK2878" s="365"/>
      <c r="AL2878" s="381"/>
      <c r="AM2878" s="381"/>
      <c r="AN2878" s="381"/>
      <c r="AO2878" s="381"/>
      <c r="AP2878" s="381"/>
      <c r="AQ2878" s="381"/>
    </row>
    <row r="2879" spans="3:43" s="345" customFormat="1" ht="36" customHeight="1" x14ac:dyDescent="0.45">
      <c r="D2879" s="446" t="str">
        <f>IF(O2879&lt;0,"Operating loss","Operating profit")</f>
        <v>Operating profit</v>
      </c>
      <c r="E2879" s="434"/>
      <c r="F2879" s="434"/>
      <c r="G2879" s="434"/>
      <c r="H2879" s="434"/>
      <c r="I2879" s="434"/>
      <c r="J2879" s="449"/>
      <c r="K2879" s="292"/>
      <c r="L2879" s="350"/>
      <c r="M2879" s="350"/>
      <c r="N2879" s="292"/>
      <c r="O2879" s="296">
        <f>SUM(S2795:S2860)</f>
        <v>0</v>
      </c>
      <c r="P2879" s="295"/>
      <c r="R2879" s="348" t="str">
        <f t="shared" si="235"/>
        <v>DELETE</v>
      </c>
      <c r="S2879" s="331"/>
      <c r="T2879" s="331"/>
      <c r="U2879" s="331" t="b">
        <f>O2879=O2863</f>
        <v>1</v>
      </c>
      <c r="V2879" s="331"/>
      <c r="W2879" s="331"/>
      <c r="X2879" s="331"/>
      <c r="Y2879" s="334"/>
      <c r="Z2879" s="334"/>
      <c r="AA2879" s="349"/>
      <c r="AB2879" s="365"/>
      <c r="AC2879" s="365"/>
      <c r="AD2879" s="365"/>
      <c r="AE2879" s="365"/>
      <c r="AF2879" s="365"/>
      <c r="AG2879" s="365"/>
      <c r="AH2879" s="365"/>
      <c r="AI2879" s="365"/>
      <c r="AJ2879" s="365"/>
      <c r="AK2879" s="365"/>
      <c r="AL2879" s="381"/>
      <c r="AM2879" s="381"/>
      <c r="AN2879" s="381"/>
      <c r="AO2879" s="381"/>
      <c r="AP2879" s="381"/>
      <c r="AQ2879" s="381"/>
    </row>
    <row r="2880" spans="3:43" s="345" customFormat="1" ht="36" customHeight="1" x14ac:dyDescent="0.45">
      <c r="C2880" s="397"/>
      <c r="D2880" s="434"/>
      <c r="E2880" s="434" t="s">
        <v>239</v>
      </c>
      <c r="F2880" s="434"/>
      <c r="G2880" s="434"/>
      <c r="H2880" s="434"/>
      <c r="I2880" s="434"/>
      <c r="J2880" s="449"/>
      <c r="K2880" s="292"/>
      <c r="L2880" s="350"/>
      <c r="M2880" s="350"/>
      <c r="N2880" s="292"/>
      <c r="O2880" s="296"/>
      <c r="P2880" s="295"/>
      <c r="R2880" s="348" t="str">
        <f t="shared" si="235"/>
        <v>DELETE</v>
      </c>
      <c r="S2880" s="331"/>
      <c r="T2880" s="331"/>
      <c r="U2880" s="331"/>
      <c r="V2880" s="331"/>
      <c r="W2880" s="331"/>
      <c r="X2880" s="331"/>
      <c r="Y2880" s="334"/>
      <c r="Z2880" s="334"/>
      <c r="AA2880" s="349"/>
      <c r="AB2880" s="365"/>
      <c r="AC2880" s="365"/>
      <c r="AD2880" s="365"/>
      <c r="AE2880" s="365"/>
      <c r="AF2880" s="365"/>
      <c r="AG2880" s="365"/>
      <c r="AH2880" s="365"/>
      <c r="AI2880" s="365"/>
      <c r="AJ2880" s="365"/>
      <c r="AK2880" s="365"/>
      <c r="AL2880" s="381"/>
      <c r="AM2880" s="381"/>
      <c r="AN2880" s="381"/>
      <c r="AO2880" s="381"/>
      <c r="AP2880" s="381"/>
      <c r="AQ2880" s="381"/>
    </row>
    <row r="2881" spans="3:43" s="345" customFormat="1" ht="36" customHeight="1" x14ac:dyDescent="0.45">
      <c r="C2881" s="397"/>
      <c r="D2881" s="434"/>
      <c r="E2881" s="434"/>
      <c r="F2881" s="434"/>
      <c r="G2881" s="434"/>
      <c r="H2881" s="434"/>
      <c r="I2881" s="434"/>
      <c r="J2881" s="449"/>
      <c r="K2881" s="292"/>
      <c r="L2881" s="350"/>
      <c r="M2881" s="350"/>
      <c r="N2881" s="292"/>
      <c r="O2881" s="296"/>
      <c r="P2881" s="295"/>
      <c r="R2881" s="348" t="str">
        <f t="shared" si="235"/>
        <v>DELETE</v>
      </c>
      <c r="S2881" s="331"/>
      <c r="T2881" s="331"/>
      <c r="U2881" s="331"/>
      <c r="V2881" s="331"/>
      <c r="W2881" s="331"/>
      <c r="X2881" s="331"/>
      <c r="Y2881" s="334"/>
      <c r="Z2881" s="334"/>
      <c r="AA2881" s="349"/>
      <c r="AB2881" s="365"/>
      <c r="AC2881" s="365"/>
      <c r="AD2881" s="365"/>
      <c r="AE2881" s="365"/>
      <c r="AF2881" s="365"/>
      <c r="AG2881" s="365"/>
      <c r="AH2881" s="365"/>
      <c r="AI2881" s="365"/>
      <c r="AJ2881" s="365"/>
      <c r="AK2881" s="365"/>
      <c r="AL2881" s="381"/>
      <c r="AM2881" s="381"/>
      <c r="AN2881" s="381"/>
      <c r="AO2881" s="381"/>
      <c r="AP2881" s="381"/>
      <c r="AQ2881" s="381"/>
    </row>
    <row r="2882" spans="3:43" s="345" customFormat="1" ht="36" customHeight="1" x14ac:dyDescent="0.45">
      <c r="D2882" s="433" t="s">
        <v>1076</v>
      </c>
      <c r="E2882" s="434"/>
      <c r="F2882" s="434"/>
      <c r="G2882" s="434"/>
      <c r="H2882" s="434"/>
      <c r="I2882" s="434"/>
      <c r="J2882" s="449"/>
      <c r="K2882" s="292"/>
      <c r="L2882" s="350"/>
      <c r="M2882" s="350"/>
      <c r="N2882" s="292"/>
      <c r="O2882" s="296">
        <f>SUM(O2885:O2918)</f>
        <v>0</v>
      </c>
      <c r="P2882" s="295"/>
      <c r="R2882" s="348" t="str">
        <f t="shared" ref="R2882" si="236">IF(R$2783="DELETE","DELETE",IF(O2882=0,"DELETE"," "))</f>
        <v>DELETE</v>
      </c>
      <c r="S2882" s="333">
        <f>-O2882</f>
        <v>0</v>
      </c>
      <c r="T2882" s="333"/>
      <c r="U2882" s="333"/>
      <c r="V2882" s="333"/>
      <c r="W2882" s="331"/>
      <c r="X2882" s="331"/>
      <c r="Y2882" s="334"/>
      <c r="Z2882" s="334"/>
      <c r="AA2882" s="349"/>
      <c r="AB2882" s="365"/>
      <c r="AC2882" s="365"/>
      <c r="AD2882" s="365"/>
      <c r="AE2882" s="365"/>
      <c r="AF2882" s="365"/>
      <c r="AG2882" s="365"/>
      <c r="AH2882" s="365"/>
      <c r="AI2882" s="365"/>
      <c r="AJ2882" s="365"/>
      <c r="AK2882" s="365"/>
      <c r="AL2882" s="381"/>
      <c r="AM2882" s="381"/>
      <c r="AN2882" s="381"/>
      <c r="AO2882" s="381"/>
      <c r="AP2882" s="381"/>
      <c r="AQ2882" s="381"/>
    </row>
    <row r="2883" spans="3:43" s="345" customFormat="1" ht="9" customHeight="1" x14ac:dyDescent="0.45">
      <c r="C2883" s="397"/>
      <c r="D2883" s="434"/>
      <c r="E2883" s="434"/>
      <c r="F2883" s="434"/>
      <c r="G2883" s="434"/>
      <c r="H2883" s="434"/>
      <c r="I2883" s="434"/>
      <c r="J2883" s="449"/>
      <c r="K2883" s="292"/>
      <c r="L2883" s="350"/>
      <c r="M2883" s="350"/>
      <c r="N2883" s="292"/>
      <c r="O2883" s="296"/>
      <c r="P2883" s="295"/>
      <c r="R2883" s="348" t="str">
        <f>R2882</f>
        <v>DELETE</v>
      </c>
      <c r="S2883" s="331"/>
      <c r="T2883" s="331"/>
      <c r="U2883" s="331"/>
      <c r="V2883" s="331"/>
      <c r="W2883" s="331"/>
      <c r="X2883" s="331"/>
      <c r="Y2883" s="334"/>
      <c r="Z2883" s="334"/>
      <c r="AA2883" s="349"/>
      <c r="AB2883" s="365"/>
      <c r="AC2883" s="365"/>
      <c r="AD2883" s="365"/>
      <c r="AE2883" s="365"/>
      <c r="AF2883" s="365"/>
      <c r="AG2883" s="365"/>
      <c r="AH2883" s="365"/>
      <c r="AI2883" s="365"/>
      <c r="AJ2883" s="365"/>
      <c r="AK2883" s="365"/>
      <c r="AL2883" s="381"/>
      <c r="AM2883" s="381"/>
      <c r="AN2883" s="381"/>
      <c r="AO2883" s="381"/>
      <c r="AP2883" s="381"/>
      <c r="AQ2883" s="381"/>
    </row>
    <row r="2884" spans="3:43" s="345" customFormat="1" ht="9" customHeight="1" x14ac:dyDescent="0.45">
      <c r="C2884" s="397"/>
      <c r="D2884" s="434"/>
      <c r="E2884" s="434"/>
      <c r="F2884" s="434"/>
      <c r="G2884" s="434"/>
      <c r="H2884" s="434"/>
      <c r="I2884" s="434"/>
      <c r="J2884" s="449"/>
      <c r="K2884" s="292"/>
      <c r="L2884" s="350"/>
      <c r="M2884" s="350"/>
      <c r="N2884" s="292"/>
      <c r="O2884" s="407"/>
      <c r="P2884" s="295"/>
      <c r="R2884" s="348" t="str">
        <f>R2883</f>
        <v>DELETE</v>
      </c>
      <c r="S2884" s="331"/>
      <c r="T2884" s="331"/>
      <c r="U2884" s="331"/>
      <c r="V2884" s="331"/>
      <c r="W2884" s="331"/>
      <c r="X2884" s="331"/>
      <c r="Y2884" s="334"/>
      <c r="Z2884" s="334"/>
      <c r="AA2884" s="349"/>
      <c r="AB2884" s="365"/>
      <c r="AC2884" s="365"/>
      <c r="AD2884" s="365"/>
      <c r="AE2884" s="365"/>
      <c r="AF2884" s="365"/>
      <c r="AG2884" s="365"/>
      <c r="AH2884" s="365"/>
      <c r="AI2884" s="365"/>
      <c r="AJ2884" s="365"/>
      <c r="AK2884" s="365"/>
      <c r="AL2884" s="381"/>
      <c r="AM2884" s="381"/>
      <c r="AN2884" s="381"/>
      <c r="AO2884" s="381"/>
      <c r="AP2884" s="381"/>
      <c r="AQ2884" s="381"/>
    </row>
    <row r="2885" spans="3:43" s="345" customFormat="1" ht="36" customHeight="1" x14ac:dyDescent="0.45">
      <c r="C2885" s="397"/>
      <c r="D2885" s="434" t="s">
        <v>199</v>
      </c>
      <c r="E2885" s="434"/>
      <c r="F2885" s="434"/>
      <c r="G2885" s="434"/>
      <c r="H2885" s="434"/>
      <c r="I2885" s="434"/>
      <c r="J2885" s="449"/>
      <c r="K2885" s="292"/>
      <c r="L2885" s="350"/>
      <c r="M2885" s="350"/>
      <c r="N2885" s="292"/>
      <c r="O2885" s="408">
        <f>SUM(TrialBalanceC!I99:I102)</f>
        <v>0</v>
      </c>
      <c r="P2885" s="295"/>
      <c r="R2885" s="348" t="str">
        <f t="shared" ref="R2885:R2916" si="237">IF(R$2783="DELETE","DELETE",IF(O2885=0,"DELETE"," "))</f>
        <v>DELETE</v>
      </c>
      <c r="S2885" s="331"/>
      <c r="T2885" s="331"/>
      <c r="U2885" s="331"/>
      <c r="V2885" s="331"/>
      <c r="W2885" s="331"/>
      <c r="X2885" s="331"/>
      <c r="Y2885" s="334"/>
      <c r="Z2885" s="334"/>
      <c r="AA2885" s="349"/>
      <c r="AB2885" s="365"/>
      <c r="AC2885" s="365"/>
      <c r="AD2885" s="365"/>
      <c r="AE2885" s="365"/>
      <c r="AF2885" s="365"/>
      <c r="AG2885" s="365"/>
      <c r="AH2885" s="365"/>
      <c r="AI2885" s="365"/>
      <c r="AJ2885" s="365"/>
      <c r="AK2885" s="365"/>
      <c r="AL2885" s="381"/>
      <c r="AM2885" s="381"/>
      <c r="AN2885" s="381"/>
      <c r="AO2885" s="381"/>
      <c r="AP2885" s="381"/>
      <c r="AQ2885" s="381"/>
    </row>
    <row r="2886" spans="3:43" s="345" customFormat="1" ht="36" customHeight="1" x14ac:dyDescent="0.45">
      <c r="C2886" s="397"/>
      <c r="D2886" s="434" t="s">
        <v>201</v>
      </c>
      <c r="E2886" s="434"/>
      <c r="F2886" s="434"/>
      <c r="G2886" s="434"/>
      <c r="H2886" s="434"/>
      <c r="I2886" s="434"/>
      <c r="J2886" s="449"/>
      <c r="K2886" s="292"/>
      <c r="L2886" s="350"/>
      <c r="M2886" s="350"/>
      <c r="N2886" s="292"/>
      <c r="O2886" s="408">
        <f>TrialBalanceC!I103</f>
        <v>0</v>
      </c>
      <c r="P2886" s="295"/>
      <c r="R2886" s="348" t="str">
        <f t="shared" si="237"/>
        <v>DELETE</v>
      </c>
      <c r="S2886" s="331"/>
      <c r="T2886" s="331"/>
      <c r="U2886" s="331"/>
      <c r="V2886" s="331"/>
      <c r="W2886" s="331"/>
      <c r="X2886" s="331"/>
      <c r="Y2886" s="334"/>
      <c r="Z2886" s="334"/>
      <c r="AA2886" s="349"/>
      <c r="AB2886" s="365"/>
      <c r="AC2886" s="365"/>
      <c r="AD2886" s="365"/>
      <c r="AE2886" s="365"/>
      <c r="AF2886" s="365"/>
      <c r="AG2886" s="365"/>
      <c r="AH2886" s="365"/>
      <c r="AI2886" s="365"/>
      <c r="AJ2886" s="365"/>
      <c r="AK2886" s="365"/>
      <c r="AL2886" s="381"/>
      <c r="AM2886" s="381"/>
      <c r="AN2886" s="381"/>
      <c r="AO2886" s="381"/>
      <c r="AP2886" s="381"/>
      <c r="AQ2886" s="381"/>
    </row>
    <row r="2887" spans="3:43" s="345" customFormat="1" ht="36" customHeight="1" x14ac:dyDescent="0.45">
      <c r="C2887" s="397"/>
      <c r="D2887" s="434" t="s">
        <v>203</v>
      </c>
      <c r="E2887" s="434"/>
      <c r="F2887" s="434"/>
      <c r="G2887" s="434"/>
      <c r="H2887" s="434"/>
      <c r="I2887" s="434"/>
      <c r="J2887" s="449"/>
      <c r="K2887" s="292"/>
      <c r="L2887" s="350"/>
      <c r="M2887" s="350"/>
      <c r="N2887" s="292"/>
      <c r="O2887" s="408">
        <f>TrialBalanceC!I104</f>
        <v>0</v>
      </c>
      <c r="P2887" s="295"/>
      <c r="R2887" s="348" t="str">
        <f t="shared" si="237"/>
        <v>DELETE</v>
      </c>
      <c r="S2887" s="331"/>
      <c r="T2887" s="331"/>
      <c r="U2887" s="331"/>
      <c r="V2887" s="331"/>
      <c r="W2887" s="331"/>
      <c r="X2887" s="331"/>
      <c r="Y2887" s="334"/>
      <c r="Z2887" s="334"/>
      <c r="AA2887" s="349"/>
      <c r="AB2887" s="365"/>
      <c r="AC2887" s="365"/>
      <c r="AD2887" s="365"/>
      <c r="AE2887" s="365"/>
      <c r="AF2887" s="365"/>
      <c r="AG2887" s="365"/>
      <c r="AH2887" s="365"/>
      <c r="AI2887" s="365"/>
      <c r="AJ2887" s="365"/>
      <c r="AK2887" s="365"/>
      <c r="AL2887" s="381"/>
      <c r="AM2887" s="381"/>
      <c r="AN2887" s="381"/>
      <c r="AO2887" s="381"/>
      <c r="AP2887" s="381"/>
      <c r="AQ2887" s="381"/>
    </row>
    <row r="2888" spans="3:43" s="345" customFormat="1" ht="36" customHeight="1" x14ac:dyDescent="0.45">
      <c r="C2888" s="397"/>
      <c r="D2888" s="434" t="s">
        <v>240</v>
      </c>
      <c r="E2888" s="434"/>
      <c r="F2888" s="434"/>
      <c r="G2888" s="434"/>
      <c r="H2888" s="434"/>
      <c r="I2888" s="434"/>
      <c r="J2888" s="449"/>
      <c r="K2888" s="292"/>
      <c r="L2888" s="350"/>
      <c r="M2888" s="350"/>
      <c r="N2888" s="292"/>
      <c r="O2888" s="408">
        <f>TrialBalanceC!I105</f>
        <v>0</v>
      </c>
      <c r="P2888" s="295"/>
      <c r="R2888" s="348" t="str">
        <f t="shared" si="237"/>
        <v>DELETE</v>
      </c>
      <c r="S2888" s="331"/>
      <c r="T2888" s="331"/>
      <c r="U2888" s="331"/>
      <c r="V2888" s="331"/>
      <c r="W2888" s="331"/>
      <c r="X2888" s="331"/>
      <c r="Y2888" s="334"/>
      <c r="Z2888" s="334"/>
      <c r="AA2888" s="349"/>
      <c r="AB2888" s="365"/>
      <c r="AC2888" s="365"/>
      <c r="AD2888" s="365"/>
      <c r="AE2888" s="365"/>
      <c r="AF2888" s="365"/>
      <c r="AG2888" s="365"/>
      <c r="AH2888" s="365"/>
      <c r="AI2888" s="365"/>
      <c r="AJ2888" s="365"/>
      <c r="AK2888" s="365"/>
      <c r="AL2888" s="381"/>
      <c r="AM2888" s="381"/>
      <c r="AN2888" s="381"/>
      <c r="AO2888" s="381"/>
      <c r="AP2888" s="381"/>
      <c r="AQ2888" s="381"/>
    </row>
    <row r="2889" spans="3:43" s="345" customFormat="1" ht="36" customHeight="1" x14ac:dyDescent="0.45">
      <c r="C2889" s="397"/>
      <c r="D2889" s="434" t="s">
        <v>206</v>
      </c>
      <c r="E2889" s="434"/>
      <c r="F2889" s="434"/>
      <c r="G2889" s="434"/>
      <c r="H2889" s="434"/>
      <c r="I2889" s="434"/>
      <c r="J2889" s="449"/>
      <c r="K2889" s="292"/>
      <c r="L2889" s="350"/>
      <c r="M2889" s="350"/>
      <c r="N2889" s="292"/>
      <c r="O2889" s="408">
        <f>TrialBalanceC!I106</f>
        <v>0</v>
      </c>
      <c r="P2889" s="295"/>
      <c r="R2889" s="348" t="str">
        <f t="shared" si="237"/>
        <v>DELETE</v>
      </c>
      <c r="S2889" s="331"/>
      <c r="T2889" s="331"/>
      <c r="U2889" s="331"/>
      <c r="V2889" s="331"/>
      <c r="W2889" s="331"/>
      <c r="X2889" s="331"/>
      <c r="Y2889" s="334"/>
      <c r="Z2889" s="334"/>
      <c r="AA2889" s="349"/>
      <c r="AB2889" s="365"/>
      <c r="AC2889" s="365"/>
      <c r="AD2889" s="365"/>
      <c r="AE2889" s="365"/>
      <c r="AF2889" s="365"/>
      <c r="AG2889" s="365"/>
      <c r="AH2889" s="365"/>
      <c r="AI2889" s="365"/>
      <c r="AJ2889" s="365"/>
      <c r="AK2889" s="365"/>
      <c r="AL2889" s="381"/>
      <c r="AM2889" s="381"/>
      <c r="AN2889" s="381"/>
      <c r="AO2889" s="381"/>
      <c r="AP2889" s="381"/>
      <c r="AQ2889" s="381"/>
    </row>
    <row r="2890" spans="3:43" s="345" customFormat="1" ht="36" customHeight="1" x14ac:dyDescent="0.45">
      <c r="C2890" s="397"/>
      <c r="D2890" s="434" t="s">
        <v>680</v>
      </c>
      <c r="E2890" s="434"/>
      <c r="F2890" s="434"/>
      <c r="G2890" s="434"/>
      <c r="H2890" s="434"/>
      <c r="I2890" s="434"/>
      <c r="J2890" s="449"/>
      <c r="K2890" s="292"/>
      <c r="L2890" s="350"/>
      <c r="M2890" s="350"/>
      <c r="N2890" s="292"/>
      <c r="O2890" s="408">
        <f>TrialBalanceC!I107</f>
        <v>0</v>
      </c>
      <c r="P2890" s="295"/>
      <c r="R2890" s="348" t="str">
        <f t="shared" si="237"/>
        <v>DELETE</v>
      </c>
      <c r="S2890" s="331"/>
      <c r="T2890" s="331"/>
      <c r="U2890" s="331"/>
      <c r="V2890" s="331"/>
      <c r="W2890" s="331"/>
      <c r="X2890" s="331"/>
      <c r="Y2890" s="334"/>
      <c r="Z2890" s="334"/>
      <c r="AA2890" s="349"/>
      <c r="AB2890" s="365"/>
      <c r="AC2890" s="365"/>
      <c r="AD2890" s="365"/>
      <c r="AE2890" s="365"/>
      <c r="AF2890" s="365"/>
      <c r="AG2890" s="365"/>
      <c r="AH2890" s="365"/>
      <c r="AI2890" s="365"/>
      <c r="AJ2890" s="365"/>
      <c r="AK2890" s="365"/>
      <c r="AL2890" s="381"/>
      <c r="AM2890" s="381"/>
      <c r="AN2890" s="381"/>
      <c r="AO2890" s="381"/>
      <c r="AP2890" s="381"/>
      <c r="AQ2890" s="381"/>
    </row>
    <row r="2891" spans="3:43" s="345" customFormat="1" ht="36" customHeight="1" x14ac:dyDescent="0.45">
      <c r="C2891" s="397"/>
      <c r="D2891" s="434" t="s">
        <v>1212</v>
      </c>
      <c r="E2891" s="434"/>
      <c r="F2891" s="434"/>
      <c r="G2891" s="434"/>
      <c r="H2891" s="434"/>
      <c r="I2891" s="434"/>
      <c r="J2891" s="449"/>
      <c r="K2891" s="292"/>
      <c r="L2891" s="350"/>
      <c r="M2891" s="350"/>
      <c r="N2891" s="292"/>
      <c r="O2891" s="408">
        <f>TrialBalanceC!I108</f>
        <v>0</v>
      </c>
      <c r="P2891" s="295"/>
      <c r="R2891" s="348" t="str">
        <f t="shared" ref="R2891" si="238">IF(R$2783="DELETE","DELETE",IF(O2891=0,"DELETE"," "))</f>
        <v>DELETE</v>
      </c>
      <c r="S2891" s="331"/>
      <c r="T2891" s="331"/>
      <c r="U2891" s="331"/>
      <c r="V2891" s="331"/>
      <c r="W2891" s="331"/>
      <c r="X2891" s="331"/>
      <c r="Y2891" s="334"/>
      <c r="Z2891" s="334"/>
      <c r="AA2891" s="349"/>
      <c r="AB2891" s="365"/>
      <c r="AC2891" s="365"/>
      <c r="AD2891" s="365"/>
      <c r="AE2891" s="365"/>
      <c r="AF2891" s="365"/>
      <c r="AG2891" s="365"/>
      <c r="AH2891" s="365"/>
      <c r="AI2891" s="365"/>
      <c r="AJ2891" s="365"/>
      <c r="AK2891" s="365"/>
      <c r="AL2891" s="381"/>
      <c r="AM2891" s="381"/>
      <c r="AN2891" s="381"/>
      <c r="AO2891" s="381"/>
      <c r="AP2891" s="381"/>
      <c r="AQ2891" s="381"/>
    </row>
    <row r="2892" spans="3:43" s="345" customFormat="1" ht="36" customHeight="1" x14ac:dyDescent="0.45">
      <c r="C2892" s="397"/>
      <c r="D2892" s="434" t="s">
        <v>252</v>
      </c>
      <c r="E2892" s="434"/>
      <c r="F2892" s="434"/>
      <c r="G2892" s="434"/>
      <c r="H2892" s="434"/>
      <c r="I2892" s="434"/>
      <c r="J2892" s="449"/>
      <c r="K2892" s="292">
        <f>B$958</f>
        <v>5</v>
      </c>
      <c r="L2892" s="350"/>
      <c r="M2892" s="350"/>
      <c r="N2892" s="292"/>
      <c r="O2892" s="408">
        <f>SUM(TrialBalanceC!I110:I111)</f>
        <v>0</v>
      </c>
      <c r="P2892" s="295"/>
      <c r="R2892" s="348" t="str">
        <f t="shared" si="237"/>
        <v>DELETE</v>
      </c>
      <c r="S2892" s="331"/>
      <c r="T2892" s="331"/>
      <c r="U2892" s="331"/>
      <c r="V2892" s="331"/>
      <c r="W2892" s="331"/>
      <c r="X2892" s="331"/>
      <c r="Y2892" s="334"/>
      <c r="Z2892" s="334"/>
      <c r="AA2892" s="349"/>
      <c r="AB2892" s="365"/>
      <c r="AC2892" s="365"/>
      <c r="AD2892" s="365"/>
      <c r="AE2892" s="365"/>
      <c r="AF2892" s="365"/>
      <c r="AG2892" s="365"/>
      <c r="AH2892" s="365"/>
      <c r="AI2892" s="365"/>
      <c r="AJ2892" s="365"/>
      <c r="AK2892" s="365"/>
      <c r="AL2892" s="381"/>
      <c r="AM2892" s="381"/>
      <c r="AN2892" s="381"/>
      <c r="AO2892" s="381"/>
      <c r="AP2892" s="381"/>
      <c r="AQ2892" s="381"/>
    </row>
    <row r="2893" spans="3:43" s="345" customFormat="1" ht="36" customHeight="1" x14ac:dyDescent="0.45">
      <c r="C2893" s="397"/>
      <c r="D2893" s="434" t="str">
        <f>IF(MAX(Criteria!I38:I42)&gt;1,"Directors' remuneration","Director's remuneration")</f>
        <v>Directors' remuneration</v>
      </c>
      <c r="E2893" s="434"/>
      <c r="F2893" s="434"/>
      <c r="G2893" s="434"/>
      <c r="H2893" s="434"/>
      <c r="I2893" s="434"/>
      <c r="J2893" s="449"/>
      <c r="K2893" s="292">
        <f>B$958</f>
        <v>5</v>
      </c>
      <c r="L2893" s="350"/>
      <c r="M2893" s="350"/>
      <c r="N2893" s="292"/>
      <c r="O2893" s="408">
        <f>SUM(TrialBalanceC!I113:I117)</f>
        <v>0</v>
      </c>
      <c r="P2893" s="295"/>
      <c r="R2893" s="348" t="str">
        <f t="shared" si="237"/>
        <v>DELETE</v>
      </c>
      <c r="S2893" s="331"/>
      <c r="T2893" s="331"/>
      <c r="U2893" s="331"/>
      <c r="V2893" s="331"/>
      <c r="W2893" s="331"/>
      <c r="X2893" s="331"/>
      <c r="Y2893" s="334"/>
      <c r="Z2893" s="334"/>
      <c r="AA2893" s="349"/>
      <c r="AB2893" s="365"/>
      <c r="AC2893" s="365"/>
      <c r="AD2893" s="365"/>
      <c r="AE2893" s="365"/>
      <c r="AF2893" s="365"/>
      <c r="AG2893" s="365"/>
      <c r="AH2893" s="365"/>
      <c r="AI2893" s="365"/>
      <c r="AJ2893" s="365"/>
      <c r="AK2893" s="365"/>
      <c r="AL2893" s="381"/>
      <c r="AM2893" s="381"/>
      <c r="AN2893" s="381"/>
      <c r="AO2893" s="381"/>
      <c r="AP2893" s="381"/>
      <c r="AQ2893" s="381"/>
    </row>
    <row r="2894" spans="3:43" s="345" customFormat="1" ht="36" customHeight="1" x14ac:dyDescent="0.45">
      <c r="C2894" s="397"/>
      <c r="D2894" s="434" t="s">
        <v>241</v>
      </c>
      <c r="E2894" s="434"/>
      <c r="F2894" s="434"/>
      <c r="G2894" s="434"/>
      <c r="H2894" s="434"/>
      <c r="I2894" s="434"/>
      <c r="J2894" s="449"/>
      <c r="K2894" s="292"/>
      <c r="L2894" s="350"/>
      <c r="M2894" s="350"/>
      <c r="N2894" s="292"/>
      <c r="O2894" s="408">
        <f>TrialBalanceC!I118</f>
        <v>0</v>
      </c>
      <c r="P2894" s="295"/>
      <c r="R2894" s="348" t="str">
        <f t="shared" si="237"/>
        <v>DELETE</v>
      </c>
      <c r="S2894" s="331"/>
      <c r="T2894" s="331"/>
      <c r="U2894" s="331"/>
      <c r="V2894" s="331"/>
      <c r="W2894" s="331"/>
      <c r="X2894" s="331"/>
      <c r="Y2894" s="334"/>
      <c r="Z2894" s="334"/>
      <c r="AA2894" s="349"/>
      <c r="AB2894" s="365"/>
      <c r="AC2894" s="365"/>
      <c r="AD2894" s="365"/>
      <c r="AE2894" s="365"/>
      <c r="AF2894" s="365"/>
      <c r="AG2894" s="365"/>
      <c r="AH2894" s="365"/>
      <c r="AI2894" s="365"/>
      <c r="AJ2894" s="365"/>
      <c r="AK2894" s="365"/>
      <c r="AL2894" s="381"/>
      <c r="AM2894" s="381"/>
      <c r="AN2894" s="381"/>
      <c r="AO2894" s="381"/>
      <c r="AP2894" s="381"/>
      <c r="AQ2894" s="381"/>
    </row>
    <row r="2895" spans="3:43" s="345" customFormat="1" ht="36" customHeight="1" x14ac:dyDescent="0.45">
      <c r="C2895" s="397"/>
      <c r="D2895" s="434" t="s">
        <v>344</v>
      </c>
      <c r="E2895" s="434"/>
      <c r="F2895" s="434"/>
      <c r="G2895" s="434"/>
      <c r="H2895" s="434"/>
      <c r="I2895" s="434"/>
      <c r="J2895" s="449"/>
      <c r="K2895" s="292"/>
      <c r="L2895" s="350"/>
      <c r="M2895" s="350"/>
      <c r="N2895" s="292"/>
      <c r="O2895" s="408">
        <f>TrialBalanceC!I119</f>
        <v>0</v>
      </c>
      <c r="P2895" s="295"/>
      <c r="R2895" s="348" t="str">
        <f t="shared" si="237"/>
        <v>DELETE</v>
      </c>
      <c r="S2895" s="331"/>
      <c r="T2895" s="331"/>
      <c r="U2895" s="331"/>
      <c r="V2895" s="331"/>
      <c r="W2895" s="331"/>
      <c r="X2895" s="331"/>
      <c r="Y2895" s="334"/>
      <c r="Z2895" s="334"/>
      <c r="AA2895" s="349"/>
      <c r="AB2895" s="365"/>
      <c r="AC2895" s="365"/>
      <c r="AD2895" s="365"/>
      <c r="AE2895" s="365"/>
      <c r="AF2895" s="365"/>
      <c r="AG2895" s="365"/>
      <c r="AH2895" s="365"/>
      <c r="AI2895" s="365"/>
      <c r="AJ2895" s="365"/>
      <c r="AK2895" s="365"/>
      <c r="AL2895" s="381"/>
      <c r="AM2895" s="381"/>
      <c r="AN2895" s="381"/>
      <c r="AO2895" s="381"/>
      <c r="AP2895" s="381"/>
      <c r="AQ2895" s="381"/>
    </row>
    <row r="2896" spans="3:43" s="345" customFormat="1" ht="36" customHeight="1" x14ac:dyDescent="0.45">
      <c r="C2896" s="397"/>
      <c r="D2896" s="434" t="s">
        <v>305</v>
      </c>
      <c r="E2896" s="434"/>
      <c r="F2896" s="434"/>
      <c r="G2896" s="434"/>
      <c r="H2896" s="434"/>
      <c r="I2896" s="434"/>
      <c r="J2896" s="449"/>
      <c r="K2896" s="292"/>
      <c r="L2896" s="350"/>
      <c r="M2896" s="350"/>
      <c r="N2896" s="292"/>
      <c r="O2896" s="408">
        <f>TrialBalanceC!I120</f>
        <v>0</v>
      </c>
      <c r="P2896" s="295"/>
      <c r="R2896" s="348" t="str">
        <f t="shared" si="237"/>
        <v>DELETE</v>
      </c>
      <c r="S2896" s="331"/>
      <c r="T2896" s="331"/>
      <c r="U2896" s="331"/>
      <c r="V2896" s="331"/>
      <c r="W2896" s="331"/>
      <c r="X2896" s="331"/>
      <c r="Y2896" s="334"/>
      <c r="Z2896" s="334"/>
      <c r="AA2896" s="349"/>
      <c r="AB2896" s="365"/>
      <c r="AC2896" s="365"/>
      <c r="AD2896" s="365"/>
      <c r="AE2896" s="365"/>
      <c r="AF2896" s="365"/>
      <c r="AG2896" s="365"/>
      <c r="AH2896" s="365"/>
      <c r="AI2896" s="365"/>
      <c r="AJ2896" s="365"/>
      <c r="AK2896" s="365"/>
      <c r="AL2896" s="381"/>
      <c r="AM2896" s="381"/>
      <c r="AN2896" s="381"/>
      <c r="AO2896" s="381"/>
      <c r="AP2896" s="381"/>
      <c r="AQ2896" s="381"/>
    </row>
    <row r="2897" spans="3:43" s="345" customFormat="1" ht="36" customHeight="1" x14ac:dyDescent="0.45">
      <c r="C2897" s="397"/>
      <c r="D2897" s="434" t="s">
        <v>346</v>
      </c>
      <c r="E2897" s="434"/>
      <c r="F2897" s="434"/>
      <c r="G2897" s="434"/>
      <c r="H2897" s="434"/>
      <c r="I2897" s="434"/>
      <c r="J2897" s="449"/>
      <c r="K2897" s="292"/>
      <c r="L2897" s="350"/>
      <c r="M2897" s="350"/>
      <c r="N2897" s="292"/>
      <c r="O2897" s="408">
        <f>TrialBalanceC!I121</f>
        <v>0</v>
      </c>
      <c r="P2897" s="295"/>
      <c r="R2897" s="348" t="str">
        <f t="shared" si="237"/>
        <v>DELETE</v>
      </c>
      <c r="S2897" s="331"/>
      <c r="T2897" s="331"/>
      <c r="U2897" s="331"/>
      <c r="V2897" s="331"/>
      <c r="W2897" s="331"/>
      <c r="X2897" s="331"/>
      <c r="Y2897" s="334"/>
      <c r="Z2897" s="334"/>
      <c r="AA2897" s="349"/>
      <c r="AB2897" s="365"/>
      <c r="AC2897" s="365"/>
      <c r="AD2897" s="365"/>
      <c r="AE2897" s="365"/>
      <c r="AF2897" s="365"/>
      <c r="AG2897" s="365"/>
      <c r="AH2897" s="365"/>
      <c r="AI2897" s="365"/>
      <c r="AJ2897" s="365"/>
      <c r="AK2897" s="365"/>
      <c r="AL2897" s="381"/>
      <c r="AM2897" s="381"/>
      <c r="AN2897" s="381"/>
      <c r="AO2897" s="381"/>
      <c r="AP2897" s="381"/>
      <c r="AQ2897" s="381"/>
    </row>
    <row r="2898" spans="3:43" s="345" customFormat="1" ht="36" customHeight="1" x14ac:dyDescent="0.45">
      <c r="C2898" s="397"/>
      <c r="D2898" s="434" t="s">
        <v>921</v>
      </c>
      <c r="E2898" s="434"/>
      <c r="F2898" s="434"/>
      <c r="G2898" s="434"/>
      <c r="H2898" s="434"/>
      <c r="I2898" s="434"/>
      <c r="J2898" s="449"/>
      <c r="K2898" s="292"/>
      <c r="L2898" s="350"/>
      <c r="M2898" s="350"/>
      <c r="N2898" s="292"/>
      <c r="O2898" s="408">
        <f>TrialBalanceC!I156</f>
        <v>0</v>
      </c>
      <c r="P2898" s="295"/>
      <c r="R2898" s="348" t="str">
        <f>IF(R$2783="DELETE","DELETE",IF(O2898=0,"DELETE"," "))</f>
        <v>DELETE</v>
      </c>
      <c r="S2898" s="331"/>
      <c r="T2898" s="331"/>
      <c r="U2898" s="331"/>
      <c r="V2898" s="331"/>
      <c r="W2898" s="331"/>
      <c r="X2898" s="331"/>
      <c r="Y2898" s="334"/>
      <c r="Z2898" s="334"/>
      <c r="AA2898" s="349"/>
      <c r="AB2898" s="365"/>
      <c r="AC2898" s="365"/>
      <c r="AD2898" s="365"/>
      <c r="AE2898" s="365"/>
      <c r="AF2898" s="365"/>
      <c r="AG2898" s="365"/>
      <c r="AH2898" s="365"/>
      <c r="AI2898" s="365"/>
      <c r="AJ2898" s="365"/>
      <c r="AK2898" s="365"/>
      <c r="AL2898" s="381"/>
      <c r="AM2898" s="381"/>
      <c r="AN2898" s="381"/>
      <c r="AO2898" s="381"/>
      <c r="AP2898" s="381"/>
      <c r="AQ2898" s="381"/>
    </row>
    <row r="2899" spans="3:43" s="345" customFormat="1" ht="36" customHeight="1" x14ac:dyDescent="0.45">
      <c r="C2899" s="397"/>
      <c r="D2899" s="434" t="s">
        <v>490</v>
      </c>
      <c r="E2899" s="434"/>
      <c r="F2899" s="434"/>
      <c r="G2899" s="434"/>
      <c r="H2899" s="434"/>
      <c r="I2899" s="434"/>
      <c r="J2899" s="449"/>
      <c r="K2899" s="292"/>
      <c r="L2899" s="350"/>
      <c r="M2899" s="350"/>
      <c r="N2899" s="292"/>
      <c r="O2899" s="408">
        <f>TrialBalanceC!I122+TrialBalanceC!I123</f>
        <v>0</v>
      </c>
      <c r="P2899" s="295"/>
      <c r="R2899" s="348" t="str">
        <f t="shared" si="237"/>
        <v>DELETE</v>
      </c>
      <c r="S2899" s="331"/>
      <c r="T2899" s="331"/>
      <c r="U2899" s="331"/>
      <c r="V2899" s="331"/>
      <c r="W2899" s="331"/>
      <c r="X2899" s="331"/>
      <c r="Y2899" s="334"/>
      <c r="Z2899" s="334"/>
      <c r="AA2899" s="349"/>
      <c r="AB2899" s="365"/>
      <c r="AC2899" s="365"/>
      <c r="AD2899" s="365"/>
      <c r="AE2899" s="365"/>
      <c r="AF2899" s="365"/>
      <c r="AG2899" s="365"/>
      <c r="AH2899" s="365"/>
      <c r="AI2899" s="365"/>
      <c r="AJ2899" s="365"/>
      <c r="AK2899" s="365"/>
      <c r="AL2899" s="381"/>
      <c r="AM2899" s="381"/>
      <c r="AN2899" s="381"/>
      <c r="AO2899" s="381"/>
      <c r="AP2899" s="381"/>
      <c r="AQ2899" s="381"/>
    </row>
    <row r="2900" spans="3:43" s="345" customFormat="1" ht="36" customHeight="1" x14ac:dyDescent="0.45">
      <c r="C2900" s="397"/>
      <c r="D2900" s="434" t="s">
        <v>512</v>
      </c>
      <c r="E2900" s="434"/>
      <c r="F2900" s="434"/>
      <c r="G2900" s="434"/>
      <c r="H2900" s="434"/>
      <c r="I2900" s="434"/>
      <c r="J2900" s="449"/>
      <c r="K2900" s="292"/>
      <c r="L2900" s="350"/>
      <c r="M2900" s="350"/>
      <c r="N2900" s="292"/>
      <c r="O2900" s="408">
        <f>IF(TrialBalanceC!I94&gt;0,TrialBalanceC!I94,0)</f>
        <v>0</v>
      </c>
      <c r="P2900" s="295"/>
      <c r="R2900" s="348" t="str">
        <f>IF(R$2783="DELETE","DELETE",IF(O2900=0,"DELETE"," "))</f>
        <v>DELETE</v>
      </c>
      <c r="S2900" s="331"/>
      <c r="T2900" s="331"/>
      <c r="U2900" s="331"/>
      <c r="V2900" s="331"/>
      <c r="W2900" s="331"/>
      <c r="X2900" s="331"/>
      <c r="Y2900" s="334"/>
      <c r="Z2900" s="334"/>
      <c r="AA2900" s="349"/>
      <c r="AB2900" s="365"/>
      <c r="AC2900" s="365"/>
      <c r="AD2900" s="365"/>
      <c r="AE2900" s="365"/>
      <c r="AF2900" s="365"/>
      <c r="AG2900" s="365"/>
      <c r="AH2900" s="365"/>
      <c r="AI2900" s="365"/>
      <c r="AJ2900" s="365"/>
      <c r="AK2900" s="365"/>
      <c r="AL2900" s="381"/>
      <c r="AM2900" s="381"/>
      <c r="AN2900" s="381"/>
      <c r="AO2900" s="381"/>
      <c r="AP2900" s="381"/>
      <c r="AQ2900" s="381"/>
    </row>
    <row r="2901" spans="3:43" s="345" customFormat="1" ht="36" customHeight="1" x14ac:dyDescent="0.45">
      <c r="C2901" s="397"/>
      <c r="D2901" s="434" t="s">
        <v>681</v>
      </c>
      <c r="E2901" s="434"/>
      <c r="F2901" s="434"/>
      <c r="G2901" s="434"/>
      <c r="H2901" s="434"/>
      <c r="I2901" s="434"/>
      <c r="J2901" s="449"/>
      <c r="K2901" s="292"/>
      <c r="L2901" s="350"/>
      <c r="M2901" s="350"/>
      <c r="N2901" s="292"/>
      <c r="O2901" s="408">
        <f>TrialBalanceC!I124</f>
        <v>0</v>
      </c>
      <c r="P2901" s="295"/>
      <c r="R2901" s="348" t="str">
        <f t="shared" si="237"/>
        <v>DELETE</v>
      </c>
      <c r="S2901" s="331"/>
      <c r="T2901" s="331"/>
      <c r="U2901" s="331"/>
      <c r="V2901" s="331"/>
      <c r="W2901" s="331"/>
      <c r="X2901" s="331"/>
      <c r="Y2901" s="334"/>
      <c r="Z2901" s="334"/>
      <c r="AA2901" s="349"/>
      <c r="AB2901" s="365"/>
      <c r="AC2901" s="365"/>
      <c r="AD2901" s="365"/>
      <c r="AE2901" s="365"/>
      <c r="AF2901" s="365"/>
      <c r="AG2901" s="365"/>
      <c r="AH2901" s="365"/>
      <c r="AI2901" s="365"/>
      <c r="AJ2901" s="365"/>
      <c r="AK2901" s="365"/>
      <c r="AL2901" s="381"/>
      <c r="AM2901" s="381"/>
      <c r="AN2901" s="381"/>
      <c r="AO2901" s="381"/>
      <c r="AP2901" s="381"/>
      <c r="AQ2901" s="381"/>
    </row>
    <row r="2902" spans="3:43" s="345" customFormat="1" ht="36" customHeight="1" x14ac:dyDescent="0.45">
      <c r="C2902" s="397"/>
      <c r="D2902" s="434" t="s">
        <v>242</v>
      </c>
      <c r="E2902" s="434"/>
      <c r="F2902" s="434"/>
      <c r="G2902" s="434"/>
      <c r="H2902" s="434"/>
      <c r="I2902" s="434"/>
      <c r="J2902" s="449"/>
      <c r="K2902" s="292"/>
      <c r="L2902" s="350"/>
      <c r="M2902" s="350"/>
      <c r="N2902" s="292"/>
      <c r="O2902" s="408">
        <f>TrialBalanceC!I125</f>
        <v>0</v>
      </c>
      <c r="P2902" s="295"/>
      <c r="R2902" s="348" t="str">
        <f t="shared" si="237"/>
        <v>DELETE</v>
      </c>
      <c r="S2902" s="331"/>
      <c r="T2902" s="331"/>
      <c r="U2902" s="331"/>
      <c r="V2902" s="331"/>
      <c r="W2902" s="331"/>
      <c r="X2902" s="331"/>
      <c r="Y2902" s="334"/>
      <c r="Z2902" s="334"/>
      <c r="AA2902" s="349"/>
      <c r="AB2902" s="365"/>
      <c r="AC2902" s="365"/>
      <c r="AD2902" s="365"/>
      <c r="AE2902" s="365"/>
      <c r="AF2902" s="365"/>
      <c r="AG2902" s="365"/>
      <c r="AH2902" s="365"/>
      <c r="AI2902" s="365"/>
      <c r="AJ2902" s="365"/>
      <c r="AK2902" s="365"/>
      <c r="AL2902" s="381"/>
      <c r="AM2902" s="381"/>
      <c r="AN2902" s="381"/>
      <c r="AO2902" s="381"/>
      <c r="AP2902" s="381"/>
      <c r="AQ2902" s="381"/>
    </row>
    <row r="2903" spans="3:43" s="345" customFormat="1" ht="36" customHeight="1" x14ac:dyDescent="0.45">
      <c r="C2903" s="397"/>
      <c r="D2903" s="434" t="s">
        <v>235</v>
      </c>
      <c r="E2903" s="434"/>
      <c r="F2903" s="434"/>
      <c r="G2903" s="434"/>
      <c r="H2903" s="434"/>
      <c r="I2903" s="434"/>
      <c r="J2903" s="449"/>
      <c r="K2903" s="292"/>
      <c r="L2903" s="350"/>
      <c r="M2903" s="350"/>
      <c r="N2903" s="292"/>
      <c r="O2903" s="408">
        <f>SUM(TrialBalanceC!I126:I127)</f>
        <v>0</v>
      </c>
      <c r="P2903" s="295"/>
      <c r="R2903" s="348" t="str">
        <f t="shared" si="237"/>
        <v>DELETE</v>
      </c>
      <c r="S2903" s="331"/>
      <c r="T2903" s="331"/>
      <c r="U2903" s="331"/>
      <c r="V2903" s="331"/>
      <c r="W2903" s="331"/>
      <c r="X2903" s="331"/>
      <c r="Y2903" s="334"/>
      <c r="Z2903" s="334"/>
      <c r="AA2903" s="349"/>
      <c r="AB2903" s="365"/>
      <c r="AC2903" s="365"/>
      <c r="AD2903" s="365"/>
      <c r="AE2903" s="365"/>
      <c r="AF2903" s="365"/>
      <c r="AG2903" s="365"/>
      <c r="AH2903" s="365"/>
      <c r="AI2903" s="365"/>
      <c r="AJ2903" s="365"/>
      <c r="AK2903" s="365"/>
      <c r="AL2903" s="381"/>
      <c r="AM2903" s="381"/>
      <c r="AN2903" s="381"/>
      <c r="AO2903" s="381"/>
      <c r="AP2903" s="381"/>
      <c r="AQ2903" s="381"/>
    </row>
    <row r="2904" spans="3:43" s="345" customFormat="1" ht="36" customHeight="1" x14ac:dyDescent="0.45">
      <c r="C2904" s="397"/>
      <c r="D2904" s="434" t="s">
        <v>243</v>
      </c>
      <c r="E2904" s="434"/>
      <c r="F2904" s="434"/>
      <c r="G2904" s="434"/>
      <c r="H2904" s="434"/>
      <c r="I2904" s="434"/>
      <c r="J2904" s="449"/>
      <c r="K2904" s="292"/>
      <c r="L2904" s="350"/>
      <c r="M2904" s="350"/>
      <c r="N2904" s="292"/>
      <c r="O2904" s="408">
        <f>TrialBalanceC!I128</f>
        <v>0</v>
      </c>
      <c r="P2904" s="295"/>
      <c r="R2904" s="348" t="str">
        <f t="shared" si="237"/>
        <v>DELETE</v>
      </c>
      <c r="S2904" s="331"/>
      <c r="T2904" s="331"/>
      <c r="U2904" s="331"/>
      <c r="V2904" s="331"/>
      <c r="W2904" s="331"/>
      <c r="X2904" s="331"/>
      <c r="Y2904" s="334"/>
      <c r="Z2904" s="334"/>
      <c r="AA2904" s="349"/>
      <c r="AB2904" s="365"/>
      <c r="AC2904" s="365"/>
      <c r="AD2904" s="365"/>
      <c r="AE2904" s="365"/>
      <c r="AF2904" s="365"/>
      <c r="AG2904" s="365"/>
      <c r="AH2904" s="365"/>
      <c r="AI2904" s="365"/>
      <c r="AJ2904" s="365"/>
      <c r="AK2904" s="365"/>
      <c r="AL2904" s="381"/>
      <c r="AM2904" s="381"/>
      <c r="AN2904" s="381"/>
      <c r="AO2904" s="381"/>
      <c r="AP2904" s="381"/>
      <c r="AQ2904" s="381"/>
    </row>
    <row r="2905" spans="3:43" s="345" customFormat="1" ht="36" customHeight="1" x14ac:dyDescent="0.45">
      <c r="C2905" s="397"/>
      <c r="D2905" s="434" t="s">
        <v>682</v>
      </c>
      <c r="E2905" s="434"/>
      <c r="F2905" s="434"/>
      <c r="G2905" s="434"/>
      <c r="H2905" s="434"/>
      <c r="I2905" s="434"/>
      <c r="J2905" s="449"/>
      <c r="K2905" s="292"/>
      <c r="L2905" s="350"/>
      <c r="M2905" s="350"/>
      <c r="N2905" s="292"/>
      <c r="O2905" s="408">
        <f>TrialBalanceC!I129</f>
        <v>0</v>
      </c>
      <c r="P2905" s="295"/>
      <c r="R2905" s="348" t="str">
        <f t="shared" si="237"/>
        <v>DELETE</v>
      </c>
      <c r="S2905" s="331"/>
      <c r="T2905" s="331"/>
      <c r="U2905" s="331"/>
      <c r="V2905" s="331"/>
      <c r="W2905" s="331"/>
      <c r="X2905" s="331"/>
      <c r="Y2905" s="334"/>
      <c r="Z2905" s="334"/>
      <c r="AA2905" s="349"/>
      <c r="AB2905" s="365"/>
      <c r="AC2905" s="365"/>
      <c r="AD2905" s="365"/>
      <c r="AE2905" s="365"/>
      <c r="AF2905" s="365"/>
      <c r="AG2905" s="365"/>
      <c r="AH2905" s="365"/>
      <c r="AI2905" s="365"/>
      <c r="AJ2905" s="365"/>
      <c r="AK2905" s="365"/>
      <c r="AL2905" s="381"/>
      <c r="AM2905" s="381"/>
      <c r="AN2905" s="381"/>
      <c r="AO2905" s="381"/>
      <c r="AP2905" s="381"/>
      <c r="AQ2905" s="381"/>
    </row>
    <row r="2906" spans="3:43" s="345" customFormat="1" ht="36" customHeight="1" x14ac:dyDescent="0.45">
      <c r="C2906" s="397"/>
      <c r="D2906" s="434" t="s">
        <v>74</v>
      </c>
      <c r="E2906" s="434"/>
      <c r="F2906" s="434"/>
      <c r="G2906" s="434"/>
      <c r="H2906" s="434"/>
      <c r="I2906" s="434"/>
      <c r="J2906" s="449"/>
      <c r="K2906" s="292"/>
      <c r="L2906" s="350"/>
      <c r="M2906" s="350"/>
      <c r="N2906" s="292"/>
      <c r="O2906" s="408">
        <f>TrialBalanceC!I130</f>
        <v>0</v>
      </c>
      <c r="P2906" s="295"/>
      <c r="R2906" s="348" t="str">
        <f t="shared" si="237"/>
        <v>DELETE</v>
      </c>
      <c r="S2906" s="331"/>
      <c r="T2906" s="331"/>
      <c r="U2906" s="331"/>
      <c r="V2906" s="331"/>
      <c r="W2906" s="331"/>
      <c r="X2906" s="331"/>
      <c r="Y2906" s="334"/>
      <c r="Z2906" s="334"/>
      <c r="AA2906" s="349"/>
      <c r="AB2906" s="365"/>
      <c r="AC2906" s="365"/>
      <c r="AD2906" s="365"/>
      <c r="AE2906" s="365"/>
      <c r="AF2906" s="365"/>
      <c r="AG2906" s="365"/>
      <c r="AH2906" s="365"/>
      <c r="AI2906" s="365"/>
      <c r="AJ2906" s="365"/>
      <c r="AK2906" s="365"/>
      <c r="AL2906" s="381"/>
      <c r="AM2906" s="381"/>
      <c r="AN2906" s="381"/>
      <c r="AO2906" s="381"/>
      <c r="AP2906" s="381"/>
      <c r="AQ2906" s="381"/>
    </row>
    <row r="2907" spans="3:43" s="345" customFormat="1" ht="36" customHeight="1" x14ac:dyDescent="0.45">
      <c r="C2907" s="397"/>
      <c r="D2907" s="434">
        <f>TrialBalanceC!C131</f>
        <v>0</v>
      </c>
      <c r="E2907" s="434"/>
      <c r="F2907" s="434"/>
      <c r="G2907" s="434"/>
      <c r="H2907" s="434"/>
      <c r="I2907" s="434"/>
      <c r="J2907" s="449"/>
      <c r="K2907" s="292"/>
      <c r="L2907" s="350"/>
      <c r="M2907" s="350"/>
      <c r="N2907" s="292"/>
      <c r="O2907" s="408">
        <f>TrialBalanceC!I131</f>
        <v>0</v>
      </c>
      <c r="P2907" s="295"/>
      <c r="R2907" s="348" t="str">
        <f t="shared" si="237"/>
        <v>DELETE</v>
      </c>
      <c r="S2907" s="331"/>
      <c r="T2907" s="331"/>
      <c r="U2907" s="331"/>
      <c r="V2907" s="331"/>
      <c r="W2907" s="331"/>
      <c r="X2907" s="331"/>
      <c r="Y2907" s="334"/>
      <c r="Z2907" s="334"/>
      <c r="AA2907" s="349"/>
      <c r="AB2907" s="365"/>
      <c r="AC2907" s="365"/>
      <c r="AD2907" s="365"/>
      <c r="AE2907" s="365"/>
      <c r="AF2907" s="365"/>
      <c r="AG2907" s="365"/>
      <c r="AH2907" s="365"/>
      <c r="AI2907" s="365"/>
      <c r="AJ2907" s="365"/>
      <c r="AK2907" s="365"/>
      <c r="AL2907" s="381"/>
      <c r="AM2907" s="381"/>
      <c r="AN2907" s="381"/>
      <c r="AO2907" s="381"/>
      <c r="AP2907" s="381"/>
      <c r="AQ2907" s="381"/>
    </row>
    <row r="2908" spans="3:43" s="345" customFormat="1" ht="36" customHeight="1" x14ac:dyDescent="0.45">
      <c r="C2908" s="397"/>
      <c r="D2908" s="434">
        <f>TrialBalanceC!C132</f>
        <v>0</v>
      </c>
      <c r="E2908" s="434"/>
      <c r="F2908" s="434"/>
      <c r="G2908" s="434"/>
      <c r="H2908" s="434"/>
      <c r="I2908" s="434"/>
      <c r="J2908" s="449"/>
      <c r="K2908" s="292"/>
      <c r="L2908" s="350"/>
      <c r="M2908" s="350"/>
      <c r="N2908" s="292"/>
      <c r="O2908" s="408">
        <f>TrialBalanceC!I132</f>
        <v>0</v>
      </c>
      <c r="P2908" s="295"/>
      <c r="R2908" s="348" t="str">
        <f t="shared" si="237"/>
        <v>DELETE</v>
      </c>
      <c r="S2908" s="331"/>
      <c r="T2908" s="331"/>
      <c r="U2908" s="331"/>
      <c r="V2908" s="331"/>
      <c r="W2908" s="331"/>
      <c r="X2908" s="331"/>
      <c r="Y2908" s="334"/>
      <c r="Z2908" s="334"/>
      <c r="AA2908" s="349"/>
      <c r="AB2908" s="365"/>
      <c r="AC2908" s="365"/>
      <c r="AD2908" s="365"/>
      <c r="AE2908" s="365"/>
      <c r="AF2908" s="365"/>
      <c r="AG2908" s="365"/>
      <c r="AH2908" s="365"/>
      <c r="AI2908" s="365"/>
      <c r="AJ2908" s="365"/>
      <c r="AK2908" s="365"/>
      <c r="AL2908" s="381"/>
      <c r="AM2908" s="381"/>
      <c r="AN2908" s="381"/>
      <c r="AO2908" s="381"/>
      <c r="AP2908" s="381"/>
      <c r="AQ2908" s="381"/>
    </row>
    <row r="2909" spans="3:43" s="345" customFormat="1" ht="36" customHeight="1" x14ac:dyDescent="0.45">
      <c r="C2909" s="397"/>
      <c r="D2909" s="434">
        <f>TrialBalanceC!C133</f>
        <v>0</v>
      </c>
      <c r="E2909" s="434"/>
      <c r="F2909" s="434"/>
      <c r="G2909" s="434"/>
      <c r="H2909" s="434"/>
      <c r="I2909" s="434"/>
      <c r="J2909" s="449"/>
      <c r="K2909" s="292"/>
      <c r="L2909" s="350"/>
      <c r="M2909" s="350"/>
      <c r="N2909" s="292"/>
      <c r="O2909" s="408">
        <f>TrialBalanceC!I133</f>
        <v>0</v>
      </c>
      <c r="P2909" s="295"/>
      <c r="R2909" s="348" t="str">
        <f t="shared" si="237"/>
        <v>DELETE</v>
      </c>
      <c r="S2909" s="331"/>
      <c r="T2909" s="331"/>
      <c r="U2909" s="331"/>
      <c r="V2909" s="331"/>
      <c r="W2909" s="331"/>
      <c r="X2909" s="331"/>
      <c r="Y2909" s="334"/>
      <c r="Z2909" s="334"/>
      <c r="AA2909" s="349"/>
      <c r="AB2909" s="365"/>
      <c r="AC2909" s="365"/>
      <c r="AD2909" s="365"/>
      <c r="AE2909" s="365"/>
      <c r="AF2909" s="365"/>
      <c r="AG2909" s="365"/>
      <c r="AH2909" s="365"/>
      <c r="AI2909" s="365"/>
      <c r="AJ2909" s="365"/>
      <c r="AK2909" s="365"/>
      <c r="AL2909" s="381"/>
      <c r="AM2909" s="381"/>
      <c r="AN2909" s="381"/>
      <c r="AO2909" s="381"/>
      <c r="AP2909" s="381"/>
      <c r="AQ2909" s="381"/>
    </row>
    <row r="2910" spans="3:43" s="345" customFormat="1" ht="36" customHeight="1" x14ac:dyDescent="0.45">
      <c r="C2910" s="397"/>
      <c r="D2910" s="434">
        <f>TrialBalanceC!C134</f>
        <v>0</v>
      </c>
      <c r="E2910" s="434"/>
      <c r="F2910" s="434"/>
      <c r="G2910" s="434"/>
      <c r="H2910" s="434"/>
      <c r="I2910" s="434"/>
      <c r="J2910" s="449"/>
      <c r="K2910" s="292"/>
      <c r="L2910" s="350"/>
      <c r="M2910" s="350"/>
      <c r="N2910" s="292"/>
      <c r="O2910" s="408">
        <f>TrialBalanceC!I134</f>
        <v>0</v>
      </c>
      <c r="P2910" s="295"/>
      <c r="R2910" s="348" t="str">
        <f t="shared" si="237"/>
        <v>DELETE</v>
      </c>
      <c r="S2910" s="331"/>
      <c r="T2910" s="331"/>
      <c r="U2910" s="331"/>
      <c r="V2910" s="331"/>
      <c r="W2910" s="331"/>
      <c r="X2910" s="331"/>
      <c r="Y2910" s="334"/>
      <c r="Z2910" s="334"/>
      <c r="AA2910" s="349"/>
      <c r="AB2910" s="365"/>
      <c r="AC2910" s="365"/>
      <c r="AD2910" s="365"/>
      <c r="AE2910" s="365"/>
      <c r="AF2910" s="365"/>
      <c r="AG2910" s="365"/>
      <c r="AH2910" s="365"/>
      <c r="AI2910" s="365"/>
      <c r="AJ2910" s="365"/>
      <c r="AK2910" s="365"/>
      <c r="AL2910" s="381"/>
      <c r="AM2910" s="381"/>
      <c r="AN2910" s="381"/>
      <c r="AO2910" s="381"/>
      <c r="AP2910" s="381"/>
      <c r="AQ2910" s="381"/>
    </row>
    <row r="2911" spans="3:43" s="345" customFormat="1" ht="36" customHeight="1" x14ac:dyDescent="0.45">
      <c r="C2911" s="397"/>
      <c r="D2911" s="434">
        <f>TrialBalanceC!C135</f>
        <v>0</v>
      </c>
      <c r="E2911" s="434"/>
      <c r="F2911" s="434"/>
      <c r="G2911" s="434"/>
      <c r="H2911" s="434"/>
      <c r="I2911" s="434"/>
      <c r="J2911" s="449"/>
      <c r="K2911" s="292"/>
      <c r="L2911" s="350"/>
      <c r="M2911" s="350"/>
      <c r="N2911" s="292"/>
      <c r="O2911" s="408">
        <f>TrialBalanceC!I135</f>
        <v>0</v>
      </c>
      <c r="P2911" s="295"/>
      <c r="R2911" s="348" t="str">
        <f t="shared" si="237"/>
        <v>DELETE</v>
      </c>
      <c r="S2911" s="331"/>
      <c r="T2911" s="331"/>
      <c r="U2911" s="331"/>
      <c r="V2911" s="331"/>
      <c r="W2911" s="331"/>
      <c r="X2911" s="331"/>
      <c r="Y2911" s="334"/>
      <c r="Z2911" s="334"/>
      <c r="AA2911" s="349"/>
      <c r="AB2911" s="365"/>
      <c r="AC2911" s="365"/>
      <c r="AD2911" s="365"/>
      <c r="AE2911" s="365"/>
      <c r="AF2911" s="365"/>
      <c r="AG2911" s="365"/>
      <c r="AH2911" s="365"/>
      <c r="AI2911" s="365"/>
      <c r="AJ2911" s="365"/>
      <c r="AK2911" s="365"/>
      <c r="AL2911" s="381"/>
      <c r="AM2911" s="381"/>
      <c r="AN2911" s="381"/>
      <c r="AO2911" s="381"/>
      <c r="AP2911" s="381"/>
      <c r="AQ2911" s="381"/>
    </row>
    <row r="2912" spans="3:43" s="345" customFormat="1" ht="36" customHeight="1" x14ac:dyDescent="0.45">
      <c r="C2912" s="397"/>
      <c r="D2912" s="434">
        <f>TrialBalanceC!C136</f>
        <v>0</v>
      </c>
      <c r="E2912" s="434"/>
      <c r="F2912" s="434"/>
      <c r="G2912" s="434"/>
      <c r="H2912" s="434"/>
      <c r="I2912" s="434"/>
      <c r="J2912" s="449"/>
      <c r="K2912" s="292"/>
      <c r="L2912" s="350"/>
      <c r="M2912" s="350"/>
      <c r="N2912" s="292"/>
      <c r="O2912" s="408">
        <f>TrialBalanceC!I136</f>
        <v>0</v>
      </c>
      <c r="P2912" s="295"/>
      <c r="R2912" s="348" t="str">
        <f t="shared" si="237"/>
        <v>DELETE</v>
      </c>
      <c r="S2912" s="331"/>
      <c r="T2912" s="331"/>
      <c r="U2912" s="331"/>
      <c r="V2912" s="331"/>
      <c r="W2912" s="331"/>
      <c r="X2912" s="331"/>
      <c r="Y2912" s="334"/>
      <c r="Z2912" s="334"/>
      <c r="AA2912" s="349"/>
      <c r="AB2912" s="365"/>
      <c r="AC2912" s="365"/>
      <c r="AD2912" s="365"/>
      <c r="AE2912" s="365"/>
      <c r="AF2912" s="365"/>
      <c r="AG2912" s="365"/>
      <c r="AH2912" s="365"/>
      <c r="AI2912" s="365"/>
      <c r="AJ2912" s="365"/>
      <c r="AK2912" s="365"/>
      <c r="AL2912" s="381"/>
      <c r="AM2912" s="381"/>
      <c r="AN2912" s="381"/>
      <c r="AO2912" s="381"/>
      <c r="AP2912" s="381"/>
      <c r="AQ2912" s="381"/>
    </row>
    <row r="2913" spans="3:43" s="345" customFormat="1" ht="36" customHeight="1" x14ac:dyDescent="0.45">
      <c r="C2913" s="397"/>
      <c r="D2913" s="434">
        <f>TrialBalanceC!C137</f>
        <v>0</v>
      </c>
      <c r="E2913" s="434"/>
      <c r="F2913" s="434"/>
      <c r="G2913" s="434"/>
      <c r="H2913" s="434"/>
      <c r="I2913" s="434"/>
      <c r="J2913" s="449"/>
      <c r="K2913" s="292"/>
      <c r="L2913" s="350"/>
      <c r="M2913" s="350"/>
      <c r="N2913" s="292"/>
      <c r="O2913" s="408">
        <f>TrialBalanceC!I137</f>
        <v>0</v>
      </c>
      <c r="P2913" s="295"/>
      <c r="R2913" s="348" t="str">
        <f t="shared" si="237"/>
        <v>DELETE</v>
      </c>
      <c r="S2913" s="331"/>
      <c r="T2913" s="331"/>
      <c r="U2913" s="331"/>
      <c r="V2913" s="331"/>
      <c r="W2913" s="331"/>
      <c r="X2913" s="331"/>
      <c r="Y2913" s="334"/>
      <c r="Z2913" s="334"/>
      <c r="AA2913" s="349"/>
      <c r="AB2913" s="365"/>
      <c r="AC2913" s="365"/>
      <c r="AD2913" s="365"/>
      <c r="AE2913" s="365"/>
      <c r="AF2913" s="365"/>
      <c r="AG2913" s="365"/>
      <c r="AH2913" s="365"/>
      <c r="AI2913" s="365"/>
      <c r="AJ2913" s="365"/>
      <c r="AK2913" s="365"/>
      <c r="AL2913" s="381"/>
      <c r="AM2913" s="381"/>
      <c r="AN2913" s="381"/>
      <c r="AO2913" s="381"/>
      <c r="AP2913" s="381"/>
      <c r="AQ2913" s="381"/>
    </row>
    <row r="2914" spans="3:43" s="345" customFormat="1" ht="36" customHeight="1" x14ac:dyDescent="0.45">
      <c r="C2914" s="397"/>
      <c r="D2914" s="434">
        <f>TrialBalanceC!C138</f>
        <v>0</v>
      </c>
      <c r="E2914" s="434"/>
      <c r="F2914" s="434"/>
      <c r="G2914" s="434"/>
      <c r="H2914" s="434"/>
      <c r="I2914" s="434"/>
      <c r="J2914" s="449"/>
      <c r="K2914" s="292"/>
      <c r="L2914" s="350"/>
      <c r="M2914" s="350"/>
      <c r="N2914" s="292"/>
      <c r="O2914" s="408">
        <f>TrialBalanceC!I138</f>
        <v>0</v>
      </c>
      <c r="P2914" s="295"/>
      <c r="R2914" s="348" t="str">
        <f t="shared" si="237"/>
        <v>DELETE</v>
      </c>
      <c r="S2914" s="331"/>
      <c r="T2914" s="331"/>
      <c r="U2914" s="331"/>
      <c r="V2914" s="331"/>
      <c r="W2914" s="331"/>
      <c r="X2914" s="331"/>
      <c r="Y2914" s="334"/>
      <c r="Z2914" s="334"/>
      <c r="AA2914" s="349"/>
      <c r="AB2914" s="365"/>
      <c r="AC2914" s="365"/>
      <c r="AD2914" s="365"/>
      <c r="AE2914" s="365"/>
      <c r="AF2914" s="365"/>
      <c r="AG2914" s="365"/>
      <c r="AH2914" s="365"/>
      <c r="AI2914" s="365"/>
      <c r="AJ2914" s="365"/>
      <c r="AK2914" s="365"/>
      <c r="AL2914" s="381"/>
      <c r="AM2914" s="381"/>
      <c r="AN2914" s="381"/>
      <c r="AO2914" s="381"/>
      <c r="AP2914" s="381"/>
      <c r="AQ2914" s="381"/>
    </row>
    <row r="2915" spans="3:43" s="345" customFormat="1" ht="36" customHeight="1" x14ac:dyDescent="0.45">
      <c r="C2915" s="397"/>
      <c r="D2915" s="434">
        <f>TrialBalanceC!C139</f>
        <v>0</v>
      </c>
      <c r="E2915" s="434"/>
      <c r="F2915" s="434"/>
      <c r="G2915" s="434"/>
      <c r="H2915" s="434"/>
      <c r="I2915" s="434"/>
      <c r="J2915" s="449"/>
      <c r="K2915" s="292"/>
      <c r="L2915" s="350"/>
      <c r="M2915" s="350"/>
      <c r="N2915" s="292"/>
      <c r="O2915" s="408">
        <f>TrialBalanceC!I139</f>
        <v>0</v>
      </c>
      <c r="P2915" s="295"/>
      <c r="R2915" s="348" t="str">
        <f t="shared" si="237"/>
        <v>DELETE</v>
      </c>
      <c r="S2915" s="331"/>
      <c r="T2915" s="331"/>
      <c r="U2915" s="331"/>
      <c r="V2915" s="331"/>
      <c r="W2915" s="331"/>
      <c r="X2915" s="331"/>
      <c r="Y2915" s="334"/>
      <c r="Z2915" s="334"/>
      <c r="AA2915" s="349"/>
      <c r="AB2915" s="365"/>
      <c r="AC2915" s="365"/>
      <c r="AD2915" s="365"/>
      <c r="AE2915" s="365"/>
      <c r="AF2915" s="365"/>
      <c r="AG2915" s="365"/>
      <c r="AH2915" s="365"/>
      <c r="AI2915" s="365"/>
      <c r="AJ2915" s="365"/>
      <c r="AK2915" s="365"/>
      <c r="AL2915" s="381"/>
      <c r="AM2915" s="381"/>
      <c r="AN2915" s="381"/>
      <c r="AO2915" s="381"/>
      <c r="AP2915" s="381"/>
      <c r="AQ2915" s="381"/>
    </row>
    <row r="2916" spans="3:43" s="345" customFormat="1" ht="36" customHeight="1" x14ac:dyDescent="0.45">
      <c r="C2916" s="397"/>
      <c r="D2916" s="434" t="str">
        <f>TrialBalanceC!C140</f>
        <v>Amortisation of prepaid lease agreement</v>
      </c>
      <c r="E2916" s="434"/>
      <c r="F2916" s="434"/>
      <c r="G2916" s="434"/>
      <c r="H2916" s="434"/>
      <c r="I2916" s="434"/>
      <c r="J2916" s="449"/>
      <c r="K2916" s="292"/>
      <c r="L2916" s="350"/>
      <c r="M2916" s="350"/>
      <c r="N2916" s="292"/>
      <c r="O2916" s="408">
        <f>TrialBalanceC!I140</f>
        <v>0</v>
      </c>
      <c r="P2916" s="295"/>
      <c r="R2916" s="348" t="str">
        <f t="shared" si="237"/>
        <v>DELETE</v>
      </c>
      <c r="S2916" s="331"/>
      <c r="T2916" s="331"/>
      <c r="U2916" s="331"/>
      <c r="V2916" s="331"/>
      <c r="W2916" s="331"/>
      <c r="X2916" s="331"/>
      <c r="Y2916" s="334"/>
      <c r="Z2916" s="334"/>
      <c r="AA2916" s="349"/>
      <c r="AB2916" s="365"/>
      <c r="AC2916" s="365"/>
      <c r="AD2916" s="365"/>
      <c r="AE2916" s="365"/>
      <c r="AF2916" s="365"/>
      <c r="AG2916" s="365"/>
      <c r="AH2916" s="365"/>
      <c r="AI2916" s="365"/>
      <c r="AJ2916" s="365"/>
      <c r="AK2916" s="365"/>
      <c r="AL2916" s="381"/>
      <c r="AM2916" s="381"/>
      <c r="AN2916" s="381"/>
      <c r="AO2916" s="381"/>
      <c r="AP2916" s="381"/>
      <c r="AQ2916" s="381"/>
    </row>
    <row r="2917" spans="3:43" s="345" customFormat="1" ht="36" customHeight="1" x14ac:dyDescent="0.45">
      <c r="C2917" s="397"/>
      <c r="D2917" s="434" t="str">
        <f>TrialBalanceC!C141</f>
        <v>Amortisation of goodwill</v>
      </c>
      <c r="E2917" s="434"/>
      <c r="F2917" s="434"/>
      <c r="G2917" s="434"/>
      <c r="H2917" s="434"/>
      <c r="I2917" s="434"/>
      <c r="J2917" s="449"/>
      <c r="K2917" s="292"/>
      <c r="L2917" s="350"/>
      <c r="M2917" s="350"/>
      <c r="N2917" s="292"/>
      <c r="O2917" s="408">
        <f>TrialBalanceC!I141</f>
        <v>0</v>
      </c>
      <c r="P2917" s="295"/>
      <c r="R2917" s="348" t="str">
        <f t="shared" ref="R2917" si="239">IF(R$2783="DELETE","DELETE",IF(O2917=0,"DELETE"," "))</f>
        <v>DELETE</v>
      </c>
      <c r="S2917" s="331"/>
      <c r="T2917" s="331"/>
      <c r="U2917" s="331"/>
      <c r="V2917" s="331"/>
      <c r="W2917" s="331"/>
      <c r="X2917" s="331"/>
      <c r="Y2917" s="334"/>
      <c r="Z2917" s="334"/>
      <c r="AA2917" s="349"/>
      <c r="AB2917" s="365"/>
      <c r="AC2917" s="365"/>
      <c r="AD2917" s="365"/>
      <c r="AE2917" s="365"/>
      <c r="AF2917" s="365"/>
      <c r="AG2917" s="365"/>
      <c r="AH2917" s="365"/>
      <c r="AI2917" s="365"/>
      <c r="AJ2917" s="365"/>
      <c r="AK2917" s="365"/>
      <c r="AL2917" s="381"/>
      <c r="AM2917" s="381"/>
      <c r="AN2917" s="381"/>
      <c r="AO2917" s="381"/>
      <c r="AP2917" s="381"/>
      <c r="AQ2917" s="381"/>
    </row>
    <row r="2918" spans="3:43" s="345" customFormat="1" ht="9" customHeight="1" x14ac:dyDescent="0.45">
      <c r="C2918" s="397"/>
      <c r="D2918" s="434"/>
      <c r="E2918" s="434"/>
      <c r="F2918" s="434"/>
      <c r="G2918" s="434"/>
      <c r="H2918" s="434"/>
      <c r="I2918" s="434"/>
      <c r="J2918" s="449"/>
      <c r="K2918" s="292"/>
      <c r="L2918" s="350"/>
      <c r="M2918" s="350"/>
      <c r="N2918" s="292"/>
      <c r="O2918" s="409"/>
      <c r="P2918" s="295"/>
      <c r="R2918" s="348" t="str">
        <f>R2882</f>
        <v>DELETE</v>
      </c>
      <c r="S2918" s="331"/>
      <c r="T2918" s="331"/>
      <c r="U2918" s="331"/>
      <c r="V2918" s="331"/>
      <c r="W2918" s="331"/>
      <c r="X2918" s="331"/>
      <c r="Y2918" s="334"/>
      <c r="Z2918" s="334"/>
      <c r="AA2918" s="349"/>
      <c r="AB2918" s="365"/>
      <c r="AC2918" s="365"/>
      <c r="AD2918" s="365"/>
      <c r="AE2918" s="365"/>
      <c r="AF2918" s="365"/>
      <c r="AG2918" s="365"/>
      <c r="AH2918" s="365"/>
      <c r="AI2918" s="365"/>
      <c r="AJ2918" s="365"/>
      <c r="AK2918" s="365"/>
      <c r="AL2918" s="381"/>
      <c r="AM2918" s="381"/>
      <c r="AN2918" s="381"/>
      <c r="AO2918" s="381"/>
      <c r="AP2918" s="381"/>
      <c r="AQ2918" s="381"/>
    </row>
    <row r="2919" spans="3:43" s="345" customFormat="1" ht="9" customHeight="1" x14ac:dyDescent="0.45">
      <c r="C2919" s="397"/>
      <c r="D2919" s="434"/>
      <c r="E2919" s="434"/>
      <c r="F2919" s="434"/>
      <c r="G2919" s="434"/>
      <c r="H2919" s="434"/>
      <c r="I2919" s="434"/>
      <c r="J2919" s="449"/>
      <c r="K2919" s="292"/>
      <c r="L2919" s="350"/>
      <c r="M2919" s="350"/>
      <c r="N2919" s="292"/>
      <c r="O2919" s="298"/>
      <c r="P2919" s="295"/>
      <c r="R2919" s="348" t="str">
        <f t="shared" ref="R2919:R2922" si="240">R$2783</f>
        <v>DELETE</v>
      </c>
      <c r="S2919" s="331"/>
      <c r="T2919" s="331"/>
      <c r="U2919" s="331"/>
      <c r="V2919" s="331"/>
      <c r="W2919" s="331"/>
      <c r="X2919" s="331"/>
      <c r="Y2919" s="334"/>
      <c r="Z2919" s="334"/>
      <c r="AA2919" s="349"/>
      <c r="AB2919" s="365"/>
      <c r="AC2919" s="365"/>
      <c r="AD2919" s="365"/>
      <c r="AE2919" s="365"/>
      <c r="AF2919" s="365"/>
      <c r="AG2919" s="365"/>
      <c r="AH2919" s="365"/>
      <c r="AI2919" s="365"/>
      <c r="AJ2919" s="365"/>
      <c r="AK2919" s="365"/>
      <c r="AL2919" s="381"/>
      <c r="AM2919" s="381"/>
      <c r="AN2919" s="381"/>
      <c r="AO2919" s="381"/>
      <c r="AP2919" s="381"/>
      <c r="AQ2919" s="381"/>
    </row>
    <row r="2920" spans="3:43" s="345" customFormat="1" ht="9" customHeight="1" x14ac:dyDescent="0.45">
      <c r="C2920" s="397"/>
      <c r="D2920" s="434"/>
      <c r="E2920" s="434"/>
      <c r="F2920" s="434"/>
      <c r="G2920" s="434"/>
      <c r="H2920" s="434"/>
      <c r="I2920" s="434"/>
      <c r="J2920" s="449"/>
      <c r="K2920" s="292"/>
      <c r="L2920" s="350"/>
      <c r="M2920" s="350"/>
      <c r="N2920" s="292"/>
      <c r="O2920" s="296"/>
      <c r="P2920" s="295"/>
      <c r="R2920" s="348" t="str">
        <f t="shared" si="240"/>
        <v>DELETE</v>
      </c>
      <c r="S2920" s="331"/>
      <c r="T2920" s="331"/>
      <c r="U2920" s="331"/>
      <c r="V2920" s="331"/>
      <c r="W2920" s="331"/>
      <c r="X2920" s="331"/>
      <c r="Y2920" s="334"/>
      <c r="Z2920" s="334"/>
      <c r="AA2920" s="349"/>
      <c r="AB2920" s="365"/>
      <c r="AC2920" s="365"/>
      <c r="AD2920" s="365"/>
      <c r="AE2920" s="365"/>
      <c r="AF2920" s="365"/>
      <c r="AG2920" s="365"/>
      <c r="AH2920" s="365"/>
      <c r="AI2920" s="365"/>
      <c r="AJ2920" s="365"/>
      <c r="AK2920" s="365"/>
      <c r="AL2920" s="381"/>
      <c r="AM2920" s="381"/>
      <c r="AN2920" s="381"/>
      <c r="AO2920" s="381"/>
      <c r="AP2920" s="381"/>
      <c r="AQ2920" s="381"/>
    </row>
    <row r="2921" spans="3:43" s="345" customFormat="1" ht="36" customHeight="1" x14ac:dyDescent="0.45">
      <c r="D2921" s="446" t="str">
        <f>IF(O2921&lt;0,"Operating loss for the year","Operating profit for the year")</f>
        <v>Operating profit for the year</v>
      </c>
      <c r="E2921" s="434"/>
      <c r="F2921" s="434"/>
      <c r="G2921" s="434"/>
      <c r="H2921" s="434"/>
      <c r="I2921" s="434"/>
      <c r="J2921" s="449"/>
      <c r="K2921" s="292">
        <f>'FS2'!B958</f>
        <v>5</v>
      </c>
      <c r="L2921" s="350"/>
      <c r="M2921" s="350"/>
      <c r="N2921" s="292"/>
      <c r="O2921" s="296">
        <f>SUM(S2795:S2918)</f>
        <v>0</v>
      </c>
      <c r="P2921" s="295"/>
      <c r="R2921" s="348" t="str">
        <f t="shared" si="240"/>
        <v>DELETE</v>
      </c>
      <c r="S2921" s="331"/>
      <c r="T2921" s="331"/>
      <c r="U2921" s="331"/>
      <c r="V2921" s="331"/>
      <c r="W2921" s="331"/>
      <c r="X2921" s="331"/>
      <c r="Y2921" s="334"/>
      <c r="Z2921" s="334"/>
      <c r="AA2921" s="349"/>
      <c r="AB2921" s="365"/>
      <c r="AC2921" s="365"/>
      <c r="AD2921" s="365"/>
      <c r="AE2921" s="365"/>
      <c r="AF2921" s="365"/>
      <c r="AG2921" s="365"/>
      <c r="AH2921" s="365"/>
      <c r="AI2921" s="365"/>
      <c r="AJ2921" s="365"/>
      <c r="AK2921" s="365"/>
      <c r="AL2921" s="381"/>
      <c r="AM2921" s="381"/>
      <c r="AN2921" s="381"/>
      <c r="AO2921" s="381"/>
      <c r="AP2921" s="381"/>
      <c r="AQ2921" s="381"/>
    </row>
    <row r="2922" spans="3:43" s="345" customFormat="1" ht="36" customHeight="1" x14ac:dyDescent="0.45">
      <c r="C2922" s="397"/>
      <c r="D2922" s="434"/>
      <c r="E2922" s="434"/>
      <c r="F2922" s="434"/>
      <c r="G2922" s="434"/>
      <c r="H2922" s="434"/>
      <c r="I2922" s="434"/>
      <c r="J2922" s="449"/>
      <c r="K2922" s="292"/>
      <c r="L2922" s="350"/>
      <c r="M2922" s="350"/>
      <c r="N2922" s="292"/>
      <c r="O2922" s="296"/>
      <c r="P2922" s="295"/>
      <c r="R2922" s="348" t="str">
        <f t="shared" si="240"/>
        <v>DELETE</v>
      </c>
      <c r="S2922" s="331"/>
      <c r="T2922" s="331"/>
      <c r="U2922" s="331"/>
      <c r="V2922" s="331"/>
      <c r="W2922" s="331"/>
      <c r="X2922" s="331"/>
      <c r="Y2922" s="334"/>
      <c r="Z2922" s="334"/>
      <c r="AA2922" s="349"/>
      <c r="AB2922" s="365"/>
      <c r="AC2922" s="365"/>
      <c r="AD2922" s="365"/>
      <c r="AE2922" s="365"/>
      <c r="AF2922" s="365"/>
      <c r="AG2922" s="365"/>
      <c r="AH2922" s="365"/>
      <c r="AI2922" s="365"/>
      <c r="AJ2922" s="365"/>
      <c r="AK2922" s="365"/>
      <c r="AL2922" s="381"/>
      <c r="AM2922" s="381"/>
      <c r="AN2922" s="381"/>
      <c r="AO2922" s="381"/>
      <c r="AP2922" s="381"/>
      <c r="AQ2922" s="381"/>
    </row>
    <row r="2923" spans="3:43" s="345" customFormat="1" ht="36" customHeight="1" x14ac:dyDescent="0.45">
      <c r="D2923" s="433" t="s">
        <v>191</v>
      </c>
      <c r="E2923" s="434"/>
      <c r="F2923" s="434"/>
      <c r="G2923" s="434"/>
      <c r="H2923" s="434"/>
      <c r="I2923" s="434"/>
      <c r="J2923" s="449"/>
      <c r="K2923" s="292">
        <f>'FS2'!B1071</f>
        <v>6</v>
      </c>
      <c r="L2923" s="350"/>
      <c r="M2923" s="350"/>
      <c r="N2923" s="292"/>
      <c r="O2923" s="296">
        <f>SUM(O2926:O2933)</f>
        <v>0</v>
      </c>
      <c r="P2923" s="295"/>
      <c r="R2923" s="348" t="str">
        <f t="shared" ref="R2923" si="241">IF(R$2783="DELETE","DELETE",IF(O2923=0,"DELETE"," "))</f>
        <v>DELETE</v>
      </c>
      <c r="S2923" s="333">
        <f>O2923</f>
        <v>0</v>
      </c>
      <c r="T2923" s="333"/>
      <c r="U2923" s="333"/>
      <c r="V2923" s="333"/>
      <c r="W2923" s="331"/>
      <c r="X2923" s="331"/>
      <c r="Y2923" s="334"/>
      <c r="Z2923" s="334"/>
      <c r="AA2923" s="349"/>
      <c r="AB2923" s="365"/>
      <c r="AC2923" s="365"/>
      <c r="AD2923" s="365"/>
      <c r="AE2923" s="365"/>
      <c r="AF2923" s="365"/>
      <c r="AG2923" s="365"/>
      <c r="AH2923" s="365"/>
      <c r="AI2923" s="365"/>
      <c r="AJ2923" s="365"/>
      <c r="AK2923" s="365"/>
      <c r="AL2923" s="381"/>
      <c r="AM2923" s="381"/>
      <c r="AN2923" s="381"/>
      <c r="AO2923" s="381"/>
      <c r="AP2923" s="381"/>
      <c r="AQ2923" s="381"/>
    </row>
    <row r="2924" spans="3:43" s="345" customFormat="1" ht="9" customHeight="1" x14ac:dyDescent="0.45">
      <c r="C2924" s="397"/>
      <c r="D2924" s="434"/>
      <c r="E2924" s="434"/>
      <c r="F2924" s="434"/>
      <c r="G2924" s="434"/>
      <c r="H2924" s="434"/>
      <c r="I2924" s="434"/>
      <c r="J2924" s="449"/>
      <c r="K2924" s="292"/>
      <c r="L2924" s="350"/>
      <c r="M2924" s="350"/>
      <c r="N2924" s="292"/>
      <c r="O2924" s="296"/>
      <c r="P2924" s="295"/>
      <c r="R2924" s="348" t="str">
        <f>R2923</f>
        <v>DELETE</v>
      </c>
      <c r="S2924" s="331"/>
      <c r="T2924" s="331"/>
      <c r="U2924" s="331"/>
      <c r="V2924" s="331"/>
      <c r="W2924" s="331"/>
      <c r="X2924" s="331"/>
      <c r="Y2924" s="334"/>
      <c r="Z2924" s="334"/>
      <c r="AA2924" s="349"/>
      <c r="AB2924" s="365"/>
      <c r="AC2924" s="365"/>
      <c r="AD2924" s="365"/>
      <c r="AE2924" s="365"/>
      <c r="AF2924" s="365"/>
      <c r="AG2924" s="365"/>
      <c r="AH2924" s="365"/>
      <c r="AI2924" s="365"/>
      <c r="AJ2924" s="365"/>
      <c r="AK2924" s="365"/>
      <c r="AL2924" s="381"/>
      <c r="AM2924" s="381"/>
      <c r="AN2924" s="381"/>
      <c r="AO2924" s="381"/>
      <c r="AP2924" s="381"/>
      <c r="AQ2924" s="381"/>
    </row>
    <row r="2925" spans="3:43" s="345" customFormat="1" ht="9" customHeight="1" x14ac:dyDescent="0.45">
      <c r="C2925" s="397"/>
      <c r="D2925" s="434"/>
      <c r="E2925" s="434"/>
      <c r="F2925" s="434"/>
      <c r="G2925" s="434"/>
      <c r="H2925" s="434"/>
      <c r="I2925" s="434"/>
      <c r="J2925" s="449"/>
      <c r="K2925" s="292"/>
      <c r="L2925" s="350"/>
      <c r="M2925" s="350"/>
      <c r="N2925" s="292"/>
      <c r="O2925" s="407"/>
      <c r="P2925" s="295"/>
      <c r="R2925" s="348" t="str">
        <f>R2924</f>
        <v>DELETE</v>
      </c>
      <c r="S2925" s="331"/>
      <c r="T2925" s="331"/>
      <c r="U2925" s="331"/>
      <c r="V2925" s="331"/>
      <c r="W2925" s="331"/>
      <c r="X2925" s="331"/>
      <c r="Y2925" s="334"/>
      <c r="Z2925" s="334"/>
      <c r="AA2925" s="349"/>
      <c r="AB2925" s="365"/>
      <c r="AC2925" s="365"/>
      <c r="AD2925" s="365"/>
      <c r="AE2925" s="365"/>
      <c r="AF2925" s="365"/>
      <c r="AG2925" s="365"/>
      <c r="AH2925" s="365"/>
      <c r="AI2925" s="365"/>
      <c r="AJ2925" s="365"/>
      <c r="AK2925" s="365"/>
      <c r="AL2925" s="381"/>
      <c r="AM2925" s="381"/>
      <c r="AN2925" s="381"/>
      <c r="AO2925" s="381"/>
      <c r="AP2925" s="381"/>
      <c r="AQ2925" s="381"/>
    </row>
    <row r="2926" spans="3:43" s="345" customFormat="1" ht="36" customHeight="1" x14ac:dyDescent="0.45">
      <c r="C2926" s="397"/>
      <c r="D2926" s="434" t="s">
        <v>189</v>
      </c>
      <c r="E2926" s="434"/>
      <c r="F2926" s="434"/>
      <c r="G2926" s="434"/>
      <c r="H2926" s="434"/>
      <c r="I2926" s="434"/>
      <c r="J2926" s="449"/>
      <c r="K2926" s="292"/>
      <c r="L2926" s="350"/>
      <c r="M2926" s="350"/>
      <c r="N2926" s="292"/>
      <c r="O2926" s="408">
        <f>-TrialBalanceC!I95</f>
        <v>0</v>
      </c>
      <c r="P2926" s="295"/>
      <c r="R2926" s="348" t="str">
        <f t="shared" ref="R2926:R2931" si="242">IF(R$2783="DELETE","DELETE",IF(O2926=0,"DELETE"," "))</f>
        <v>DELETE</v>
      </c>
      <c r="S2926" s="331"/>
      <c r="T2926" s="331"/>
      <c r="U2926" s="331"/>
      <c r="V2926" s="331"/>
      <c r="W2926" s="331"/>
      <c r="X2926" s="331"/>
      <c r="Y2926" s="334"/>
      <c r="Z2926" s="334"/>
      <c r="AA2926" s="349"/>
      <c r="AB2926" s="365"/>
      <c r="AC2926" s="365"/>
      <c r="AD2926" s="365"/>
      <c r="AE2926" s="365"/>
      <c r="AF2926" s="365"/>
      <c r="AG2926" s="365"/>
      <c r="AH2926" s="365"/>
      <c r="AI2926" s="365"/>
      <c r="AJ2926" s="365"/>
      <c r="AK2926" s="365"/>
      <c r="AL2926" s="381"/>
      <c r="AM2926" s="381"/>
      <c r="AN2926" s="381"/>
      <c r="AO2926" s="381"/>
      <c r="AP2926" s="381"/>
      <c r="AQ2926" s="381"/>
    </row>
    <row r="2927" spans="3:43" s="345" customFormat="1" ht="36" customHeight="1" x14ac:dyDescent="0.45">
      <c r="C2927" s="397"/>
      <c r="D2927" s="434" t="s">
        <v>496</v>
      </c>
      <c r="E2927" s="434"/>
      <c r="F2927" s="434"/>
      <c r="G2927" s="434"/>
      <c r="H2927" s="434"/>
      <c r="I2927" s="434"/>
      <c r="J2927" s="449"/>
      <c r="K2927" s="292"/>
      <c r="L2927" s="350"/>
      <c r="M2927" s="350"/>
      <c r="N2927" s="292"/>
      <c r="O2927" s="408">
        <f>-SUM(TrialBalanceC!I91:I93)</f>
        <v>0</v>
      </c>
      <c r="P2927" s="295"/>
      <c r="R2927" s="348" t="str">
        <f t="shared" si="242"/>
        <v>DELETE</v>
      </c>
      <c r="S2927" s="331"/>
      <c r="T2927" s="331"/>
      <c r="U2927" s="331"/>
      <c r="V2927" s="331"/>
      <c r="W2927" s="331"/>
      <c r="X2927" s="331"/>
      <c r="Y2927" s="334"/>
      <c r="Z2927" s="334"/>
      <c r="AA2927" s="349"/>
      <c r="AB2927" s="365"/>
      <c r="AC2927" s="365"/>
      <c r="AD2927" s="365"/>
      <c r="AE2927" s="365"/>
      <c r="AF2927" s="365"/>
      <c r="AG2927" s="365"/>
      <c r="AH2927" s="365"/>
      <c r="AI2927" s="365"/>
      <c r="AJ2927" s="365"/>
      <c r="AK2927" s="365"/>
      <c r="AL2927" s="381"/>
      <c r="AM2927" s="381"/>
      <c r="AN2927" s="381"/>
      <c r="AO2927" s="381"/>
      <c r="AP2927" s="381"/>
      <c r="AQ2927" s="381"/>
    </row>
    <row r="2928" spans="3:43" s="345" customFormat="1" ht="36" customHeight="1" x14ac:dyDescent="0.45">
      <c r="C2928" s="397"/>
      <c r="D2928" s="434" t="s">
        <v>497</v>
      </c>
      <c r="E2928" s="434"/>
      <c r="F2928" s="434"/>
      <c r="G2928" s="434"/>
      <c r="H2928" s="434"/>
      <c r="I2928" s="434"/>
      <c r="J2928" s="449"/>
      <c r="K2928" s="292"/>
      <c r="L2928" s="350"/>
      <c r="M2928" s="350"/>
      <c r="N2928" s="292"/>
      <c r="O2928" s="419">
        <f>-SUM(TrialBalanceC!I86:I89)</f>
        <v>0</v>
      </c>
      <c r="P2928" s="295"/>
      <c r="R2928" s="348" t="str">
        <f t="shared" si="242"/>
        <v>DELETE</v>
      </c>
      <c r="S2928" s="331"/>
      <c r="T2928" s="331"/>
      <c r="U2928" s="331"/>
      <c r="V2928" s="331"/>
      <c r="W2928" s="331"/>
      <c r="X2928" s="331"/>
      <c r="Y2928" s="334"/>
      <c r="Z2928" s="334"/>
      <c r="AA2928" s="349"/>
      <c r="AB2928" s="365"/>
      <c r="AC2928" s="365"/>
      <c r="AD2928" s="365"/>
      <c r="AE2928" s="365"/>
      <c r="AF2928" s="365"/>
      <c r="AG2928" s="365"/>
      <c r="AH2928" s="365"/>
      <c r="AI2928" s="365"/>
      <c r="AJ2928" s="365"/>
      <c r="AK2928" s="365"/>
      <c r="AL2928" s="381"/>
      <c r="AM2928" s="381"/>
      <c r="AN2928" s="381"/>
      <c r="AO2928" s="381"/>
      <c r="AP2928" s="381"/>
      <c r="AQ2928" s="381"/>
    </row>
    <row r="2929" spans="3:43" s="345" customFormat="1" ht="36" customHeight="1" x14ac:dyDescent="0.45">
      <c r="C2929" s="397"/>
      <c r="D2929" s="434" t="s">
        <v>191</v>
      </c>
      <c r="E2929" s="434"/>
      <c r="F2929" s="434"/>
      <c r="G2929" s="434"/>
      <c r="H2929" s="434"/>
      <c r="I2929" s="434"/>
      <c r="J2929" s="449"/>
      <c r="K2929" s="292"/>
      <c r="L2929" s="350"/>
      <c r="M2929" s="350"/>
      <c r="N2929" s="292"/>
      <c r="O2929" s="419">
        <f>-SUM(TrialBalanceC!I96)</f>
        <v>0</v>
      </c>
      <c r="P2929" s="295"/>
      <c r="R2929" s="348" t="str">
        <f t="shared" si="242"/>
        <v>DELETE</v>
      </c>
      <c r="S2929" s="331"/>
      <c r="T2929" s="331"/>
      <c r="U2929" s="331"/>
      <c r="V2929" s="331"/>
      <c r="W2929" s="331"/>
      <c r="X2929" s="331"/>
      <c r="Y2929" s="334"/>
      <c r="Z2929" s="334"/>
      <c r="AA2929" s="349"/>
      <c r="AB2929" s="365"/>
      <c r="AC2929" s="365"/>
      <c r="AD2929" s="365"/>
      <c r="AE2929" s="365"/>
      <c r="AF2929" s="365"/>
      <c r="AG2929" s="365"/>
      <c r="AH2929" s="365"/>
      <c r="AI2929" s="365"/>
      <c r="AJ2929" s="365"/>
      <c r="AK2929" s="365"/>
      <c r="AL2929" s="381"/>
      <c r="AM2929" s="381"/>
      <c r="AN2929" s="381"/>
      <c r="AO2929" s="381"/>
      <c r="AP2929" s="381"/>
      <c r="AQ2929" s="381"/>
    </row>
    <row r="2930" spans="3:43" s="345" customFormat="1" ht="36" customHeight="1" x14ac:dyDescent="0.45">
      <c r="C2930" s="397"/>
      <c r="D2930" s="434" t="s">
        <v>513</v>
      </c>
      <c r="E2930" s="434"/>
      <c r="F2930" s="434"/>
      <c r="G2930" s="434"/>
      <c r="H2930" s="434"/>
      <c r="I2930" s="434"/>
      <c r="J2930" s="449"/>
      <c r="K2930" s="292"/>
      <c r="L2930" s="350"/>
      <c r="M2930" s="350"/>
      <c r="N2930" s="292"/>
      <c r="O2930" s="408">
        <f>IF(TrialBalanceC!I94&lt;0,-TrialBalanceC!I94,0)</f>
        <v>0</v>
      </c>
      <c r="P2930" s="295"/>
      <c r="R2930" s="348" t="str">
        <f t="shared" si="242"/>
        <v>DELETE</v>
      </c>
      <c r="S2930" s="331"/>
      <c r="T2930" s="331"/>
      <c r="U2930" s="331"/>
      <c r="V2930" s="331"/>
      <c r="W2930" s="331"/>
      <c r="X2930" s="331"/>
      <c r="Y2930" s="334"/>
      <c r="Z2930" s="334"/>
      <c r="AA2930" s="349"/>
      <c r="AB2930" s="365"/>
      <c r="AC2930" s="365"/>
      <c r="AD2930" s="365"/>
      <c r="AE2930" s="365"/>
      <c r="AF2930" s="365"/>
      <c r="AG2930" s="365"/>
      <c r="AH2930" s="365"/>
      <c r="AI2930" s="365"/>
      <c r="AJ2930" s="365"/>
      <c r="AK2930" s="365"/>
      <c r="AL2930" s="381"/>
      <c r="AM2930" s="381"/>
      <c r="AN2930" s="381"/>
      <c r="AO2930" s="381"/>
      <c r="AP2930" s="381"/>
      <c r="AQ2930" s="381"/>
    </row>
    <row r="2931" spans="3:43" s="345" customFormat="1" ht="36" customHeight="1" x14ac:dyDescent="0.45">
      <c r="C2931" s="397"/>
      <c r="D2931" s="434" t="s">
        <v>334</v>
      </c>
      <c r="E2931" s="434"/>
      <c r="F2931" s="434"/>
      <c r="G2931" s="434"/>
      <c r="H2931" s="434"/>
      <c r="I2931" s="434"/>
      <c r="J2931" s="449"/>
      <c r="K2931" s="292"/>
      <c r="L2931" s="350"/>
      <c r="M2931" s="350"/>
      <c r="N2931" s="292"/>
      <c r="O2931" s="408">
        <f>-TrialBalanceC!I84</f>
        <v>0</v>
      </c>
      <c r="P2931" s="295"/>
      <c r="R2931" s="348" t="str">
        <f t="shared" si="242"/>
        <v>DELETE</v>
      </c>
      <c r="S2931" s="331"/>
      <c r="T2931" s="331"/>
      <c r="U2931" s="331"/>
      <c r="V2931" s="331"/>
      <c r="W2931" s="331"/>
      <c r="X2931" s="331"/>
      <c r="Y2931" s="334"/>
      <c r="Z2931" s="334"/>
      <c r="AA2931" s="349"/>
      <c r="AB2931" s="365"/>
      <c r="AC2931" s="365"/>
      <c r="AD2931" s="365"/>
      <c r="AE2931" s="365"/>
      <c r="AF2931" s="365"/>
      <c r="AG2931" s="365"/>
      <c r="AH2931" s="365"/>
      <c r="AI2931" s="365"/>
      <c r="AJ2931" s="365"/>
      <c r="AK2931" s="365"/>
      <c r="AL2931" s="381"/>
      <c r="AM2931" s="381"/>
      <c r="AN2931" s="381"/>
      <c r="AO2931" s="381"/>
      <c r="AP2931" s="381"/>
      <c r="AQ2931" s="381"/>
    </row>
    <row r="2932" spans="3:43" s="345" customFormat="1" ht="36" customHeight="1" x14ac:dyDescent="0.45">
      <c r="C2932" s="397"/>
      <c r="D2932" s="434" t="str">
        <f>TrialBalance!C97</f>
        <v>Revaluation of investment property</v>
      </c>
      <c r="E2932" s="434"/>
      <c r="F2932" s="434"/>
      <c r="G2932" s="434"/>
      <c r="H2932" s="434"/>
      <c r="I2932" s="434"/>
      <c r="J2932" s="449"/>
      <c r="K2932" s="292"/>
      <c r="L2932" s="350"/>
      <c r="M2932" s="350"/>
      <c r="N2932" s="292"/>
      <c r="O2932" s="408">
        <f>-TrialBalanceC!I97</f>
        <v>0</v>
      </c>
      <c r="P2932" s="295"/>
      <c r="R2932" s="348" t="str">
        <f>IF(R$2783="DELETE","DELETE",IF(O2932=0,"DELETE"," "))</f>
        <v>DELETE</v>
      </c>
      <c r="S2932" s="331"/>
      <c r="T2932" s="331"/>
      <c r="U2932" s="331"/>
      <c r="V2932" s="331"/>
      <c r="W2932" s="331"/>
      <c r="X2932" s="331"/>
      <c r="Y2932" s="334"/>
      <c r="Z2932" s="334"/>
      <c r="AA2932" s="349"/>
      <c r="AB2932" s="365"/>
      <c r="AC2932" s="365"/>
      <c r="AD2932" s="365"/>
      <c r="AE2932" s="365"/>
      <c r="AF2932" s="365"/>
      <c r="AG2932" s="365"/>
      <c r="AH2932" s="365"/>
      <c r="AI2932" s="365"/>
      <c r="AJ2932" s="365"/>
      <c r="AK2932" s="365"/>
      <c r="AL2932" s="381"/>
      <c r="AM2932" s="381"/>
      <c r="AN2932" s="381"/>
      <c r="AO2932" s="381"/>
      <c r="AP2932" s="381"/>
      <c r="AQ2932" s="381"/>
    </row>
    <row r="2933" spans="3:43" s="345" customFormat="1" ht="9" customHeight="1" x14ac:dyDescent="0.45">
      <c r="C2933" s="397"/>
      <c r="D2933" s="434"/>
      <c r="E2933" s="434"/>
      <c r="F2933" s="434"/>
      <c r="G2933" s="434"/>
      <c r="H2933" s="434"/>
      <c r="I2933" s="434"/>
      <c r="J2933" s="449"/>
      <c r="K2933" s="292"/>
      <c r="L2933" s="350"/>
      <c r="M2933" s="350"/>
      <c r="N2933" s="292"/>
      <c r="O2933" s="409"/>
      <c r="P2933" s="295"/>
      <c r="R2933" s="348" t="str">
        <f>R2923</f>
        <v>DELETE</v>
      </c>
      <c r="S2933" s="331"/>
      <c r="T2933" s="331"/>
      <c r="U2933" s="331"/>
      <c r="V2933" s="331"/>
      <c r="W2933" s="331"/>
      <c r="X2933" s="331"/>
      <c r="Y2933" s="334"/>
      <c r="Z2933" s="334"/>
      <c r="AA2933" s="349"/>
      <c r="AB2933" s="365"/>
      <c r="AC2933" s="365"/>
      <c r="AD2933" s="365"/>
      <c r="AE2933" s="365"/>
      <c r="AF2933" s="365"/>
      <c r="AG2933" s="365"/>
      <c r="AH2933" s="365"/>
      <c r="AI2933" s="365"/>
      <c r="AJ2933" s="365"/>
      <c r="AK2933" s="365"/>
      <c r="AL2933" s="381"/>
      <c r="AM2933" s="381"/>
      <c r="AN2933" s="381"/>
      <c r="AO2933" s="381"/>
      <c r="AP2933" s="381"/>
      <c r="AQ2933" s="381"/>
    </row>
    <row r="2934" spans="3:43" s="345" customFormat="1" ht="9" customHeight="1" x14ac:dyDescent="0.45">
      <c r="C2934" s="397"/>
      <c r="D2934" s="434"/>
      <c r="E2934" s="434"/>
      <c r="F2934" s="434"/>
      <c r="G2934" s="434"/>
      <c r="H2934" s="434"/>
      <c r="I2934" s="434"/>
      <c r="J2934" s="449"/>
      <c r="K2934" s="292"/>
      <c r="L2934" s="350"/>
      <c r="M2934" s="350"/>
      <c r="N2934" s="292"/>
      <c r="O2934" s="298"/>
      <c r="P2934" s="295"/>
      <c r="R2934" s="348" t="str">
        <f>R2933</f>
        <v>DELETE</v>
      </c>
      <c r="S2934" s="331"/>
      <c r="T2934" s="331"/>
      <c r="U2934" s="331"/>
      <c r="V2934" s="331"/>
      <c r="W2934" s="331"/>
      <c r="X2934" s="331"/>
      <c r="Y2934" s="334"/>
      <c r="Z2934" s="334"/>
      <c r="AA2934" s="349"/>
      <c r="AB2934" s="365"/>
      <c r="AC2934" s="365"/>
      <c r="AD2934" s="365"/>
      <c r="AE2934" s="365"/>
      <c r="AF2934" s="365"/>
      <c r="AG2934" s="365"/>
      <c r="AH2934" s="365"/>
      <c r="AI2934" s="365"/>
      <c r="AJ2934" s="365"/>
      <c r="AK2934" s="365"/>
      <c r="AL2934" s="381"/>
      <c r="AM2934" s="381"/>
      <c r="AN2934" s="381"/>
      <c r="AO2934" s="381"/>
      <c r="AP2934" s="381"/>
      <c r="AQ2934" s="381"/>
    </row>
    <row r="2935" spans="3:43" s="345" customFormat="1" ht="9" customHeight="1" x14ac:dyDescent="0.45">
      <c r="C2935" s="397"/>
      <c r="D2935" s="434"/>
      <c r="E2935" s="434"/>
      <c r="F2935" s="434"/>
      <c r="G2935" s="434"/>
      <c r="H2935" s="434"/>
      <c r="I2935" s="434"/>
      <c r="J2935" s="449"/>
      <c r="K2935" s="292"/>
      <c r="L2935" s="350"/>
      <c r="M2935" s="350"/>
      <c r="N2935" s="292"/>
      <c r="O2935" s="296"/>
      <c r="P2935" s="295"/>
      <c r="R2935" s="348" t="str">
        <f>R2934</f>
        <v>DELETE</v>
      </c>
      <c r="S2935" s="331"/>
      <c r="T2935" s="331"/>
      <c r="U2935" s="331"/>
      <c r="V2935" s="331"/>
      <c r="W2935" s="331"/>
      <c r="X2935" s="331"/>
      <c r="Y2935" s="334"/>
      <c r="Z2935" s="334"/>
      <c r="AA2935" s="349"/>
      <c r="AB2935" s="365"/>
      <c r="AC2935" s="365"/>
      <c r="AD2935" s="365"/>
      <c r="AE2935" s="365"/>
      <c r="AF2935" s="365"/>
      <c r="AG2935" s="365"/>
      <c r="AH2935" s="365"/>
      <c r="AI2935" s="365"/>
      <c r="AJ2935" s="365"/>
      <c r="AK2935" s="365"/>
      <c r="AL2935" s="381"/>
      <c r="AM2935" s="381"/>
      <c r="AN2935" s="381"/>
      <c r="AO2935" s="381"/>
      <c r="AP2935" s="381"/>
      <c r="AQ2935" s="381"/>
    </row>
    <row r="2936" spans="3:43" s="345" customFormat="1" ht="36" customHeight="1" x14ac:dyDescent="0.45">
      <c r="C2936" s="397"/>
      <c r="D2936" s="434"/>
      <c r="E2936" s="434"/>
      <c r="F2936" s="434"/>
      <c r="G2936" s="434"/>
      <c r="H2936" s="434"/>
      <c r="I2936" s="434"/>
      <c r="J2936" s="449"/>
      <c r="K2936" s="292"/>
      <c r="L2936" s="350"/>
      <c r="M2936" s="350"/>
      <c r="N2936" s="292"/>
      <c r="O2936" s="296">
        <f>SUM(S2795:S2933)</f>
        <v>0</v>
      </c>
      <c r="P2936" s="295"/>
      <c r="R2936" s="348" t="str">
        <f>R2935</f>
        <v>DELETE</v>
      </c>
      <c r="S2936" s="331"/>
      <c r="T2936" s="331"/>
      <c r="U2936" s="331"/>
      <c r="V2936" s="331"/>
      <c r="W2936" s="331"/>
      <c r="X2936" s="331"/>
      <c r="Y2936" s="334"/>
      <c r="Z2936" s="334"/>
      <c r="AA2936" s="349"/>
      <c r="AB2936" s="365"/>
      <c r="AC2936" s="365"/>
      <c r="AD2936" s="365"/>
      <c r="AE2936" s="365"/>
      <c r="AF2936" s="365"/>
      <c r="AG2936" s="365"/>
      <c r="AH2936" s="365"/>
      <c r="AI2936" s="365"/>
      <c r="AJ2936" s="365"/>
      <c r="AK2936" s="365"/>
      <c r="AL2936" s="381"/>
      <c r="AM2936" s="381"/>
      <c r="AN2936" s="381"/>
      <c r="AO2936" s="381"/>
      <c r="AP2936" s="381"/>
      <c r="AQ2936" s="381"/>
    </row>
    <row r="2937" spans="3:43" s="345" customFormat="1" ht="36" customHeight="1" x14ac:dyDescent="0.45">
      <c r="C2937" s="397"/>
      <c r="D2937" s="434"/>
      <c r="E2937" s="434"/>
      <c r="F2937" s="434"/>
      <c r="G2937" s="434"/>
      <c r="H2937" s="434"/>
      <c r="I2937" s="434"/>
      <c r="J2937" s="449"/>
      <c r="K2937" s="292"/>
      <c r="L2937" s="350"/>
      <c r="M2937" s="350"/>
      <c r="N2937" s="292"/>
      <c r="O2937" s="296"/>
      <c r="P2937" s="295"/>
      <c r="R2937" s="348" t="str">
        <f>R2936</f>
        <v>DELETE</v>
      </c>
      <c r="S2937" s="331"/>
      <c r="T2937" s="331"/>
      <c r="U2937" s="331"/>
      <c r="V2937" s="331"/>
      <c r="W2937" s="331"/>
      <c r="X2937" s="331"/>
      <c r="Y2937" s="334"/>
      <c r="Z2937" s="334"/>
      <c r="AA2937" s="349"/>
      <c r="AB2937" s="365"/>
      <c r="AC2937" s="365"/>
      <c r="AD2937" s="365"/>
      <c r="AE2937" s="365"/>
      <c r="AF2937" s="365"/>
      <c r="AG2937" s="365"/>
      <c r="AH2937" s="365"/>
      <c r="AI2937" s="365"/>
      <c r="AJ2937" s="365"/>
      <c r="AK2937" s="365"/>
      <c r="AL2937" s="381"/>
      <c r="AM2937" s="381"/>
      <c r="AN2937" s="381"/>
      <c r="AO2937" s="381"/>
      <c r="AP2937" s="381"/>
      <c r="AQ2937" s="381"/>
    </row>
    <row r="2938" spans="3:43" s="345" customFormat="1" ht="36" customHeight="1" x14ac:dyDescent="0.45">
      <c r="D2938" s="434" t="s">
        <v>1077</v>
      </c>
      <c r="E2938" s="434"/>
      <c r="F2938" s="434"/>
      <c r="G2938" s="434"/>
      <c r="H2938" s="434"/>
      <c r="I2938" s="434"/>
      <c r="J2938" s="449"/>
      <c r="K2938" s="292">
        <f>'FS2'!B1131</f>
        <v>7</v>
      </c>
      <c r="L2938" s="350"/>
      <c r="M2938" s="350"/>
      <c r="N2938" s="292"/>
      <c r="O2938" s="296">
        <f>SUM(TrialBalanceC!I144:I154)</f>
        <v>0</v>
      </c>
      <c r="P2938" s="295"/>
      <c r="R2938" s="348" t="str">
        <f t="shared" ref="R2938" si="243">IF(R$2783="DELETE","DELETE",IF(O2938=0,"DELETE"," "))</f>
        <v>DELETE</v>
      </c>
      <c r="S2938" s="333">
        <f>-O2938</f>
        <v>0</v>
      </c>
      <c r="T2938" s="333"/>
      <c r="U2938" s="333"/>
      <c r="V2938" s="333"/>
      <c r="W2938" s="331"/>
      <c r="X2938" s="331"/>
      <c r="Y2938" s="334"/>
      <c r="Z2938" s="334"/>
      <c r="AA2938" s="349"/>
      <c r="AB2938" s="365"/>
      <c r="AC2938" s="365"/>
      <c r="AD2938" s="365"/>
      <c r="AE2938" s="365"/>
      <c r="AF2938" s="365"/>
      <c r="AG2938" s="365"/>
      <c r="AH2938" s="365"/>
      <c r="AI2938" s="365"/>
      <c r="AJ2938" s="365"/>
      <c r="AK2938" s="365"/>
      <c r="AL2938" s="381"/>
      <c r="AM2938" s="381"/>
      <c r="AN2938" s="381"/>
      <c r="AO2938" s="381"/>
      <c r="AP2938" s="381"/>
      <c r="AQ2938" s="381"/>
    </row>
    <row r="2939" spans="3:43" s="345" customFormat="1" ht="9" customHeight="1" x14ac:dyDescent="0.45">
      <c r="C2939" s="397"/>
      <c r="D2939" s="434"/>
      <c r="E2939" s="434"/>
      <c r="F2939" s="434"/>
      <c r="G2939" s="434"/>
      <c r="H2939" s="434"/>
      <c r="I2939" s="434"/>
      <c r="J2939" s="449"/>
      <c r="K2939" s="292"/>
      <c r="L2939" s="350"/>
      <c r="M2939" s="350"/>
      <c r="N2939" s="292"/>
      <c r="O2939" s="298"/>
      <c r="P2939" s="295"/>
      <c r="R2939" s="348" t="str">
        <f t="shared" ref="R2939:R2947" si="244">R$2783</f>
        <v>DELETE</v>
      </c>
      <c r="S2939" s="331"/>
      <c r="T2939" s="331"/>
      <c r="U2939" s="331"/>
      <c r="V2939" s="331"/>
      <c r="W2939" s="331"/>
      <c r="X2939" s="331"/>
      <c r="Y2939" s="334"/>
      <c r="Z2939" s="334"/>
      <c r="AA2939" s="349"/>
      <c r="AB2939" s="365"/>
      <c r="AC2939" s="365"/>
      <c r="AD2939" s="365"/>
      <c r="AE2939" s="365"/>
      <c r="AF2939" s="365"/>
      <c r="AG2939" s="365"/>
      <c r="AH2939" s="365"/>
      <c r="AI2939" s="365"/>
      <c r="AJ2939" s="365"/>
      <c r="AK2939" s="365"/>
      <c r="AL2939" s="381"/>
      <c r="AM2939" s="381"/>
      <c r="AN2939" s="381"/>
      <c r="AO2939" s="381"/>
      <c r="AP2939" s="381"/>
      <c r="AQ2939" s="381"/>
    </row>
    <row r="2940" spans="3:43" s="345" customFormat="1" ht="9" customHeight="1" x14ac:dyDescent="0.45">
      <c r="C2940" s="397"/>
      <c r="D2940" s="434"/>
      <c r="E2940" s="434"/>
      <c r="F2940" s="434"/>
      <c r="G2940" s="434"/>
      <c r="H2940" s="434"/>
      <c r="I2940" s="434"/>
      <c r="J2940" s="449"/>
      <c r="K2940" s="292"/>
      <c r="L2940" s="350"/>
      <c r="M2940" s="350"/>
      <c r="N2940" s="292"/>
      <c r="O2940" s="296"/>
      <c r="P2940" s="295"/>
      <c r="R2940" s="348" t="str">
        <f t="shared" si="244"/>
        <v>DELETE</v>
      </c>
      <c r="S2940" s="331"/>
      <c r="T2940" s="331"/>
      <c r="U2940" s="331"/>
      <c r="V2940" s="331"/>
      <c r="W2940" s="331"/>
      <c r="X2940" s="331"/>
      <c r="Y2940" s="334"/>
      <c r="Z2940" s="334"/>
      <c r="AA2940" s="349"/>
      <c r="AB2940" s="365"/>
      <c r="AC2940" s="365"/>
      <c r="AD2940" s="365"/>
      <c r="AE2940" s="365"/>
      <c r="AF2940" s="365"/>
      <c r="AG2940" s="365"/>
      <c r="AH2940" s="365"/>
      <c r="AI2940" s="365"/>
      <c r="AJ2940" s="365"/>
      <c r="AK2940" s="365"/>
      <c r="AL2940" s="381"/>
      <c r="AM2940" s="381"/>
      <c r="AN2940" s="381"/>
      <c r="AO2940" s="381"/>
      <c r="AP2940" s="381"/>
      <c r="AQ2940" s="381"/>
    </row>
    <row r="2941" spans="3:43" s="345" customFormat="1" ht="36.75" customHeight="1" x14ac:dyDescent="0.45">
      <c r="D2941" s="446" t="str">
        <f>IF(O2941&lt;0,"Loss before taxation","Profit before taxation")</f>
        <v>Profit before taxation</v>
      </c>
      <c r="E2941" s="434"/>
      <c r="F2941" s="434"/>
      <c r="G2941" s="434"/>
      <c r="H2941" s="434"/>
      <c r="I2941" s="434"/>
      <c r="J2941" s="449"/>
      <c r="K2941" s="292"/>
      <c r="L2941" s="350"/>
      <c r="M2941" s="350"/>
      <c r="N2941" s="292"/>
      <c r="O2941" s="296">
        <f>SUM(S2795:S2940)</f>
        <v>0</v>
      </c>
      <c r="P2941" s="295"/>
      <c r="R2941" s="348" t="str">
        <f t="shared" si="244"/>
        <v>DELETE</v>
      </c>
      <c r="S2941" s="331"/>
      <c r="T2941" s="331"/>
      <c r="U2941" s="331" t="b">
        <f>O2941='FS2'!O2439</f>
        <v>1</v>
      </c>
      <c r="V2941" s="331"/>
      <c r="W2941" s="331"/>
      <c r="X2941" s="331"/>
      <c r="Y2941" s="334"/>
      <c r="Z2941" s="334"/>
      <c r="AA2941" s="349"/>
      <c r="AB2941" s="365"/>
      <c r="AC2941" s="365"/>
      <c r="AD2941" s="365"/>
      <c r="AE2941" s="365"/>
      <c r="AF2941" s="365"/>
      <c r="AG2941" s="365"/>
      <c r="AH2941" s="365"/>
      <c r="AI2941" s="365"/>
      <c r="AJ2941" s="365"/>
      <c r="AK2941" s="365"/>
      <c r="AL2941" s="381"/>
      <c r="AM2941" s="381"/>
      <c r="AN2941" s="381"/>
      <c r="AO2941" s="381"/>
      <c r="AP2941" s="381"/>
      <c r="AQ2941" s="381"/>
    </row>
    <row r="2942" spans="3:43" s="345" customFormat="1" ht="9" customHeight="1" thickBot="1" x14ac:dyDescent="0.5">
      <c r="C2942" s="397"/>
      <c r="D2942" s="434"/>
      <c r="E2942" s="434"/>
      <c r="F2942" s="434"/>
      <c r="G2942" s="434"/>
      <c r="H2942" s="434"/>
      <c r="I2942" s="434"/>
      <c r="J2942" s="449"/>
      <c r="K2942" s="292"/>
      <c r="L2942" s="350"/>
      <c r="M2942" s="350"/>
      <c r="N2942" s="292"/>
      <c r="O2942" s="299"/>
      <c r="P2942" s="295"/>
      <c r="R2942" s="348" t="str">
        <f t="shared" si="244"/>
        <v>DELETE</v>
      </c>
      <c r="S2942" s="331"/>
      <c r="T2942" s="331"/>
      <c r="U2942" s="331"/>
      <c r="V2942" s="331"/>
      <c r="W2942" s="331"/>
      <c r="X2942" s="331"/>
      <c r="Y2942" s="334"/>
      <c r="Z2942" s="334"/>
      <c r="AA2942" s="349"/>
      <c r="AB2942" s="365"/>
      <c r="AC2942" s="365"/>
      <c r="AD2942" s="365"/>
      <c r="AE2942" s="365"/>
      <c r="AF2942" s="365"/>
      <c r="AG2942" s="365"/>
      <c r="AH2942" s="365"/>
      <c r="AI2942" s="365"/>
      <c r="AJ2942" s="365"/>
      <c r="AK2942" s="365"/>
      <c r="AL2942" s="381"/>
      <c r="AM2942" s="381"/>
      <c r="AN2942" s="381"/>
      <c r="AO2942" s="381"/>
      <c r="AP2942" s="381"/>
      <c r="AQ2942" s="381"/>
    </row>
    <row r="2943" spans="3:43" s="345" customFormat="1" ht="9" customHeight="1" thickTop="1" x14ac:dyDescent="0.45">
      <c r="C2943" s="397"/>
      <c r="D2943" s="434"/>
      <c r="E2943" s="434"/>
      <c r="F2943" s="434"/>
      <c r="G2943" s="434"/>
      <c r="H2943" s="434"/>
      <c r="I2943" s="434"/>
      <c r="J2943" s="449"/>
      <c r="K2943" s="292"/>
      <c r="L2943" s="350"/>
      <c r="M2943" s="350"/>
      <c r="N2943" s="292"/>
      <c r="O2943" s="310"/>
      <c r="P2943" s="295"/>
      <c r="R2943" s="348" t="str">
        <f t="shared" si="244"/>
        <v>DELETE</v>
      </c>
      <c r="S2943" s="331"/>
      <c r="T2943" s="331"/>
      <c r="U2943" s="331"/>
      <c r="V2943" s="331"/>
      <c r="W2943" s="331"/>
      <c r="X2943" s="331"/>
      <c r="Y2943" s="334"/>
      <c r="Z2943" s="334"/>
      <c r="AA2943" s="349"/>
      <c r="AB2943" s="365"/>
      <c r="AC2943" s="365"/>
      <c r="AD2943" s="365"/>
      <c r="AE2943" s="365"/>
      <c r="AF2943" s="365"/>
      <c r="AG2943" s="365"/>
      <c r="AH2943" s="365"/>
      <c r="AI2943" s="365"/>
      <c r="AJ2943" s="365"/>
      <c r="AK2943" s="365"/>
      <c r="AL2943" s="381"/>
      <c r="AM2943" s="381"/>
      <c r="AN2943" s="381"/>
      <c r="AO2943" s="381"/>
      <c r="AP2943" s="381"/>
      <c r="AQ2943" s="381"/>
    </row>
    <row r="2944" spans="3:43" s="345" customFormat="1" ht="36" customHeight="1" x14ac:dyDescent="0.45">
      <c r="C2944" s="397"/>
      <c r="D2944" s="434"/>
      <c r="E2944" s="434"/>
      <c r="F2944" s="434"/>
      <c r="G2944" s="434"/>
      <c r="H2944" s="434"/>
      <c r="I2944" s="434"/>
      <c r="J2944" s="449"/>
      <c r="K2944" s="292"/>
      <c r="L2944" s="350"/>
      <c r="M2944" s="350"/>
      <c r="N2944" s="292"/>
      <c r="O2944" s="296"/>
      <c r="P2944" s="295"/>
      <c r="R2944" s="348" t="str">
        <f t="shared" si="244"/>
        <v>DELETE</v>
      </c>
      <c r="S2944" s="331"/>
      <c r="T2944" s="331"/>
      <c r="U2944" s="331"/>
      <c r="V2944" s="331"/>
      <c r="W2944" s="331"/>
      <c r="X2944" s="331"/>
      <c r="Y2944" s="334"/>
      <c r="Z2944" s="334"/>
      <c r="AA2944" s="349"/>
      <c r="AB2944" s="365"/>
      <c r="AC2944" s="365"/>
      <c r="AD2944" s="365"/>
      <c r="AE2944" s="365"/>
      <c r="AF2944" s="365"/>
      <c r="AG2944" s="365"/>
      <c r="AH2944" s="365"/>
      <c r="AI2944" s="365"/>
      <c r="AJ2944" s="365"/>
      <c r="AK2944" s="365"/>
      <c r="AL2944" s="381"/>
      <c r="AM2944" s="381"/>
      <c r="AN2944" s="381"/>
      <c r="AO2944" s="381"/>
      <c r="AP2944" s="381"/>
      <c r="AQ2944" s="381"/>
    </row>
    <row r="2945" spans="3:43" s="345" customFormat="1" ht="36" customHeight="1" x14ac:dyDescent="0.45">
      <c r="C2945" s="397"/>
      <c r="D2945" s="434"/>
      <c r="E2945" s="434"/>
      <c r="F2945" s="434"/>
      <c r="G2945" s="434"/>
      <c r="H2945" s="434"/>
      <c r="I2945" s="434"/>
      <c r="J2945" s="449"/>
      <c r="K2945" s="292"/>
      <c r="L2945" s="292"/>
      <c r="M2945" s="296"/>
      <c r="N2945" s="296"/>
      <c r="O2945" s="296"/>
      <c r="P2945" s="295"/>
      <c r="R2945" s="348" t="str">
        <f t="shared" si="244"/>
        <v>DELETE</v>
      </c>
      <c r="S2945" s="331"/>
      <c r="T2945" s="331"/>
      <c r="U2945" s="331"/>
      <c r="V2945" s="331"/>
      <c r="W2945" s="331"/>
      <c r="X2945" s="331"/>
      <c r="Y2945" s="334"/>
      <c r="Z2945" s="334"/>
      <c r="AA2945" s="349"/>
      <c r="AB2945" s="365"/>
      <c r="AC2945" s="365"/>
      <c r="AD2945" s="365"/>
      <c r="AE2945" s="365"/>
      <c r="AF2945" s="365"/>
      <c r="AG2945" s="365"/>
      <c r="AH2945" s="365"/>
      <c r="AI2945" s="365"/>
      <c r="AJ2945" s="365"/>
      <c r="AK2945" s="365"/>
      <c r="AL2945" s="381"/>
      <c r="AM2945" s="381"/>
      <c r="AN2945" s="381"/>
      <c r="AO2945" s="381"/>
      <c r="AP2945" s="381"/>
      <c r="AQ2945" s="381"/>
    </row>
    <row r="2946" spans="3:43" s="345" customFormat="1" ht="36" customHeight="1" x14ac:dyDescent="0.5">
      <c r="C2946" s="353"/>
      <c r="D2946" s="434"/>
      <c r="E2946" s="434"/>
      <c r="F2946" s="434"/>
      <c r="G2946" s="434"/>
      <c r="H2946" s="434"/>
      <c r="I2946" s="434"/>
      <c r="J2946" s="434"/>
      <c r="M2946" s="371"/>
      <c r="N2946" s="371"/>
      <c r="O2946" s="371"/>
      <c r="P2946" s="356"/>
      <c r="R2946" s="348" t="str">
        <f t="shared" si="244"/>
        <v>DELETE</v>
      </c>
      <c r="S2946" s="331"/>
      <c r="T2946" s="331"/>
      <c r="U2946" s="331"/>
      <c r="V2946" s="331"/>
      <c r="W2946" s="331"/>
      <c r="X2946" s="331"/>
      <c r="Y2946" s="334"/>
      <c r="Z2946" s="334"/>
      <c r="AA2946" s="349"/>
      <c r="AB2946" s="365"/>
      <c r="AC2946" s="365"/>
      <c r="AD2946" s="365"/>
      <c r="AE2946" s="365"/>
      <c r="AF2946" s="365"/>
      <c r="AG2946" s="365"/>
      <c r="AH2946" s="365"/>
      <c r="AI2946" s="365"/>
      <c r="AJ2946" s="365"/>
      <c r="AK2946" s="365"/>
      <c r="AL2946" s="381"/>
      <c r="AM2946" s="381"/>
      <c r="AN2946" s="381"/>
      <c r="AO2946" s="381"/>
      <c r="AP2946" s="381"/>
      <c r="AQ2946" s="381"/>
    </row>
    <row r="2947" spans="3:43" s="345" customFormat="1" ht="36" customHeight="1" x14ac:dyDescent="0.5">
      <c r="C2947" s="353"/>
      <c r="D2947" s="434"/>
      <c r="E2947" s="434"/>
      <c r="F2947" s="434"/>
      <c r="G2947" s="434"/>
      <c r="H2947" s="434"/>
      <c r="I2947" s="434"/>
      <c r="J2947" s="434"/>
      <c r="M2947" s="351"/>
      <c r="N2947" s="351"/>
      <c r="O2947" s="351"/>
      <c r="P2947" s="347"/>
      <c r="R2947" s="348" t="str">
        <f t="shared" si="244"/>
        <v>DELETE</v>
      </c>
      <c r="S2947" s="331"/>
      <c r="T2947" s="331"/>
      <c r="U2947" s="331"/>
      <c r="V2947" s="331"/>
      <c r="W2947" s="331"/>
      <c r="X2947" s="331"/>
      <c r="Y2947" s="334"/>
      <c r="Z2947" s="334"/>
      <c r="AA2947" s="349"/>
      <c r="AB2947" s="365"/>
      <c r="AC2947" s="365"/>
      <c r="AD2947" s="365"/>
      <c r="AE2947" s="365"/>
      <c r="AF2947" s="365"/>
      <c r="AG2947" s="365"/>
      <c r="AH2947" s="365"/>
      <c r="AI2947" s="365"/>
      <c r="AJ2947" s="365"/>
      <c r="AK2947" s="365"/>
      <c r="AL2947" s="381"/>
      <c r="AM2947" s="381"/>
      <c r="AN2947" s="381"/>
      <c r="AO2947" s="381"/>
      <c r="AP2947" s="381"/>
      <c r="AQ2947" s="381"/>
    </row>
  </sheetData>
  <sheetProtection formatColumns="0" formatRows="0" insertRows="0" deleteRows="0"/>
  <mergeCells count="14">
    <mergeCell ref="D170:Q177"/>
    <mergeCell ref="L2260:N2260"/>
    <mergeCell ref="L2261:N2261"/>
    <mergeCell ref="D221:H221"/>
    <mergeCell ref="U1:V1"/>
    <mergeCell ref="O2260:P2260"/>
    <mergeCell ref="O2261:P2261"/>
    <mergeCell ref="F1312:G1312"/>
    <mergeCell ref="F1334:G1334"/>
    <mergeCell ref="F1358:G1358"/>
    <mergeCell ref="A16:Q16"/>
    <mergeCell ref="A18:Q18"/>
    <mergeCell ref="A20:Q20"/>
    <mergeCell ref="D93:Q95"/>
  </mergeCells>
  <hyperlinks>
    <hyperlink ref="D444" r:id="rId1" display="=@IF(U501+V501=1,&quot;GROSS PROFIT/(LOSS)&quot;,IF((U501+V501=2),&quot;GROSS PROFIT&quot;,&quot;GROSS LOSS&quot;))" xr:uid="{6EC37E41-BCC4-4C53-9493-94F79E412701}"/>
    <hyperlink ref="D449" r:id="rId2" display="=@IF(U501+V501=1,&quot;GROSS PROFIT/(LOSS)&quot;,IF((U501+V501=2),&quot;GROSS PROFIT&quot;,&quot;GROSS LOSS&quot;))" xr:uid="{FFB167F4-7EB2-4FEE-8BFC-C7143253C1DE}"/>
    <hyperlink ref="D2305" r:id="rId3" display="=@IF(U501+V501=1,&quot;GROSS PROFIT/(LOSS)&quot;,IF((U501+V501=2),&quot;GROSS PROFIT&quot;,&quot;GROSS LOSS&quot;))" xr:uid="{1643BDFA-D727-47D4-9BA2-6D5DCF7E0D84}"/>
    <hyperlink ref="D2355" r:id="rId4" display="=@IF(U501+V501=1,&quot;GROSS PROFIT/(LOSS)&quot;,IF((U501+V501=2),&quot;GROSS PROFIT&quot;,&quot;GROSS LOSS&quot;))" xr:uid="{103FBFC9-7DF4-4D47-A11C-A8E48A23ACBD}"/>
    <hyperlink ref="D2371" r:id="rId5" display="=@IF(U501+V501=1,&quot;GROSS PROFIT/(LOSS)&quot;,IF((U501+V501=2),&quot;GROSS PROFIT&quot;,&quot;GROSS LOSS&quot;))" xr:uid="{9CC7F115-90DD-48D8-86EA-ECB612A365AE}"/>
    <hyperlink ref="D2414" r:id="rId6" display="=@IF(U501+V501=1,&quot;GROSS PROFIT/(LOSS)&quot;,IF((U501+V501=2),&quot;GROSS PROFIT&quot;,&quot;GROSS LOSS&quot;))" xr:uid="{6C93F943-EB95-497D-84FF-67DFEEF43968}"/>
    <hyperlink ref="D2434" r:id="rId7" display="=@IF(U501+V501=1,&quot;GROSS PROFIT/(LOSS)&quot;,IF((U501+V501=2),&quot;GROSS PROFIT&quot;,&quot;GROSS LOSS&quot;))" xr:uid="{3D5E6050-17BE-4D4D-90F9-84758F5A61B2}"/>
    <hyperlink ref="D2447" r:id="rId8" display="=@IF(U501+V501=1,&quot;GROSS PROFIT/(LOSS)&quot;,IF((U501+V501=2),&quot;GROSS PROFIT&quot;,&quot;GROSS LOSS&quot;))" xr:uid="{A8C271EC-EC6D-47EB-83A6-43F55E5FC312}"/>
    <hyperlink ref="D510" r:id="rId9" display="=@IF(U501+V501=1,&quot;GROSS PROFIT/(LOSS)&quot;,IF((U501+V501=2),&quot;GROSS PROFIT&quot;,&quot;GROSS LOSS&quot;))" xr:uid="{0FC3C64B-3B23-49E0-A6EB-83863B23F98F}"/>
    <hyperlink ref="C960" r:id="rId10" display="=@IF(U501+V501=1,&quot;GROSS PROFIT/(LOSS)&quot;,IF((U501+V501=2),&quot;GROSS PROFIT&quot;,&quot;GROSS LOSS&quot;))" xr:uid="{385F827D-69D9-449D-9E9A-86FACF81D6F8}"/>
    <hyperlink ref="O2421" r:id="rId11" display="-@sum(TrialBalance!A67:A70" xr:uid="{B87D1B0C-4B38-49F0-A919-B276F374DFFA}"/>
    <hyperlink ref="O510" r:id="rId12" display="-TrialBalance!A146-@sum(TrialBalance!A5:A127)" xr:uid="{FF572C62-E9B4-42A8-A28A-041B701D6F61}"/>
    <hyperlink ref="O423" r:id="rId13" display="-@sum(TrialBalance!A8:A22" xr:uid="{EB092C9A-4DBA-4D21-BD08-6D7278AC32E0}"/>
    <hyperlink ref="O430" r:id="rId14" display="-@sum(TrialBalance!A23:A63" xr:uid="{06BA80CE-08E8-472B-9C0F-A701C364BD31}"/>
    <hyperlink ref="O432" r:id="rId15" display="-@sum(TrialBalance!A77:A111" xr:uid="{44E9DDB7-0601-4D66-87DE-8DB26AD3ECE4}"/>
    <hyperlink ref="O440" r:id="rId16" display="-@sum(TrialBalance!A112:A118" xr:uid="{93CECDAD-479E-4CF7-9E09-D3D0509BF138}"/>
    <hyperlink ref="O446" r:id="rId17" display="-@sum(TrialBalance!A119:A125" xr:uid="{BD339420-551F-480B-8EC5-160132AD1B8A}"/>
    <hyperlink ref="C958" r:id="rId18" display="=@IF(U501+V501=1,&quot;GROSS PROFIT/(LOSS)&quot;,IF((U501+V501=2),&quot;GROSS PROFIT&quot;,&quot;GROSS LOSS&quot;))" xr:uid="{F835615E-7600-4C23-8922-16564FA57C95}"/>
    <hyperlink ref="C581" r:id="rId19" display="=@IF(U501+V501=1,&quot;GROSS PROFIT/(LOSS)&quot;,IF((U501+V501=2),&quot;GROSS PROFIT&quot;,&quot;GROSS LOSS&quot;))" xr:uid="{37FEEF04-5C7E-4EF3-BCDD-1CE9BD539F04}"/>
    <hyperlink ref="C584" r:id="rId20" display="=@IF(U501+V501=1,&quot;GROSS PROFIT/(LOSS)&quot;,IF((U501+V501=2),&quot;GROSS PROFIT&quot;,&quot;GROSS LOSS&quot;))" xr:uid="{D55A10C6-027F-40AD-9164-704B8B4DA379}"/>
    <hyperlink ref="O1813" r:id="rId21" display="=@if(Criteria!E33*Criteria!E34=Criteria!E36*Criteria!E37,&quot; &quot;,Criteria!E33*Criteria!E34)" xr:uid="{75BED5CF-6ABE-46F6-AAD7-1DE3B8AF5676}"/>
    <hyperlink ref="D2437" r:id="rId22" display="=@IF(U501+V501=1,&quot;GROSS PROFIT/(LOSS)&quot;,IF((U501+V501=2),&quot;GROSS PROFIT&quot;,&quot;GROSS LOSS&quot;))" xr:uid="{59956A35-B889-42C0-9BFB-E3D11CAD8708}"/>
    <hyperlink ref="D2438" r:id="rId23" display="=@IF(U501+V501=1,&quot;GROSS PROFIT/(LOSS)&quot;,IF((U501+V501=2),&quot;GROSS PROFIT&quot;,&quot;GROSS LOSS&quot;))" xr:uid="{8C560084-76AE-4E03-B786-F5668C590C1D}"/>
    <hyperlink ref="D2439" r:id="rId24" display="=@IF(U501+V501=1,&quot;GROSS PROFIT/(LOSS)&quot;,IF((U501+V501=2),&quot;GROSS PROFIT&quot;,&quot;GROSS LOSS&quot;))" xr:uid="{943C22D1-C410-4C73-A5C6-E2A43F6C2223}"/>
    <hyperlink ref="C2000" r:id="rId25" display="=@IF(U501+V501=1,&quot;GROSS PROFIT/(LOSS)&quot;,IF((U501+V501=2),&quot;GROSS PROFIT&quot;,&quot;GROSS LOSS&quot;))" xr:uid="{EF2B8CBB-8CD0-44A8-BD7B-F29DDCF87E41}"/>
    <hyperlink ref="O2598" r:id="rId26" display="-@sum(TrialBalance!A67:A70" xr:uid="{F1135C42-6EF3-4919-98DD-C2DAF1E01619}"/>
    <hyperlink ref="D2611" r:id="rId27" display="=@IF(U501+V501=1,&quot;GROSS PROFIT/(LOSS)&quot;,IF((U501+V501=2),&quot;GROSS PROFIT&quot;,&quot;GROSS LOSS&quot;))" xr:uid="{0A67C957-8A96-41AA-9CC2-3AA59A9CEA50}"/>
    <hyperlink ref="D2591" r:id="rId28" display="=@IF(U501+V501=1,&quot;GROSS PROFIT/(LOSS)&quot;,IF((U501+V501=2),&quot;GROSS PROFIT&quot;,&quot;GROSS LOSS&quot;))" xr:uid="{F10BFC7D-6E95-4207-A099-5C561083F887}"/>
    <hyperlink ref="D2549" r:id="rId29" display="=@IF(U501+V501=1,&quot;GROSS PROFIT/(LOSS)&quot;,IF((U501+V501=2),&quot;GROSS PROFIT&quot;,&quot;GROSS LOSS&quot;))" xr:uid="{712617A2-D6CD-4E60-BB31-C3466777F117}"/>
    <hyperlink ref="D2533" r:id="rId30" display="=@IF(U501+V501=1,&quot;GROSS PROFIT/(LOSS)&quot;,IF((U501+V501=2),&quot;GROSS PROFIT&quot;,&quot;GROSS LOSS&quot;))" xr:uid="{F99CBF6E-81AD-4109-9092-FF9B960F3C6B}"/>
    <hyperlink ref="D2483" r:id="rId31" display="=@IF(U501+V501=1,&quot;GROSS PROFIT/(LOSS)&quot;,IF((U501+V501=2),&quot;GROSS PROFIT&quot;,&quot;GROSS LOSS&quot;))" xr:uid="{86586CB7-84A4-484F-BDCF-62517A748845}"/>
    <hyperlink ref="O2763" r:id="rId32" display="-@sum(TrialBalance!A67:A70" xr:uid="{F8C1963A-9E34-4A98-9F85-930629AE2643}"/>
    <hyperlink ref="D2776" r:id="rId33" display="=@IF(U501+V501=1,&quot;GROSS PROFIT/(LOSS)&quot;,IF((U501+V501=2),&quot;GROSS PROFIT&quot;,&quot;GROSS LOSS&quot;))" xr:uid="{CEC5C5F2-914F-4AD5-974E-26470BECA6EA}"/>
    <hyperlink ref="D2756" r:id="rId34" display="=@IF(U501+V501=1,&quot;GROSS PROFIT/(LOSS)&quot;,IF((U501+V501=2),&quot;GROSS PROFIT&quot;,&quot;GROSS LOSS&quot;))" xr:uid="{D45ADED7-4FC5-490C-A289-BE9B3F0F5C90}"/>
    <hyperlink ref="D2698" r:id="rId35" display="=@IF(U501+V501=1,&quot;GROSS PROFIT/(LOSS)&quot;,IF((U501+V501=2),&quot;GROSS PROFIT&quot;,&quot;GROSS LOSS&quot;))" xr:uid="{99D387F1-43FC-4BAC-8C9B-35FE9D052ECB}"/>
    <hyperlink ref="D2648" r:id="rId36" display="=@IF(U501+V501=1,&quot;GROSS PROFIT/(LOSS)&quot;,IF((U501+V501=2),&quot;GROSS PROFIT&quot;,&quot;GROSS LOSS&quot;))" xr:uid="{801CD040-8E67-434D-9E98-B3C6B9547D43}"/>
    <hyperlink ref="D2714" r:id="rId37" display="=@IF(U501+V501=1,&quot;GROSS PROFIT/(LOSS)&quot;,IF((U501+V501=2),&quot;GROSS PROFIT&quot;,&quot;GROSS LOSS&quot;))" xr:uid="{A069841F-5D72-492E-8DDC-BDC43412D60E}"/>
    <hyperlink ref="D2813" r:id="rId38" display="=@IF(U501+V501=1,&quot;GROSS PROFIT/(LOSS)&quot;,IF((U501+V501=2),&quot;GROSS PROFIT&quot;,&quot;GROSS LOSS&quot;))" xr:uid="{98FC5CC4-FB4D-4EE2-BC82-6A0526F0C56D}"/>
    <hyperlink ref="D2863" r:id="rId39" display="=@IF(U501+V501=1,&quot;GROSS PROFIT/(LOSS)&quot;,IF((U501+V501=2),&quot;GROSS PROFIT&quot;,&quot;GROSS LOSS&quot;))" xr:uid="{050D4589-7F9F-48B7-9C73-2F842C20F794}"/>
    <hyperlink ref="D2921" r:id="rId40" display="=@IF(U501+V501=1,&quot;GROSS PROFIT/(LOSS)&quot;,IF((U501+V501=2),&quot;GROSS PROFIT&quot;,&quot;GROSS LOSS&quot;))" xr:uid="{0D6834C2-6D1C-41F1-964F-12D5E1F5D175}"/>
    <hyperlink ref="D2941" r:id="rId41" display="=@IF(U501+V501=1,&quot;GROSS PROFIT/(LOSS)&quot;,IF((U501+V501=2),&quot;GROSS PROFIT&quot;,&quot;GROSS LOSS&quot;))" xr:uid="{BED28F06-5C74-4DB1-B992-1F47A300C042}"/>
    <hyperlink ref="O2928" r:id="rId42" display="-@sum(TrialBalance!A67:A70" xr:uid="{2D083B57-EE56-49C8-9A6A-B7F4C640C6FC}"/>
    <hyperlink ref="D2879" r:id="rId43" display="=@IF(U501+V501=1,&quot;GROSS PROFIT/(LOSS)&quot;,IF((U501+V501=2),&quot;GROSS PROFIT&quot;,&quot;GROSS LOSS&quot;))" xr:uid="{A32CB3F5-F645-4B9D-8CA0-57B981C3D99A}"/>
    <hyperlink ref="D426" r:id="rId44" display="=@IF(U501+V501=1,&quot;GROSS PROFIT/(LOSS)&quot;,IF((U501+V501=2),&quot;GROSS PROFIT&quot;,&quot;GROSS LOSS&quot;))" xr:uid="{E1B80E91-18FE-42C6-A1A2-2B5043F18074}"/>
    <hyperlink ref="D436" r:id="rId45" display="=@IF(U501+V501=1,&quot;GROSS PROFIT/(LOSS)&quot;,IF((U501+V501=2),&quot;GROSS PROFIT&quot;,&quot;GROSS LOSS&quot;))" xr:uid="{88ECA870-FAD9-4EDF-8F7E-DFEAB539C34D}"/>
    <hyperlink ref="C2244" r:id="rId46" display="=@IF(U501+V501=1,&quot;GROSS PROFIT/(LOSS)&quot;,IF((U501+V501=2),&quot;GROSS PROFIT&quot;,&quot;GROSS LOSS&quot;))" xr:uid="{471418B5-D822-44AF-8787-3075991ECC71}"/>
    <hyperlink ref="C2029" r:id="rId47" display="=@IF(U501+V501=1,&quot;GROSS PROFIT/(LOSS)&quot;,IF((U501+V501=2),&quot;GROSS PROFIT&quot;,&quot;GROSS LOSS&quot;))" xr:uid="{91D17A33-3561-4A2D-AAD3-4F12B6A529BF}"/>
    <hyperlink ref="C2014" r:id="rId48" display="=@IF(U501+V501=1,&quot;GROSS PROFIT/(LOSS)&quot;,IF((U501+V501=2),&quot;GROSS PROFIT&quot;,&quot;GROSS LOSS&quot;))" xr:uid="{5C383DB8-B833-4C07-949C-48A5C29E2072}"/>
    <hyperlink ref="C2157" r:id="rId49" display="=@IF(U501+V501=1,&quot;GROSS PROFIT/(LOSS)&quot;,IF((U501+V501=2),&quot;GROSS PROFIT&quot;,&quot;GROSS LOSS&quot;))" xr:uid="{7872B034-949B-41FF-8C43-297AFFBA60E8}"/>
    <hyperlink ref="C2166" r:id="rId50" display="=@IF(U501+V501=1,&quot;GROSS PROFIT/(LOSS)&quot;,IF((U501+V501=2),&quot;GROSS PROFIT&quot;,&quot;GROSS LOSS&quot;))" xr:uid="{C4DE6342-ADBE-469A-8D01-362DC8685BFC}"/>
    <hyperlink ref="C2155" r:id="rId51" display="=@IF(U501+V501=1,&quot;GROSS PROFIT/(LOSS)&quot;,IF((U501+V501=2),&quot;GROSS PROFIT&quot;,&quot;GROSS LOSS&quot;))" xr:uid="{E4EA5D38-165B-4DD2-92A2-C6F6E23E342B}"/>
    <hyperlink ref="D404" r:id="rId52" display="=@if(Criteria!F343=&quot;No&quot;,Criteria!G346,&quot; &quot;)" xr:uid="{742F580A-5B68-42D8-93A6-5F94F336E3B7}"/>
    <hyperlink ref="D405" r:id="rId53" display="=@if(Criteria!F343=&quot;No&quot;,Criteria!G346,&quot; &quot;)" xr:uid="{261E20C9-DC48-4D03-B6E3-CA61BCB3266F}"/>
    <hyperlink ref="D406" r:id="rId54" display="=@if(Criteria!F343=&quot;No&quot;,Criteria!G346,&quot; &quot;)" xr:uid="{6F94A5AC-DB11-4A82-8753-A8607596D00F}"/>
  </hyperlinks>
  <pageMargins left="0.7" right="0.7" top="0.75" bottom="0.75" header="0.3" footer="0.3"/>
  <pageSetup paperSize="9" scale="43" fitToHeight="0" orientation="portrait" r:id="rId55"/>
  <headerFooter alignWithMargins="0"/>
  <drawing r:id="rId56"/>
  <picture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N385"/>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9" ht="23.25" x14ac:dyDescent="0.35">
      <c r="E2" s="210" t="s">
        <v>1005</v>
      </c>
    </row>
    <row r="3" spans="3:9" ht="18.75" x14ac:dyDescent="0.3">
      <c r="E3" s="211" t="s">
        <v>782</v>
      </c>
    </row>
    <row r="4" spans="3:9" ht="18.75" x14ac:dyDescent="0.3">
      <c r="E4" s="211" t="s">
        <v>661</v>
      </c>
    </row>
    <row r="7" spans="3:9" ht="19.5" x14ac:dyDescent="0.35">
      <c r="C7" s="120" t="s">
        <v>508</v>
      </c>
    </row>
    <row r="9" spans="3:9" ht="18.75" x14ac:dyDescent="0.3">
      <c r="C9" s="2" t="s">
        <v>509</v>
      </c>
      <c r="E9" s="488" t="s">
        <v>990</v>
      </c>
      <c r="F9" s="488"/>
      <c r="G9" s="488"/>
    </row>
    <row r="10" spans="3:9" ht="18.75" x14ac:dyDescent="0.3">
      <c r="E10" s="488" t="s">
        <v>810</v>
      </c>
      <c r="F10" s="488"/>
      <c r="G10" s="488"/>
    </row>
    <row r="11" spans="3:9" x14ac:dyDescent="0.25">
      <c r="E11" s="487" t="s">
        <v>1206</v>
      </c>
      <c r="F11" s="487"/>
      <c r="G11" s="487"/>
    </row>
    <row r="13" spans="3:9" ht="18.75" x14ac:dyDescent="0.3">
      <c r="D13" s="2" t="s">
        <v>708</v>
      </c>
      <c r="E13" s="489" t="s">
        <v>1204</v>
      </c>
      <c r="F13" s="489"/>
      <c r="G13" s="489"/>
      <c r="H13" s="212" t="s">
        <v>1205</v>
      </c>
      <c r="I13" s="178"/>
    </row>
    <row r="14" spans="3:9" ht="18.75" x14ac:dyDescent="0.3">
      <c r="C14" s="2" t="s">
        <v>482</v>
      </c>
      <c r="D14" s="2" t="s">
        <v>826</v>
      </c>
      <c r="E14" s="489" t="s">
        <v>820</v>
      </c>
      <c r="F14" s="489"/>
      <c r="G14" s="489"/>
      <c r="H14" s="212" t="s">
        <v>822</v>
      </c>
      <c r="I14" s="178"/>
    </row>
    <row r="15" spans="3:9" ht="18.75" x14ac:dyDescent="0.3">
      <c r="D15" s="2" t="s">
        <v>827</v>
      </c>
      <c r="E15" s="489" t="s">
        <v>821</v>
      </c>
      <c r="F15" s="489"/>
      <c r="G15" s="489"/>
      <c r="H15" s="212" t="s">
        <v>823</v>
      </c>
      <c r="I15" s="178"/>
    </row>
    <row r="16" spans="3:9" ht="18.75" x14ac:dyDescent="0.3">
      <c r="D16" s="2" t="s">
        <v>828</v>
      </c>
      <c r="E16" s="489"/>
      <c r="F16" s="489"/>
      <c r="G16" s="489"/>
      <c r="H16" s="212"/>
      <c r="I16" s="178"/>
    </row>
    <row r="17" spans="3:10" x14ac:dyDescent="0.25">
      <c r="I17"/>
    </row>
    <row r="18" spans="3:10" x14ac:dyDescent="0.25">
      <c r="C18" s="2" t="s">
        <v>638</v>
      </c>
      <c r="E18" s="213" t="s">
        <v>794</v>
      </c>
      <c r="J18" s="50"/>
    </row>
    <row r="20" spans="3:10" x14ac:dyDescent="0.25">
      <c r="C20" s="2" t="s">
        <v>147</v>
      </c>
      <c r="E20" s="214" t="s">
        <v>1216</v>
      </c>
      <c r="G20" s="216">
        <v>45716</v>
      </c>
    </row>
    <row r="21" spans="3:10" x14ac:dyDescent="0.25">
      <c r="G21" s="216">
        <f>G20-365</f>
        <v>45351</v>
      </c>
    </row>
    <row r="22" spans="3:10" x14ac:dyDescent="0.25">
      <c r="C22" s="2" t="s">
        <v>148</v>
      </c>
      <c r="E22" s="213">
        <v>2025</v>
      </c>
      <c r="G22" s="216">
        <f>G21-366</f>
        <v>44985</v>
      </c>
      <c r="H22" s="5"/>
    </row>
    <row r="23" spans="3:10" x14ac:dyDescent="0.25">
      <c r="E23" s="5"/>
      <c r="G23" s="118"/>
    </row>
    <row r="24" spans="3:10" x14ac:dyDescent="0.25">
      <c r="C24" s="2" t="s">
        <v>85</v>
      </c>
      <c r="E24" s="215" t="s">
        <v>81</v>
      </c>
      <c r="G24" s="5" t="str">
        <f>PROPER(E20)</f>
        <v>28 February 2025</v>
      </c>
    </row>
    <row r="25" spans="3:10" hidden="1" x14ac:dyDescent="0.25">
      <c r="E25" s="5"/>
      <c r="F25" s="2" t="s">
        <v>80</v>
      </c>
      <c r="G25" s="5" t="s">
        <v>81</v>
      </c>
    </row>
    <row r="26" spans="3:10" x14ac:dyDescent="0.25">
      <c r="E26" s="5"/>
    </row>
    <row r="27" spans="3:10" x14ac:dyDescent="0.25">
      <c r="C27" s="2" t="s">
        <v>877</v>
      </c>
      <c r="E27" s="218">
        <f>E22-1</f>
        <v>2024</v>
      </c>
    </row>
    <row r="29" spans="3:10" x14ac:dyDescent="0.25">
      <c r="C29" s="2" t="s">
        <v>641</v>
      </c>
      <c r="F29" s="217" t="s">
        <v>659</v>
      </c>
    </row>
    <row r="31" spans="3:10" ht="19.5" x14ac:dyDescent="0.35">
      <c r="C31" s="120" t="s">
        <v>150</v>
      </c>
    </row>
    <row r="33" spans="3:10" x14ac:dyDescent="0.25">
      <c r="C33" s="2" t="s">
        <v>90</v>
      </c>
      <c r="E33" s="219" t="s">
        <v>811</v>
      </c>
      <c r="F33" s="111"/>
    </row>
    <row r="34" spans="3:10" x14ac:dyDescent="0.25">
      <c r="E34" s="220" t="s">
        <v>812</v>
      </c>
      <c r="F34" s="112"/>
    </row>
    <row r="35" spans="3:10" x14ac:dyDescent="0.25">
      <c r="E35" s="220"/>
      <c r="F35" s="112"/>
    </row>
    <row r="36" spans="3:10" x14ac:dyDescent="0.25">
      <c r="E36" s="221"/>
      <c r="F36" s="113"/>
    </row>
    <row r="37" spans="3:10" x14ac:dyDescent="0.25">
      <c r="G37" s="5" t="s">
        <v>667</v>
      </c>
    </row>
    <row r="38" spans="3:10" x14ac:dyDescent="0.25">
      <c r="C38" s="2" t="s">
        <v>455</v>
      </c>
      <c r="D38" s="114"/>
      <c r="E38" s="217" t="s">
        <v>666</v>
      </c>
      <c r="F38" s="222" t="s">
        <v>93</v>
      </c>
      <c r="G38" s="222" t="s">
        <v>668</v>
      </c>
      <c r="H38" s="2" t="str">
        <f>E38</f>
        <v>A Director</v>
      </c>
      <c r="I38" s="2">
        <f>IF(H38=0," ",1)</f>
        <v>1</v>
      </c>
    </row>
    <row r="39" spans="3:10" x14ac:dyDescent="0.25">
      <c r="D39" s="115"/>
      <c r="E39" s="217" t="s">
        <v>1080</v>
      </c>
      <c r="F39" s="222" t="s">
        <v>93</v>
      </c>
      <c r="G39" s="222" t="s">
        <v>668</v>
      </c>
      <c r="H39" s="2" t="str">
        <f>E39</f>
        <v>B Director</v>
      </c>
      <c r="I39" s="2">
        <f>IF(H39=0," ",I38+1)</f>
        <v>2</v>
      </c>
    </row>
    <row r="40" spans="3:10" x14ac:dyDescent="0.25">
      <c r="D40" s="114"/>
      <c r="E40" s="217"/>
      <c r="F40" s="217"/>
      <c r="G40" s="217"/>
      <c r="H40" s="2">
        <f>E40</f>
        <v>0</v>
      </c>
      <c r="I40" s="2" t="str">
        <f>IF(H40=0," ",I39+1)</f>
        <v xml:space="preserve"> </v>
      </c>
    </row>
    <row r="41" spans="3:10" x14ac:dyDescent="0.25">
      <c r="D41" s="115"/>
      <c r="E41" s="217"/>
      <c r="F41" s="217"/>
      <c r="G41" s="217"/>
      <c r="H41" s="2">
        <f>E41</f>
        <v>0</v>
      </c>
      <c r="I41" s="2" t="str">
        <f>IF(H41=0," ",I40+1)</f>
        <v xml:space="preserve"> </v>
      </c>
    </row>
    <row r="42" spans="3:10" x14ac:dyDescent="0.25">
      <c r="D42" s="115"/>
      <c r="E42" s="217"/>
      <c r="F42" s="217"/>
      <c r="G42" s="217"/>
      <c r="H42" s="2">
        <f>E42</f>
        <v>0</v>
      </c>
      <c r="I42" s="2" t="str">
        <f>IF(H42=0," ",I41+1)</f>
        <v xml:space="preserve"> </v>
      </c>
    </row>
    <row r="44" spans="3:10" hidden="1" x14ac:dyDescent="0.25">
      <c r="G44" s="2" t="s">
        <v>309</v>
      </c>
    </row>
    <row r="45" spans="3:10" hidden="1" x14ac:dyDescent="0.25">
      <c r="G45" s="2" t="s">
        <v>311</v>
      </c>
    </row>
    <row r="46" spans="3:10" hidden="1" x14ac:dyDescent="0.25">
      <c r="G46" s="2" t="s">
        <v>310</v>
      </c>
    </row>
    <row r="47" spans="3:10" x14ac:dyDescent="0.25">
      <c r="E47" s="2" t="s">
        <v>669</v>
      </c>
      <c r="G47" s="215" t="s">
        <v>81</v>
      </c>
    </row>
    <row r="48" spans="3:10" x14ac:dyDescent="0.25">
      <c r="F48" s="2" t="s">
        <v>458</v>
      </c>
      <c r="G48" s="222" t="s">
        <v>780</v>
      </c>
      <c r="H48" s="116"/>
      <c r="I48" s="116"/>
      <c r="J48" s="52"/>
    </row>
    <row r="49" spans="3:10" x14ac:dyDescent="0.25">
      <c r="G49" s="222"/>
      <c r="H49" s="116"/>
      <c r="I49" s="116"/>
      <c r="J49" s="52"/>
    </row>
    <row r="51" spans="3:10" x14ac:dyDescent="0.25">
      <c r="C51" s="2" t="s">
        <v>1002</v>
      </c>
      <c r="E51" s="217"/>
      <c r="F51" s="222"/>
      <c r="G51" s="2">
        <f>E51</f>
        <v>0</v>
      </c>
      <c r="H51" s="2" t="str">
        <f>IF(G51=0," ",1)</f>
        <v xml:space="preserve"> </v>
      </c>
    </row>
    <row r="52" spans="3:10" x14ac:dyDescent="0.25">
      <c r="E52" s="217"/>
      <c r="F52" s="222"/>
      <c r="G52" s="2">
        <f t="shared" ref="G52:G55" si="0">E52</f>
        <v>0</v>
      </c>
      <c r="H52" s="2" t="str">
        <f>IF(G52=0," ",H51+1)</f>
        <v xml:space="preserve"> </v>
      </c>
    </row>
    <row r="53" spans="3:10" x14ac:dyDescent="0.25">
      <c r="E53" s="217"/>
      <c r="F53" s="217"/>
      <c r="G53" s="2">
        <f t="shared" si="0"/>
        <v>0</v>
      </c>
      <c r="H53" s="2" t="str">
        <f>IF(G53=0," ",H52+1)</f>
        <v xml:space="preserve"> </v>
      </c>
    </row>
    <row r="54" spans="3:10" x14ac:dyDescent="0.25">
      <c r="E54" s="217"/>
      <c r="F54" s="217"/>
      <c r="G54" s="2">
        <f t="shared" si="0"/>
        <v>0</v>
      </c>
      <c r="H54" s="2" t="str">
        <f>IF(G54=0," ",H53+1)</f>
        <v xml:space="preserve"> </v>
      </c>
    </row>
    <row r="55" spans="3:10" x14ac:dyDescent="0.25">
      <c r="E55" s="217"/>
      <c r="F55" s="217"/>
      <c r="G55" s="2">
        <f t="shared" si="0"/>
        <v>0</v>
      </c>
      <c r="H55" s="2" t="str">
        <f>IF(G55=0," ",H54+1)</f>
        <v xml:space="preserve"> </v>
      </c>
    </row>
    <row r="57" spans="3:10" x14ac:dyDescent="0.25">
      <c r="C57" s="2" t="s">
        <v>91</v>
      </c>
      <c r="E57" s="217"/>
    </row>
    <row r="58" spans="3:10" x14ac:dyDescent="0.25">
      <c r="E58" s="217"/>
    </row>
    <row r="59" spans="3:10" x14ac:dyDescent="0.25">
      <c r="E59" s="223"/>
      <c r="G59" s="50"/>
    </row>
    <row r="60" spans="3:10" x14ac:dyDescent="0.25">
      <c r="E60" s="224"/>
    </row>
    <row r="62" spans="3:10" x14ac:dyDescent="0.25">
      <c r="C62" s="2" t="s">
        <v>767</v>
      </c>
      <c r="E62" s="224"/>
    </row>
    <row r="63" spans="3:10" x14ac:dyDescent="0.25">
      <c r="E63" s="224"/>
    </row>
    <row r="64" spans="3:10" x14ac:dyDescent="0.25">
      <c r="E64" s="223"/>
    </row>
    <row r="65" spans="1:10" x14ac:dyDescent="0.25">
      <c r="E65" s="224"/>
    </row>
    <row r="67" spans="1:10" x14ac:dyDescent="0.25">
      <c r="C67" s="2" t="s">
        <v>42</v>
      </c>
      <c r="E67" s="217"/>
    </row>
    <row r="68" spans="1:10" x14ac:dyDescent="0.25">
      <c r="E68" s="217"/>
    </row>
    <row r="69" spans="1:10" x14ac:dyDescent="0.25">
      <c r="E69" s="223"/>
    </row>
    <row r="70" spans="1:10" x14ac:dyDescent="0.25">
      <c r="E70" s="224"/>
    </row>
    <row r="72" spans="1:10" x14ac:dyDescent="0.25">
      <c r="C72" s="2" t="s">
        <v>671</v>
      </c>
      <c r="E72" s="224"/>
    </row>
    <row r="73" spans="1:10" x14ac:dyDescent="0.25">
      <c r="E73" s="224"/>
    </row>
    <row r="74" spans="1:10" x14ac:dyDescent="0.25">
      <c r="E74" s="224"/>
    </row>
    <row r="77" spans="1:10" ht="18.75" x14ac:dyDescent="0.3">
      <c r="A77" s="486" t="s">
        <v>544</v>
      </c>
      <c r="B77" s="486"/>
      <c r="C77" s="486"/>
      <c r="D77" s="486"/>
      <c r="E77" s="486"/>
      <c r="F77" s="486"/>
      <c r="G77" s="486"/>
      <c r="H77" s="486"/>
      <c r="I77" s="486"/>
      <c r="J77" s="486"/>
    </row>
    <row r="79" spans="1:10" ht="19.5" x14ac:dyDescent="0.35">
      <c r="C79" s="120" t="s">
        <v>456</v>
      </c>
    </row>
    <row r="80" spans="1:10" x14ac:dyDescent="0.25">
      <c r="F80" s="26"/>
    </row>
    <row r="81" spans="3:10" x14ac:dyDescent="0.25">
      <c r="C81" s="490" t="s">
        <v>995</v>
      </c>
      <c r="D81" s="490"/>
      <c r="E81" s="490"/>
      <c r="F81" s="490"/>
    </row>
    <row r="82" spans="3:10" x14ac:dyDescent="0.25">
      <c r="E82" s="26"/>
    </row>
    <row r="83" spans="3:10" x14ac:dyDescent="0.25">
      <c r="C83" s="2" t="s">
        <v>999</v>
      </c>
      <c r="E83" s="26"/>
      <c r="F83" s="215" t="s">
        <v>80</v>
      </c>
    </row>
    <row r="84" spans="3:10" x14ac:dyDescent="0.25">
      <c r="E84" s="26"/>
    </row>
    <row r="85" spans="3:10" x14ac:dyDescent="0.25">
      <c r="C85" s="2" t="s">
        <v>1000</v>
      </c>
      <c r="E85" s="26"/>
      <c r="F85" s="215" t="s">
        <v>80</v>
      </c>
    </row>
    <row r="86" spans="3:10" x14ac:dyDescent="0.25">
      <c r="E86" s="26"/>
    </row>
    <row r="87" spans="3:10" x14ac:dyDescent="0.25">
      <c r="C87" s="2" t="s">
        <v>1001</v>
      </c>
      <c r="E87" s="26"/>
      <c r="F87" s="215" t="s">
        <v>81</v>
      </c>
    </row>
    <row r="88" spans="3:10" x14ac:dyDescent="0.25">
      <c r="E88" s="26"/>
    </row>
    <row r="89" spans="3:10" x14ac:dyDescent="0.25">
      <c r="C89" s="2" t="s">
        <v>457</v>
      </c>
      <c r="E89" s="26"/>
      <c r="F89" s="215" t="s">
        <v>81</v>
      </c>
      <c r="G89" s="225" t="s">
        <v>1217</v>
      </c>
      <c r="H89" s="117"/>
      <c r="I89" s="117"/>
      <c r="J89" s="117"/>
    </row>
    <row r="90" spans="3:10" x14ac:dyDescent="0.25">
      <c r="E90" s="26"/>
      <c r="G90" s="427" t="s">
        <v>1218</v>
      </c>
      <c r="H90" s="117"/>
      <c r="I90" s="117"/>
      <c r="J90" s="117"/>
    </row>
    <row r="91" spans="3:10" x14ac:dyDescent="0.25">
      <c r="E91" s="26"/>
    </row>
    <row r="92" spans="3:10" x14ac:dyDescent="0.25">
      <c r="C92" s="2" t="s">
        <v>689</v>
      </c>
      <c r="E92" s="26"/>
      <c r="F92" s="215" t="s">
        <v>81</v>
      </c>
    </row>
    <row r="93" spans="3:10" x14ac:dyDescent="0.25">
      <c r="E93" s="26"/>
      <c r="F93" s="2" t="s">
        <v>458</v>
      </c>
      <c r="G93" s="225" t="s">
        <v>791</v>
      </c>
      <c r="H93" s="117"/>
      <c r="I93" s="117"/>
      <c r="J93" s="117"/>
    </row>
    <row r="94" spans="3:10" x14ac:dyDescent="0.25">
      <c r="E94" s="26"/>
      <c r="G94" s="225"/>
      <c r="H94" s="117"/>
      <c r="I94" s="117"/>
      <c r="J94" s="117"/>
    </row>
    <row r="95" spans="3:10" x14ac:dyDescent="0.25">
      <c r="E95" s="26"/>
    </row>
    <row r="96" spans="3:10" x14ac:dyDescent="0.25">
      <c r="C96" s="2" t="s">
        <v>459</v>
      </c>
      <c r="E96" s="26"/>
      <c r="F96" s="215" t="s">
        <v>81</v>
      </c>
    </row>
    <row r="97" spans="3:13" x14ac:dyDescent="0.25">
      <c r="E97" s="26"/>
      <c r="F97" s="2" t="s">
        <v>458</v>
      </c>
      <c r="G97" s="225" t="s">
        <v>690</v>
      </c>
      <c r="H97" s="117"/>
      <c r="I97" s="117"/>
      <c r="J97" s="117"/>
    </row>
    <row r="98" spans="3:13" x14ac:dyDescent="0.25">
      <c r="E98" s="26"/>
    </row>
    <row r="99" spans="3:13" x14ac:dyDescent="0.25">
      <c r="C99" s="2" t="s">
        <v>663</v>
      </c>
      <c r="E99" s="26"/>
      <c r="F99" s="215" t="s">
        <v>81</v>
      </c>
    </row>
    <row r="100" spans="3:13" x14ac:dyDescent="0.25">
      <c r="E100" s="26"/>
    </row>
    <row r="101" spans="3:13" x14ac:dyDescent="0.25">
      <c r="E101" s="26"/>
      <c r="F101" s="2" t="s">
        <v>458</v>
      </c>
      <c r="G101" s="225"/>
      <c r="H101" s="117"/>
      <c r="I101" s="117"/>
      <c r="J101" s="117"/>
      <c r="M101" s="2"/>
    </row>
    <row r="102" spans="3:13" x14ac:dyDescent="0.25">
      <c r="E102" s="26"/>
      <c r="G102" s="225"/>
      <c r="H102" s="117"/>
      <c r="I102" s="117"/>
      <c r="J102" s="117"/>
      <c r="M102" s="2"/>
    </row>
    <row r="103" spans="3:13" x14ac:dyDescent="0.25">
      <c r="E103" s="26"/>
      <c r="G103" s="225"/>
      <c r="H103" s="117"/>
      <c r="I103" s="117"/>
      <c r="J103" s="117"/>
      <c r="M103" s="2"/>
    </row>
    <row r="105" spans="3:13" x14ac:dyDescent="0.25">
      <c r="C105" s="2" t="s">
        <v>53</v>
      </c>
      <c r="F105" s="215" t="s">
        <v>80</v>
      </c>
    </row>
    <row r="107" spans="3:13" x14ac:dyDescent="0.25">
      <c r="C107" s="2" t="s">
        <v>230</v>
      </c>
      <c r="F107" s="215" t="s">
        <v>81</v>
      </c>
    </row>
    <row r="109" spans="3:13" x14ac:dyDescent="0.25">
      <c r="C109" s="17" t="s">
        <v>460</v>
      </c>
    </row>
    <row r="110" spans="3:13" x14ac:dyDescent="0.25">
      <c r="E110" s="5">
        <f>E22</f>
        <v>2025</v>
      </c>
      <c r="F110" s="5">
        <f>E27</f>
        <v>2024</v>
      </c>
    </row>
    <row r="111" spans="3:13" x14ac:dyDescent="0.25">
      <c r="C111" s="2" t="s">
        <v>879</v>
      </c>
      <c r="E111" s="226">
        <v>1000</v>
      </c>
      <c r="F111" s="226">
        <v>1000</v>
      </c>
      <c r="G111" s="2" t="str">
        <f>CONCATENATE(E111," Ordinary shares of R",E112," each")</f>
        <v>1000 Ordinary shares of R1 each</v>
      </c>
    </row>
    <row r="112" spans="3:13" x14ac:dyDescent="0.25">
      <c r="E112" s="227">
        <v>1</v>
      </c>
      <c r="F112" s="227">
        <v>1</v>
      </c>
    </row>
    <row r="114" spans="2:12" x14ac:dyDescent="0.25">
      <c r="C114" s="2" t="s">
        <v>691</v>
      </c>
      <c r="E114" s="228">
        <v>100</v>
      </c>
      <c r="F114" s="228">
        <v>100</v>
      </c>
      <c r="G114" s="2" t="str">
        <f>CONCATENATE(E114," Ordinary shares of R",E115," each")</f>
        <v>100 Ordinary shares of R1 each</v>
      </c>
    </row>
    <row r="115" spans="2:12" x14ac:dyDescent="0.25">
      <c r="E115" s="227">
        <v>1</v>
      </c>
      <c r="F115" s="227">
        <v>1</v>
      </c>
    </row>
    <row r="116" spans="2:12" x14ac:dyDescent="0.25">
      <c r="E116" s="26"/>
    </row>
    <row r="117" spans="2:12" ht="16.5" x14ac:dyDescent="0.3">
      <c r="C117" s="119" t="s">
        <v>97</v>
      </c>
    </row>
    <row r="119" spans="2:12" x14ac:dyDescent="0.25">
      <c r="B119" s="10"/>
      <c r="C119" s="17" t="s">
        <v>857</v>
      </c>
      <c r="F119" s="20"/>
      <c r="G119" s="20"/>
      <c r="H119" s="20"/>
      <c r="I119" s="19"/>
      <c r="J119" s="19"/>
      <c r="L119" s="7"/>
    </row>
    <row r="121" spans="2:12" x14ac:dyDescent="0.25">
      <c r="C121" s="2" t="s">
        <v>960</v>
      </c>
      <c r="F121" s="215" t="s">
        <v>81</v>
      </c>
    </row>
    <row r="123" spans="2:12" x14ac:dyDescent="0.25">
      <c r="F123" s="5">
        <f>E22</f>
        <v>2025</v>
      </c>
      <c r="G123" s="5">
        <f>E27</f>
        <v>2024</v>
      </c>
    </row>
    <row r="124" spans="2:12" x14ac:dyDescent="0.25">
      <c r="C124" s="2" t="s">
        <v>1017</v>
      </c>
    </row>
    <row r="126" spans="2:12" x14ac:dyDescent="0.25">
      <c r="C126" s="236"/>
      <c r="D126" s="236"/>
      <c r="E126" s="236"/>
      <c r="F126" s="236"/>
      <c r="G126" s="236"/>
    </row>
    <row r="127" spans="2:12" x14ac:dyDescent="0.25">
      <c r="C127" s="236"/>
      <c r="D127" s="236"/>
      <c r="E127" s="236"/>
      <c r="F127" s="236"/>
      <c r="G127" s="236"/>
    </row>
    <row r="128" spans="2:12" x14ac:dyDescent="0.25">
      <c r="C128" s="236"/>
      <c r="D128" s="236"/>
      <c r="E128" s="236"/>
      <c r="F128" s="236"/>
      <c r="G128" s="236"/>
    </row>
    <row r="129" spans="3:7" x14ac:dyDescent="0.25">
      <c r="C129" s="236"/>
      <c r="D129" s="236"/>
      <c r="E129" s="236"/>
      <c r="F129" s="236"/>
      <c r="G129" s="236"/>
    </row>
    <row r="130" spans="3:7" x14ac:dyDescent="0.25">
      <c r="C130" s="236"/>
      <c r="D130" s="236"/>
      <c r="E130" s="236"/>
      <c r="F130" s="236"/>
      <c r="G130" s="236"/>
    </row>
    <row r="131" spans="3:7" x14ac:dyDescent="0.25">
      <c r="C131" s="236"/>
      <c r="D131" s="236"/>
      <c r="E131" s="236"/>
      <c r="F131" s="236"/>
      <c r="G131" s="236"/>
    </row>
    <row r="132" spans="3:7" x14ac:dyDescent="0.25">
      <c r="C132" s="236"/>
      <c r="D132" s="236"/>
      <c r="E132" s="236"/>
      <c r="F132" s="236"/>
      <c r="G132" s="236"/>
    </row>
    <row r="133" spans="3:7" x14ac:dyDescent="0.25">
      <c r="C133" s="236"/>
      <c r="D133" s="236"/>
      <c r="E133" s="236"/>
      <c r="F133" s="236"/>
      <c r="G133" s="236"/>
    </row>
    <row r="134" spans="3:7" x14ac:dyDescent="0.25">
      <c r="C134" s="236"/>
      <c r="D134" s="236"/>
      <c r="E134" s="236"/>
      <c r="F134" s="236"/>
      <c r="G134" s="236"/>
    </row>
    <row r="135" spans="3:7" x14ac:dyDescent="0.25">
      <c r="C135" s="236"/>
      <c r="D135" s="236"/>
      <c r="E135" s="236"/>
      <c r="F135" s="236"/>
      <c r="G135" s="236"/>
    </row>
    <row r="136" spans="3:7" x14ac:dyDescent="0.25">
      <c r="C136" s="236"/>
      <c r="D136" s="236"/>
      <c r="E136" s="236"/>
      <c r="F136" s="236"/>
      <c r="G136" s="236"/>
    </row>
    <row r="137" spans="3:7" x14ac:dyDescent="0.25">
      <c r="C137" s="236"/>
      <c r="D137" s="236"/>
      <c r="E137" s="236"/>
      <c r="F137" s="236"/>
      <c r="G137" s="236"/>
    </row>
    <row r="138" spans="3:7" x14ac:dyDescent="0.25">
      <c r="C138" s="236"/>
      <c r="D138" s="236"/>
      <c r="E138" s="236"/>
      <c r="F138" s="236"/>
      <c r="G138" s="236"/>
    </row>
    <row r="139" spans="3:7" x14ac:dyDescent="0.25">
      <c r="C139" s="236"/>
      <c r="D139" s="236"/>
      <c r="E139" s="236"/>
      <c r="F139" s="236"/>
      <c r="G139" s="236"/>
    </row>
    <row r="140" spans="3:7" x14ac:dyDescent="0.25">
      <c r="C140" s="236"/>
      <c r="D140" s="236"/>
      <c r="E140" s="236"/>
      <c r="F140" s="236"/>
      <c r="G140" s="236"/>
    </row>
    <row r="141" spans="3:7" x14ac:dyDescent="0.25">
      <c r="C141" s="236"/>
      <c r="D141" s="236"/>
      <c r="E141" s="236"/>
      <c r="F141" s="236"/>
      <c r="G141" s="236"/>
    </row>
    <row r="142" spans="3:7" x14ac:dyDescent="0.25">
      <c r="C142" s="236"/>
      <c r="D142" s="236"/>
      <c r="E142" s="236"/>
      <c r="F142" s="236"/>
      <c r="G142" s="236"/>
    </row>
    <row r="143" spans="3:7" x14ac:dyDescent="0.25">
      <c r="C143" s="236"/>
      <c r="D143" s="236"/>
      <c r="E143" s="236"/>
      <c r="F143" s="236"/>
      <c r="G143" s="236"/>
    </row>
    <row r="144" spans="3:7" x14ac:dyDescent="0.25">
      <c r="C144" s="236"/>
      <c r="D144" s="236"/>
      <c r="E144" s="236"/>
      <c r="F144" s="236"/>
      <c r="G144" s="236"/>
    </row>
    <row r="145" spans="3:7" x14ac:dyDescent="0.25">
      <c r="C145" s="236"/>
      <c r="D145" s="236"/>
      <c r="E145" s="236"/>
      <c r="F145" s="236"/>
      <c r="G145" s="236"/>
    </row>
    <row r="146" spans="3:7" x14ac:dyDescent="0.25">
      <c r="C146" s="236"/>
      <c r="D146" s="236"/>
      <c r="E146" s="236"/>
      <c r="F146" s="236"/>
      <c r="G146" s="236"/>
    </row>
    <row r="147" spans="3:7" x14ac:dyDescent="0.25">
      <c r="C147" s="236"/>
      <c r="D147" s="236"/>
      <c r="E147" s="236"/>
      <c r="F147" s="236"/>
      <c r="G147" s="236"/>
    </row>
    <row r="148" spans="3:7" x14ac:dyDescent="0.25">
      <c r="C148" s="236"/>
      <c r="D148" s="236"/>
      <c r="E148" s="236"/>
      <c r="F148" s="236"/>
      <c r="G148" s="236"/>
    </row>
    <row r="149" spans="3:7" x14ac:dyDescent="0.25">
      <c r="C149" s="236"/>
      <c r="D149" s="236"/>
      <c r="E149" s="236"/>
      <c r="F149" s="236"/>
      <c r="G149" s="236"/>
    </row>
    <row r="150" spans="3:7" x14ac:dyDescent="0.25">
      <c r="C150" s="236"/>
      <c r="D150" s="236"/>
      <c r="E150" s="236"/>
      <c r="F150" s="236"/>
      <c r="G150" s="236"/>
    </row>
    <row r="151" spans="3:7" x14ac:dyDescent="0.25">
      <c r="C151" s="236"/>
      <c r="D151" s="236"/>
      <c r="E151" s="236"/>
      <c r="F151" s="236"/>
      <c r="G151" s="236"/>
    </row>
    <row r="152" spans="3:7" x14ac:dyDescent="0.25">
      <c r="C152" s="236"/>
      <c r="D152" s="236"/>
      <c r="E152" s="236"/>
      <c r="F152" s="236"/>
      <c r="G152" s="236"/>
    </row>
    <row r="153" spans="3:7" x14ac:dyDescent="0.25">
      <c r="C153" s="236"/>
      <c r="D153" s="236"/>
      <c r="E153" s="236"/>
      <c r="F153" s="236"/>
      <c r="G153" s="236"/>
    </row>
    <row r="154" spans="3:7" x14ac:dyDescent="0.25">
      <c r="C154" s="236"/>
      <c r="D154" s="236"/>
      <c r="E154" s="236"/>
      <c r="F154" s="236"/>
      <c r="G154" s="236"/>
    </row>
    <row r="155" spans="3:7" x14ac:dyDescent="0.25">
      <c r="C155" s="236"/>
      <c r="D155" s="236"/>
      <c r="E155" s="236"/>
      <c r="F155" s="236"/>
      <c r="G155" s="236"/>
    </row>
    <row r="156" spans="3:7" x14ac:dyDescent="0.25">
      <c r="C156" s="236"/>
      <c r="D156" s="236"/>
      <c r="E156" s="236"/>
      <c r="F156" s="236"/>
      <c r="G156" s="236"/>
    </row>
    <row r="157" spans="3:7" x14ac:dyDescent="0.25">
      <c r="C157" s="236"/>
      <c r="D157" s="236"/>
      <c r="E157" s="236"/>
      <c r="F157" s="236"/>
      <c r="G157" s="236"/>
    </row>
    <row r="158" spans="3:7" x14ac:dyDescent="0.25">
      <c r="C158" s="236"/>
      <c r="D158" s="236"/>
      <c r="E158" s="236"/>
      <c r="F158" s="236"/>
      <c r="G158" s="236"/>
    </row>
    <row r="159" spans="3:7" x14ac:dyDescent="0.25">
      <c r="C159" s="236"/>
      <c r="D159" s="236"/>
      <c r="E159" s="236"/>
      <c r="F159" s="236"/>
      <c r="G159" s="236"/>
    </row>
    <row r="160" spans="3:7" x14ac:dyDescent="0.25">
      <c r="C160" s="236"/>
      <c r="D160" s="236"/>
      <c r="E160" s="236"/>
      <c r="F160" s="236"/>
      <c r="G160" s="236"/>
    </row>
    <row r="161" spans="3:7" x14ac:dyDescent="0.25">
      <c r="C161" s="236"/>
      <c r="D161" s="236"/>
      <c r="E161" s="236"/>
      <c r="F161" s="236"/>
      <c r="G161" s="236"/>
    </row>
    <row r="162" spans="3:7" x14ac:dyDescent="0.25">
      <c r="C162" s="236"/>
      <c r="D162" s="236"/>
      <c r="E162" s="236"/>
      <c r="F162" s="236"/>
      <c r="G162" s="236"/>
    </row>
    <row r="163" spans="3:7" x14ac:dyDescent="0.25">
      <c r="C163" s="236"/>
      <c r="D163" s="236"/>
      <c r="E163" s="236"/>
      <c r="F163" s="236"/>
      <c r="G163" s="236"/>
    </row>
    <row r="164" spans="3:7" ht="16.5" thickBot="1" x14ac:dyDescent="0.3">
      <c r="F164" s="393">
        <f>SUM(F126:F163)</f>
        <v>0</v>
      </c>
      <c r="G164" s="393">
        <f>SUM(G126:G163)</f>
        <v>0</v>
      </c>
    </row>
    <row r="165" spans="3:7" ht="16.5" thickTop="1" x14ac:dyDescent="0.25"/>
    <row r="166" spans="3:7" x14ac:dyDescent="0.25">
      <c r="C166" s="2" t="s">
        <v>1018</v>
      </c>
    </row>
    <row r="168" spans="3:7" x14ac:dyDescent="0.25">
      <c r="C168" s="236"/>
      <c r="D168" s="236"/>
      <c r="E168" s="236"/>
      <c r="F168" s="236"/>
      <c r="G168" s="236"/>
    </row>
    <row r="169" spans="3:7" x14ac:dyDescent="0.25">
      <c r="C169" s="236"/>
      <c r="D169" s="236"/>
      <c r="E169" s="236"/>
      <c r="F169" s="236"/>
      <c r="G169" s="236"/>
    </row>
    <row r="170" spans="3:7" x14ac:dyDescent="0.25">
      <c r="C170" s="236"/>
      <c r="D170" s="236"/>
      <c r="E170" s="236"/>
      <c r="F170" s="236"/>
      <c r="G170" s="236"/>
    </row>
    <row r="171" spans="3:7" x14ac:dyDescent="0.25">
      <c r="C171" s="236"/>
      <c r="D171" s="236"/>
      <c r="E171" s="236"/>
      <c r="F171" s="236"/>
      <c r="G171" s="236"/>
    </row>
    <row r="172" spans="3:7" x14ac:dyDescent="0.25">
      <c r="C172" s="236"/>
      <c r="D172" s="236"/>
      <c r="E172" s="236"/>
      <c r="F172" s="236"/>
      <c r="G172" s="236"/>
    </row>
    <row r="173" spans="3:7" x14ac:dyDescent="0.25">
      <c r="C173" s="236"/>
      <c r="D173" s="236"/>
      <c r="E173" s="236"/>
      <c r="F173" s="236"/>
      <c r="G173" s="236"/>
    </row>
    <row r="174" spans="3:7" x14ac:dyDescent="0.25">
      <c r="C174" s="236"/>
      <c r="D174" s="236"/>
      <c r="E174" s="236"/>
      <c r="F174" s="236"/>
      <c r="G174" s="236"/>
    </row>
    <row r="175" spans="3:7" x14ac:dyDescent="0.25">
      <c r="C175" s="236"/>
      <c r="D175" s="236"/>
      <c r="E175" s="236"/>
      <c r="F175" s="236"/>
      <c r="G175" s="236"/>
    </row>
    <row r="176" spans="3:7" x14ac:dyDescent="0.25">
      <c r="C176" s="236"/>
      <c r="D176" s="236"/>
      <c r="E176" s="236"/>
      <c r="F176" s="236"/>
      <c r="G176" s="236"/>
    </row>
    <row r="177" spans="3:7" x14ac:dyDescent="0.25">
      <c r="C177" s="236"/>
      <c r="D177" s="236"/>
      <c r="E177" s="236"/>
      <c r="F177" s="236"/>
      <c r="G177" s="236"/>
    </row>
    <row r="178" spans="3:7" x14ac:dyDescent="0.25">
      <c r="C178" s="236"/>
      <c r="D178" s="236"/>
      <c r="E178" s="236"/>
      <c r="F178" s="236"/>
      <c r="G178" s="236"/>
    </row>
    <row r="179" spans="3:7" x14ac:dyDescent="0.25">
      <c r="C179" s="236"/>
      <c r="D179" s="236"/>
      <c r="E179" s="236"/>
      <c r="F179" s="236"/>
      <c r="G179" s="236"/>
    </row>
    <row r="180" spans="3:7" x14ac:dyDescent="0.25">
      <c r="C180" s="236"/>
      <c r="D180" s="236"/>
      <c r="E180" s="236"/>
      <c r="F180" s="236"/>
      <c r="G180" s="236"/>
    </row>
    <row r="181" spans="3:7" x14ac:dyDescent="0.25">
      <c r="C181" s="236"/>
      <c r="D181" s="236"/>
      <c r="E181" s="236"/>
      <c r="F181" s="236"/>
      <c r="G181" s="236"/>
    </row>
    <row r="182" spans="3:7" x14ac:dyDescent="0.25">
      <c r="C182" s="236"/>
      <c r="D182" s="236"/>
      <c r="E182" s="236"/>
      <c r="F182" s="236"/>
      <c r="G182" s="236"/>
    </row>
    <row r="183" spans="3:7" x14ac:dyDescent="0.25">
      <c r="C183" s="236"/>
      <c r="D183" s="236"/>
      <c r="E183" s="236"/>
      <c r="F183" s="236"/>
      <c r="G183" s="236"/>
    </row>
    <row r="184" spans="3:7" x14ac:dyDescent="0.25">
      <c r="C184" s="236"/>
      <c r="D184" s="236"/>
      <c r="E184" s="236"/>
      <c r="F184" s="236"/>
      <c r="G184" s="236"/>
    </row>
    <row r="185" spans="3:7" x14ac:dyDescent="0.25">
      <c r="C185" s="236"/>
      <c r="D185" s="236"/>
      <c r="E185" s="236"/>
      <c r="F185" s="236"/>
      <c r="G185" s="236"/>
    </row>
    <row r="186" spans="3:7" x14ac:dyDescent="0.25">
      <c r="C186" s="236"/>
      <c r="D186" s="236"/>
      <c r="E186" s="236"/>
      <c r="F186" s="236"/>
      <c r="G186" s="236"/>
    </row>
    <row r="187" spans="3:7" x14ac:dyDescent="0.25">
      <c r="C187" s="236"/>
      <c r="D187" s="236"/>
      <c r="E187" s="236"/>
      <c r="F187" s="236"/>
      <c r="G187" s="236"/>
    </row>
    <row r="188" spans="3:7" x14ac:dyDescent="0.25">
      <c r="C188" s="236"/>
      <c r="D188" s="236"/>
      <c r="E188" s="236"/>
      <c r="F188" s="236"/>
      <c r="G188" s="236"/>
    </row>
    <row r="189" spans="3:7" x14ac:dyDescent="0.25">
      <c r="C189" s="236"/>
      <c r="D189" s="236"/>
      <c r="E189" s="236"/>
      <c r="F189" s="236"/>
      <c r="G189" s="236"/>
    </row>
    <row r="190" spans="3:7" x14ac:dyDescent="0.25">
      <c r="C190" s="236"/>
      <c r="D190" s="236"/>
      <c r="E190" s="236"/>
      <c r="F190" s="236"/>
      <c r="G190" s="236"/>
    </row>
    <row r="191" spans="3:7" x14ac:dyDescent="0.25">
      <c r="C191" s="236"/>
      <c r="D191" s="236"/>
      <c r="E191" s="236"/>
      <c r="F191" s="236"/>
      <c r="G191" s="236"/>
    </row>
    <row r="192" spans="3:7" x14ac:dyDescent="0.25">
      <c r="C192" s="236"/>
      <c r="D192" s="236"/>
      <c r="E192" s="236"/>
      <c r="F192" s="236"/>
      <c r="G192" s="236"/>
    </row>
    <row r="193" spans="3:10" x14ac:dyDescent="0.25">
      <c r="C193" s="236"/>
      <c r="D193" s="236"/>
      <c r="E193" s="236"/>
      <c r="F193" s="236"/>
      <c r="G193" s="236"/>
    </row>
    <row r="194" spans="3:10" x14ac:dyDescent="0.25">
      <c r="C194" s="236"/>
      <c r="D194" s="236"/>
      <c r="E194" s="236"/>
      <c r="F194" s="236"/>
      <c r="G194" s="236"/>
    </row>
    <row r="195" spans="3:10" x14ac:dyDescent="0.25">
      <c r="C195" s="236"/>
      <c r="D195" s="236"/>
      <c r="E195" s="236"/>
      <c r="F195" s="236"/>
      <c r="G195" s="236"/>
    </row>
    <row r="196" spans="3:10" x14ac:dyDescent="0.25">
      <c r="C196" s="236"/>
      <c r="D196" s="236"/>
      <c r="E196" s="236"/>
      <c r="F196" s="236"/>
      <c r="G196" s="236"/>
    </row>
    <row r="197" spans="3:10" x14ac:dyDescent="0.25">
      <c r="C197" s="236"/>
      <c r="D197" s="236"/>
      <c r="E197" s="236"/>
      <c r="F197" s="236"/>
      <c r="G197" s="236"/>
    </row>
    <row r="198" spans="3:10" x14ac:dyDescent="0.25">
      <c r="C198" s="236"/>
      <c r="D198" s="236"/>
      <c r="E198" s="236"/>
      <c r="F198" s="236"/>
      <c r="G198" s="236"/>
    </row>
    <row r="199" spans="3:10" x14ac:dyDescent="0.25">
      <c r="C199" s="236"/>
      <c r="D199" s="236"/>
      <c r="E199" s="236"/>
      <c r="F199" s="236"/>
      <c r="G199" s="236"/>
    </row>
    <row r="200" spans="3:10" x14ac:dyDescent="0.25">
      <c r="C200" s="236"/>
      <c r="D200" s="236"/>
      <c r="E200" s="236"/>
      <c r="F200" s="236"/>
      <c r="G200" s="236"/>
    </row>
    <row r="201" spans="3:10" x14ac:dyDescent="0.25">
      <c r="C201" s="236"/>
      <c r="D201" s="236"/>
      <c r="E201" s="236"/>
      <c r="F201" s="236"/>
      <c r="G201" s="236"/>
    </row>
    <row r="202" spans="3:10" x14ac:dyDescent="0.25">
      <c r="C202" s="236"/>
      <c r="D202" s="236"/>
      <c r="E202" s="236"/>
      <c r="F202" s="236"/>
      <c r="G202" s="236"/>
    </row>
    <row r="203" spans="3:10" x14ac:dyDescent="0.25">
      <c r="C203" s="236"/>
      <c r="D203" s="236"/>
      <c r="E203" s="236"/>
      <c r="F203" s="236"/>
      <c r="G203" s="236"/>
    </row>
    <row r="204" spans="3:10" x14ac:dyDescent="0.25">
      <c r="C204" s="236"/>
      <c r="D204" s="236"/>
      <c r="E204" s="236"/>
      <c r="F204" s="236"/>
      <c r="G204" s="236"/>
    </row>
    <row r="205" spans="3:10" x14ac:dyDescent="0.25">
      <c r="C205" s="236"/>
      <c r="D205" s="236"/>
      <c r="E205" s="236"/>
      <c r="F205" s="236"/>
      <c r="G205" s="236"/>
    </row>
    <row r="206" spans="3:10" ht="16.5" thickBot="1" x14ac:dyDescent="0.3">
      <c r="F206" s="393">
        <f>SUM(F168:F205)</f>
        <v>0</v>
      </c>
      <c r="G206" s="393">
        <f>SUM(G168:G205)</f>
        <v>0</v>
      </c>
    </row>
    <row r="207" spans="3:10" ht="16.5" thickTop="1" x14ac:dyDescent="0.25"/>
    <row r="208" spans="3:10" x14ac:dyDescent="0.25">
      <c r="C208" s="17" t="s">
        <v>961</v>
      </c>
      <c r="F208" s="229"/>
      <c r="G208" s="229" t="s">
        <v>354</v>
      </c>
      <c r="H208" s="229" t="s">
        <v>765</v>
      </c>
      <c r="I208" s="229" t="s">
        <v>766</v>
      </c>
      <c r="J208" s="229" t="s">
        <v>355</v>
      </c>
    </row>
    <row r="209" spans="3:14" x14ac:dyDescent="0.25">
      <c r="F209" s="230" t="s">
        <v>857</v>
      </c>
      <c r="G209" s="230" t="s">
        <v>519</v>
      </c>
      <c r="H209" s="230" t="s">
        <v>520</v>
      </c>
      <c r="I209" s="230" t="s">
        <v>519</v>
      </c>
      <c r="J209" s="230" t="s">
        <v>685</v>
      </c>
    </row>
    <row r="210" spans="3:14" x14ac:dyDescent="0.25">
      <c r="C210" s="2" t="s">
        <v>45</v>
      </c>
      <c r="F210" s="231">
        <v>0.02</v>
      </c>
      <c r="G210" s="231">
        <v>0.2</v>
      </c>
      <c r="H210" s="231">
        <v>0.2</v>
      </c>
      <c r="I210" s="231">
        <v>0.33339999999999997</v>
      </c>
      <c r="J210" s="231">
        <v>0.2</v>
      </c>
    </row>
    <row r="211" spans="3:14" x14ac:dyDescent="0.25">
      <c r="F211" s="232" t="s">
        <v>692</v>
      </c>
      <c r="G211" s="232" t="s">
        <v>692</v>
      </c>
      <c r="H211" s="232" t="s">
        <v>692</v>
      </c>
      <c r="I211" s="232" t="s">
        <v>692</v>
      </c>
      <c r="J211" s="232" t="s">
        <v>692</v>
      </c>
    </row>
    <row r="214" spans="3:14" x14ac:dyDescent="0.25">
      <c r="C214" s="17" t="s">
        <v>693</v>
      </c>
      <c r="F214" s="18" t="str">
        <f t="shared" ref="F214:I215" si="1">G208</f>
        <v>Plant and</v>
      </c>
      <c r="G214" s="18" t="str">
        <f t="shared" si="1"/>
        <v>Motor</v>
      </c>
      <c r="H214" s="18" t="str">
        <f t="shared" si="1"/>
        <v>Electronic</v>
      </c>
      <c r="I214" s="18" t="str">
        <f t="shared" si="1"/>
        <v>Furniture and</v>
      </c>
      <c r="J214" s="18"/>
      <c r="L214" s="7"/>
      <c r="M214" s="7"/>
    </row>
    <row r="215" spans="3:14" x14ac:dyDescent="0.25">
      <c r="F215" s="22" t="str">
        <f t="shared" si="1"/>
        <v>equipment</v>
      </c>
      <c r="G215" s="22" t="str">
        <f t="shared" si="1"/>
        <v>vehicles</v>
      </c>
      <c r="H215" s="22" t="str">
        <f t="shared" si="1"/>
        <v>equipment</v>
      </c>
      <c r="I215" s="22" t="str">
        <f t="shared" si="1"/>
        <v>fittings</v>
      </c>
      <c r="J215" s="22" t="s">
        <v>356</v>
      </c>
      <c r="L215" s="7"/>
      <c r="M215" s="7"/>
    </row>
    <row r="216" spans="3:14" x14ac:dyDescent="0.25">
      <c r="C216" s="2" t="s">
        <v>185</v>
      </c>
      <c r="E216" s="9">
        <f>G21</f>
        <v>45351</v>
      </c>
      <c r="F216" s="179">
        <f>F219-F220</f>
        <v>0</v>
      </c>
      <c r="G216" s="180">
        <f>G219-G220</f>
        <v>0</v>
      </c>
      <c r="H216" s="179">
        <f>H219-H220</f>
        <v>0</v>
      </c>
      <c r="I216" s="179">
        <f>I219-I220</f>
        <v>0</v>
      </c>
      <c r="J216" s="179">
        <f>J219-J220</f>
        <v>0</v>
      </c>
      <c r="L216" s="7"/>
      <c r="M216" s="7"/>
      <c r="N216" s="4"/>
    </row>
    <row r="217" spans="3:14" ht="3.6" customHeight="1" x14ac:dyDescent="0.25">
      <c r="E217" s="9"/>
      <c r="F217" s="179"/>
      <c r="G217" s="180"/>
      <c r="H217" s="179"/>
      <c r="I217" s="179"/>
      <c r="J217" s="179"/>
      <c r="L217" s="7"/>
      <c r="M217" s="7"/>
      <c r="N217" s="4"/>
    </row>
    <row r="218" spans="3:14" ht="4.1500000000000004" customHeight="1" x14ac:dyDescent="0.25">
      <c r="E218" s="9"/>
      <c r="F218" s="181"/>
      <c r="G218" s="182"/>
      <c r="H218" s="183"/>
      <c r="I218" s="183"/>
      <c r="J218" s="184"/>
      <c r="L218" s="7"/>
      <c r="M218" s="7"/>
      <c r="N218" s="4"/>
    </row>
    <row r="219" spans="3:14" x14ac:dyDescent="0.25">
      <c r="C219" s="2" t="s">
        <v>357</v>
      </c>
      <c r="E219" s="7"/>
      <c r="F219" s="233"/>
      <c r="G219" s="234"/>
      <c r="H219" s="235"/>
      <c r="I219" s="235"/>
      <c r="J219" s="185">
        <f>SUM(F219:I219)</f>
        <v>0</v>
      </c>
      <c r="L219" s="7"/>
      <c r="M219" s="7"/>
      <c r="N219" s="4"/>
    </row>
    <row r="220" spans="3:14" x14ac:dyDescent="0.25">
      <c r="C220" s="2" t="s">
        <v>694</v>
      </c>
      <c r="E220" s="7"/>
      <c r="F220" s="233"/>
      <c r="G220" s="234"/>
      <c r="H220" s="235"/>
      <c r="I220" s="235"/>
      <c r="J220" s="185">
        <f>SUM(F220:I220)</f>
        <v>0</v>
      </c>
      <c r="L220" s="7"/>
      <c r="M220" s="7"/>
      <c r="N220" s="4"/>
    </row>
    <row r="221" spans="3:14" ht="3.6" customHeight="1" x14ac:dyDescent="0.25">
      <c r="C221" s="1"/>
      <c r="E221" s="7"/>
      <c r="F221" s="186"/>
      <c r="G221" s="187"/>
      <c r="H221" s="187"/>
      <c r="I221" s="187"/>
      <c r="J221" s="188"/>
      <c r="L221" s="7"/>
      <c r="M221" s="7"/>
      <c r="N221" s="4"/>
    </row>
    <row r="222" spans="3:14" x14ac:dyDescent="0.25">
      <c r="E222" s="7"/>
      <c r="F222" s="179"/>
      <c r="G222" s="179"/>
      <c r="H222" s="179"/>
      <c r="I222" s="179"/>
      <c r="J222" s="179"/>
      <c r="L222" s="7"/>
      <c r="M222" s="7"/>
      <c r="N222" s="4"/>
    </row>
    <row r="223" spans="3:14" x14ac:dyDescent="0.25">
      <c r="C223" s="2" t="s">
        <v>185</v>
      </c>
      <c r="E223" s="9">
        <f>G20</f>
        <v>45716</v>
      </c>
      <c r="F223" s="179">
        <f>F226-F227</f>
        <v>0</v>
      </c>
      <c r="G223" s="179">
        <f>G226-G227</f>
        <v>0</v>
      </c>
      <c r="H223" s="179">
        <f>H226-H227</f>
        <v>0</v>
      </c>
      <c r="I223" s="179">
        <f>I226-I227</f>
        <v>0</v>
      </c>
      <c r="J223" s="179">
        <f>J226-J227</f>
        <v>0</v>
      </c>
      <c r="L223" s="7"/>
      <c r="M223" s="7"/>
      <c r="N223" s="4"/>
    </row>
    <row r="224" spans="3:14" ht="3.6" customHeight="1" x14ac:dyDescent="0.25">
      <c r="E224" s="9"/>
      <c r="F224" s="179"/>
      <c r="G224" s="179"/>
      <c r="H224" s="179"/>
      <c r="I224" s="179"/>
      <c r="J224" s="179"/>
      <c r="L224" s="7"/>
      <c r="M224" s="7"/>
      <c r="N224" s="4"/>
    </row>
    <row r="225" spans="3:14" ht="3.6" customHeight="1" x14ac:dyDescent="0.25">
      <c r="E225" s="9"/>
      <c r="F225" s="181"/>
      <c r="G225" s="183"/>
      <c r="H225" s="183"/>
      <c r="I225" s="183"/>
      <c r="J225" s="184"/>
      <c r="L225" s="7"/>
      <c r="M225" s="7"/>
      <c r="N225" s="4"/>
    </row>
    <row r="226" spans="3:14" x14ac:dyDescent="0.25">
      <c r="C226" s="2" t="s">
        <v>357</v>
      </c>
      <c r="E226" s="7"/>
      <c r="F226" s="233"/>
      <c r="G226" s="234"/>
      <c r="H226" s="235"/>
      <c r="I226" s="235"/>
      <c r="J226" s="185">
        <f>SUM(F226:I226)</f>
        <v>0</v>
      </c>
      <c r="L226" s="7"/>
      <c r="M226" s="7"/>
      <c r="N226" s="4"/>
    </row>
    <row r="227" spans="3:14" x14ac:dyDescent="0.25">
      <c r="C227" s="2" t="s">
        <v>694</v>
      </c>
      <c r="E227" s="7"/>
      <c r="F227" s="233"/>
      <c r="G227" s="234"/>
      <c r="H227" s="235"/>
      <c r="I227" s="235"/>
      <c r="J227" s="185">
        <f>SUM(F227:I227)</f>
        <v>0</v>
      </c>
      <c r="L227" s="7"/>
      <c r="M227" s="7"/>
      <c r="N227" s="4"/>
    </row>
    <row r="228" spans="3:14" ht="3.6" customHeight="1" x14ac:dyDescent="0.25">
      <c r="E228" s="7"/>
      <c r="F228" s="186"/>
      <c r="G228" s="187"/>
      <c r="H228" s="187"/>
      <c r="I228" s="187"/>
      <c r="J228" s="188"/>
      <c r="L228" s="7"/>
      <c r="M228" s="7"/>
      <c r="N228" s="4"/>
    </row>
    <row r="230" spans="3:14" x14ac:dyDescent="0.25">
      <c r="C230" s="17" t="s">
        <v>861</v>
      </c>
    </row>
    <row r="231" spans="3:14" x14ac:dyDescent="0.25">
      <c r="C231" s="2" t="s">
        <v>862</v>
      </c>
      <c r="F231" s="233">
        <v>10</v>
      </c>
      <c r="G231" s="2" t="s">
        <v>863</v>
      </c>
    </row>
    <row r="233" spans="3:14" x14ac:dyDescent="0.25">
      <c r="C233" s="17" t="s">
        <v>82</v>
      </c>
      <c r="G233" s="5">
        <f>E22</f>
        <v>2025</v>
      </c>
      <c r="H233" s="5">
        <f>E27</f>
        <v>2024</v>
      </c>
    </row>
    <row r="234" spans="3:14" x14ac:dyDescent="0.25">
      <c r="F234" s="24" t="s">
        <v>84</v>
      </c>
    </row>
    <row r="235" spans="3:14" x14ac:dyDescent="0.25">
      <c r="F235" s="24"/>
    </row>
    <row r="236" spans="3:14" x14ac:dyDescent="0.25">
      <c r="C236" s="2" t="s">
        <v>703</v>
      </c>
      <c r="F236" s="92">
        <f>SUM(TrialBalance!L307:L312)</f>
        <v>0</v>
      </c>
      <c r="G236" s="485" t="s">
        <v>662</v>
      </c>
      <c r="H236" s="485"/>
    </row>
    <row r="237" spans="3:14" x14ac:dyDescent="0.25">
      <c r="C237" s="2" t="s">
        <v>695</v>
      </c>
      <c r="F237" s="92"/>
      <c r="G237" s="236"/>
      <c r="H237" s="236"/>
    </row>
    <row r="238" spans="3:14" x14ac:dyDescent="0.25">
      <c r="F238" s="92"/>
    </row>
    <row r="239" spans="3:14" x14ac:dyDescent="0.25">
      <c r="C239" s="2" t="s">
        <v>696</v>
      </c>
      <c r="F239" s="92">
        <f>SUM(TrialBalance!L313:L318)</f>
        <v>0</v>
      </c>
      <c r="G239" s="485" t="s">
        <v>662</v>
      </c>
      <c r="H239" s="485"/>
    </row>
    <row r="240" spans="3:14" x14ac:dyDescent="0.25">
      <c r="C240" s="2" t="s">
        <v>697</v>
      </c>
      <c r="F240" s="92"/>
      <c r="G240" s="236"/>
      <c r="H240" s="236"/>
    </row>
    <row r="242" spans="3:10" x14ac:dyDescent="0.25">
      <c r="C242" s="17" t="s">
        <v>698</v>
      </c>
    </row>
    <row r="244" spans="3:10" x14ac:dyDescent="0.25">
      <c r="C244" s="2">
        <f>TrialBalance!C321</f>
        <v>0</v>
      </c>
      <c r="E244" s="92">
        <f>TrialBalance!L321</f>
        <v>0</v>
      </c>
      <c r="G244" s="237" t="s">
        <v>348</v>
      </c>
      <c r="H244" s="124"/>
      <c r="I244" s="124"/>
      <c r="J244" s="124"/>
    </row>
    <row r="245" spans="3:10" x14ac:dyDescent="0.25">
      <c r="E245" s="92"/>
      <c r="G245" s="237" t="s">
        <v>349</v>
      </c>
      <c r="H245" s="124"/>
      <c r="I245" s="124"/>
      <c r="J245" s="124"/>
    </row>
    <row r="246" spans="3:10" x14ac:dyDescent="0.25">
      <c r="E246" s="92"/>
    </row>
    <row r="247" spans="3:10" x14ac:dyDescent="0.25">
      <c r="C247" s="2">
        <f>TrialBalance!C322</f>
        <v>0</v>
      </c>
      <c r="E247" s="92">
        <f>TrialBalance!L322</f>
        <v>0</v>
      </c>
      <c r="G247" s="237" t="s">
        <v>348</v>
      </c>
      <c r="H247" s="124"/>
      <c r="I247" s="124"/>
      <c r="J247" s="124"/>
    </row>
    <row r="248" spans="3:10" x14ac:dyDescent="0.25">
      <c r="E248" s="92"/>
      <c r="G248" s="237" t="s">
        <v>349</v>
      </c>
      <c r="H248" s="124"/>
      <c r="I248" s="124"/>
      <c r="J248" s="124"/>
    </row>
    <row r="249" spans="3:10" x14ac:dyDescent="0.25">
      <c r="E249" s="92"/>
    </row>
    <row r="250" spans="3:10" x14ac:dyDescent="0.25">
      <c r="C250" s="2">
        <f>TrialBalance!C323</f>
        <v>0</v>
      </c>
      <c r="E250" s="92">
        <f>TrialBalance!L323</f>
        <v>0</v>
      </c>
      <c r="G250" s="237" t="s">
        <v>348</v>
      </c>
      <c r="H250" s="124"/>
      <c r="I250" s="124"/>
      <c r="J250" s="124"/>
    </row>
    <row r="251" spans="3:10" x14ac:dyDescent="0.25">
      <c r="E251" s="92"/>
      <c r="G251" s="237" t="s">
        <v>349</v>
      </c>
      <c r="H251" s="124"/>
      <c r="I251" s="124"/>
      <c r="J251" s="124"/>
    </row>
    <row r="252" spans="3:10" x14ac:dyDescent="0.25">
      <c r="E252" s="92"/>
    </row>
    <row r="253" spans="3:10" x14ac:dyDescent="0.25">
      <c r="C253" s="2">
        <f>TrialBalance!C330</f>
        <v>0</v>
      </c>
      <c r="E253" s="92">
        <f>TrialBalance!L330</f>
        <v>0</v>
      </c>
      <c r="G253" s="237" t="s">
        <v>348</v>
      </c>
      <c r="H253" s="124"/>
      <c r="I253" s="124"/>
      <c r="J253" s="124"/>
    </row>
    <row r="254" spans="3:10" x14ac:dyDescent="0.25">
      <c r="E254" s="92"/>
      <c r="G254" s="237" t="s">
        <v>349</v>
      </c>
      <c r="H254" s="124"/>
      <c r="I254" s="124"/>
      <c r="J254" s="124"/>
    </row>
    <row r="255" spans="3:10" x14ac:dyDescent="0.25">
      <c r="E255" s="92"/>
    </row>
    <row r="256" spans="3:10" x14ac:dyDescent="0.25">
      <c r="C256" s="2">
        <f>TrialBalance!C344</f>
        <v>0</v>
      </c>
      <c r="E256" s="92">
        <f>TrialBalance!L344</f>
        <v>0</v>
      </c>
      <c r="G256" s="237" t="s">
        <v>348</v>
      </c>
      <c r="H256" s="124"/>
      <c r="I256" s="124"/>
      <c r="J256" s="124"/>
    </row>
    <row r="257" spans="3:10" x14ac:dyDescent="0.25">
      <c r="E257" s="92"/>
      <c r="G257" s="237" t="s">
        <v>349</v>
      </c>
      <c r="H257" s="124"/>
      <c r="I257" s="124"/>
      <c r="J257" s="124"/>
    </row>
    <row r="258" spans="3:10" x14ac:dyDescent="0.25">
      <c r="E258" s="92"/>
    </row>
    <row r="259" spans="3:10" x14ac:dyDescent="0.25">
      <c r="C259" s="2">
        <f>TrialBalance!C345</f>
        <v>0</v>
      </c>
      <c r="E259" s="92">
        <f>TrialBalance!L345</f>
        <v>0</v>
      </c>
      <c r="G259" s="237" t="s">
        <v>348</v>
      </c>
      <c r="H259" s="124"/>
      <c r="I259" s="124"/>
      <c r="J259" s="124"/>
    </row>
    <row r="260" spans="3:10" x14ac:dyDescent="0.25">
      <c r="E260" s="92"/>
      <c r="G260" s="237" t="s">
        <v>349</v>
      </c>
      <c r="H260" s="124"/>
      <c r="I260" s="124"/>
      <c r="J260" s="124"/>
    </row>
    <row r="261" spans="3:10" x14ac:dyDescent="0.25">
      <c r="E261" s="92"/>
    </row>
    <row r="262" spans="3:10" x14ac:dyDescent="0.25">
      <c r="C262" s="2">
        <f>TrialBalance!C346</f>
        <v>0</v>
      </c>
      <c r="E262" s="92">
        <f>TrialBalance!L346</f>
        <v>0</v>
      </c>
      <c r="G262" s="237" t="s">
        <v>348</v>
      </c>
      <c r="H262" s="124"/>
      <c r="I262" s="124"/>
      <c r="J262" s="124"/>
    </row>
    <row r="263" spans="3:10" x14ac:dyDescent="0.25">
      <c r="E263" s="92"/>
      <c r="G263" s="237" t="s">
        <v>349</v>
      </c>
      <c r="H263" s="124"/>
      <c r="I263" s="124"/>
      <c r="J263" s="124"/>
    </row>
    <row r="264" spans="3:10" x14ac:dyDescent="0.25">
      <c r="E264" s="92"/>
    </row>
    <row r="265" spans="3:10" x14ac:dyDescent="0.25">
      <c r="C265" s="2">
        <f>TrialBalance!C347</f>
        <v>0</v>
      </c>
      <c r="E265" s="92">
        <f>TrialBalance!L347</f>
        <v>0</v>
      </c>
      <c r="G265" s="237" t="s">
        <v>348</v>
      </c>
      <c r="H265" s="124"/>
      <c r="I265" s="124"/>
      <c r="J265" s="124"/>
    </row>
    <row r="266" spans="3:10" x14ac:dyDescent="0.25">
      <c r="E266" s="92"/>
      <c r="G266" s="237" t="s">
        <v>349</v>
      </c>
      <c r="H266" s="124"/>
      <c r="I266" s="124"/>
      <c r="J266" s="124"/>
    </row>
    <row r="268" spans="3:10" x14ac:dyDescent="0.25">
      <c r="C268" s="17" t="s">
        <v>677</v>
      </c>
    </row>
    <row r="270" spans="3:10" x14ac:dyDescent="0.25">
      <c r="C270" s="2" t="s">
        <v>699</v>
      </c>
      <c r="G270" s="215" t="s">
        <v>81</v>
      </c>
    </row>
    <row r="272" spans="3:10" x14ac:dyDescent="0.25">
      <c r="F272" s="2" t="s">
        <v>83</v>
      </c>
      <c r="G272" s="237" t="s">
        <v>700</v>
      </c>
      <c r="H272" s="124"/>
      <c r="I272" s="124"/>
    </row>
    <row r="273" spans="3:9" x14ac:dyDescent="0.25">
      <c r="G273" s="237"/>
      <c r="H273" s="124"/>
      <c r="I273" s="124"/>
    </row>
    <row r="275" spans="3:9" x14ac:dyDescent="0.25">
      <c r="C275" s="17" t="s">
        <v>702</v>
      </c>
      <c r="E275" s="24" t="s">
        <v>84</v>
      </c>
    </row>
    <row r="277" spans="3:9" x14ac:dyDescent="0.25">
      <c r="C277" s="2">
        <f>TrialBalance!C186</f>
        <v>0</v>
      </c>
      <c r="E277" s="92">
        <f>-TrialBalance!L186</f>
        <v>0</v>
      </c>
      <c r="F277" s="237" t="s">
        <v>986</v>
      </c>
      <c r="G277" s="124"/>
      <c r="H277" s="124"/>
      <c r="I277" s="124"/>
    </row>
    <row r="278" spans="3:9" x14ac:dyDescent="0.25">
      <c r="E278" s="92"/>
      <c r="F278" s="237" t="s">
        <v>987</v>
      </c>
      <c r="G278" s="124"/>
      <c r="H278" s="124"/>
      <c r="I278" s="124"/>
    </row>
    <row r="279" spans="3:9" x14ac:dyDescent="0.25">
      <c r="E279" s="92"/>
      <c r="F279" s="237" t="s">
        <v>989</v>
      </c>
      <c r="G279" s="124"/>
      <c r="H279" s="124"/>
      <c r="I279" s="124"/>
    </row>
    <row r="280" spans="3:9" x14ac:dyDescent="0.25">
      <c r="E280" s="92"/>
      <c r="F280" s="237" t="s">
        <v>988</v>
      </c>
      <c r="G280" s="124"/>
      <c r="H280" s="124"/>
      <c r="I280" s="124"/>
    </row>
    <row r="281" spans="3:9" x14ac:dyDescent="0.25">
      <c r="E281" s="92"/>
    </row>
    <row r="282" spans="3:9" x14ac:dyDescent="0.25">
      <c r="C282" s="2">
        <f>TrialBalance!C187</f>
        <v>0</v>
      </c>
      <c r="E282" s="92">
        <f>-TrialBalance!L187</f>
        <v>0</v>
      </c>
      <c r="F282" s="237" t="s">
        <v>986</v>
      </c>
      <c r="G282" s="124"/>
      <c r="H282" s="124"/>
      <c r="I282" s="124"/>
    </row>
    <row r="283" spans="3:9" x14ac:dyDescent="0.25">
      <c r="E283" s="92"/>
      <c r="F283" s="237" t="s">
        <v>987</v>
      </c>
      <c r="G283" s="124"/>
      <c r="H283" s="124"/>
      <c r="I283" s="124"/>
    </row>
    <row r="284" spans="3:9" x14ac:dyDescent="0.25">
      <c r="E284" s="92"/>
      <c r="F284" s="237" t="s">
        <v>989</v>
      </c>
      <c r="G284" s="124"/>
      <c r="H284" s="124"/>
      <c r="I284" s="124"/>
    </row>
    <row r="285" spans="3:9" x14ac:dyDescent="0.25">
      <c r="E285" s="92"/>
      <c r="F285" s="237" t="s">
        <v>988</v>
      </c>
      <c r="G285" s="124"/>
      <c r="H285" s="124"/>
      <c r="I285" s="124"/>
    </row>
    <row r="286" spans="3:9" x14ac:dyDescent="0.25">
      <c r="E286" s="92"/>
    </row>
    <row r="287" spans="3:9" x14ac:dyDescent="0.25">
      <c r="C287" s="2">
        <f>TrialBalance!C188</f>
        <v>0</v>
      </c>
      <c r="E287" s="92">
        <f>-TrialBalance!L188</f>
        <v>0</v>
      </c>
      <c r="F287" s="237" t="s">
        <v>986</v>
      </c>
      <c r="G287" s="124"/>
      <c r="H287" s="124"/>
      <c r="I287" s="124"/>
    </row>
    <row r="288" spans="3:9" x14ac:dyDescent="0.25">
      <c r="E288" s="92"/>
      <c r="F288" s="237" t="s">
        <v>987</v>
      </c>
      <c r="G288" s="124"/>
      <c r="H288" s="124"/>
      <c r="I288" s="124"/>
    </row>
    <row r="289" spans="3:9" x14ac:dyDescent="0.25">
      <c r="E289" s="92"/>
      <c r="F289" s="237" t="s">
        <v>989</v>
      </c>
      <c r="G289" s="124"/>
      <c r="H289" s="124"/>
      <c r="I289" s="124"/>
    </row>
    <row r="290" spans="3:9" x14ac:dyDescent="0.25">
      <c r="E290" s="92"/>
      <c r="F290" s="237" t="s">
        <v>988</v>
      </c>
      <c r="G290" s="124"/>
      <c r="H290" s="124"/>
      <c r="I290" s="124"/>
    </row>
    <row r="291" spans="3:9" x14ac:dyDescent="0.25">
      <c r="E291" s="92"/>
    </row>
    <row r="292" spans="3:9" x14ac:dyDescent="0.25">
      <c r="C292" s="2">
        <f>TrialBalance!C189</f>
        <v>0</v>
      </c>
      <c r="E292" s="92">
        <f>-TrialBalance!L189</f>
        <v>0</v>
      </c>
      <c r="F292" s="237" t="s">
        <v>986</v>
      </c>
      <c r="G292" s="124"/>
      <c r="H292" s="124"/>
      <c r="I292" s="124"/>
    </row>
    <row r="293" spans="3:9" x14ac:dyDescent="0.25">
      <c r="E293" s="92"/>
      <c r="F293" s="237" t="s">
        <v>987</v>
      </c>
      <c r="G293" s="124"/>
      <c r="H293" s="124"/>
      <c r="I293" s="124"/>
    </row>
    <row r="294" spans="3:9" x14ac:dyDescent="0.25">
      <c r="E294" s="92"/>
      <c r="F294" s="237" t="s">
        <v>989</v>
      </c>
      <c r="G294" s="124"/>
      <c r="H294" s="124"/>
      <c r="I294" s="124"/>
    </row>
    <row r="295" spans="3:9" x14ac:dyDescent="0.25">
      <c r="E295" s="92"/>
      <c r="F295" s="237" t="s">
        <v>988</v>
      </c>
      <c r="G295" s="124"/>
      <c r="H295" s="124"/>
      <c r="I295" s="124"/>
    </row>
    <row r="296" spans="3:9" x14ac:dyDescent="0.25">
      <c r="E296" s="92"/>
    </row>
    <row r="297" spans="3:9" x14ac:dyDescent="0.25">
      <c r="C297" s="2">
        <f>TrialBalance!C190</f>
        <v>0</v>
      </c>
      <c r="E297" s="92">
        <f>-TrialBalance!L190</f>
        <v>0</v>
      </c>
      <c r="F297" s="237" t="s">
        <v>986</v>
      </c>
      <c r="G297" s="124"/>
      <c r="H297" s="124"/>
      <c r="I297" s="124"/>
    </row>
    <row r="298" spans="3:9" x14ac:dyDescent="0.25">
      <c r="E298" s="92"/>
      <c r="F298" s="237" t="s">
        <v>987</v>
      </c>
      <c r="G298" s="124"/>
      <c r="H298" s="124"/>
      <c r="I298" s="124"/>
    </row>
    <row r="299" spans="3:9" x14ac:dyDescent="0.25">
      <c r="E299" s="92"/>
      <c r="F299" s="237" t="s">
        <v>989</v>
      </c>
      <c r="G299" s="124"/>
      <c r="H299" s="124"/>
      <c r="I299" s="124"/>
    </row>
    <row r="300" spans="3:9" x14ac:dyDescent="0.25">
      <c r="E300" s="92"/>
      <c r="F300" s="237" t="s">
        <v>988</v>
      </c>
      <c r="G300" s="124"/>
      <c r="H300" s="124"/>
      <c r="I300" s="124"/>
    </row>
    <row r="301" spans="3:9" x14ac:dyDescent="0.25">
      <c r="E301" s="92"/>
    </row>
    <row r="302" spans="3:9" x14ac:dyDescent="0.25">
      <c r="C302" s="2">
        <f>TrialBalance!C191</f>
        <v>0</v>
      </c>
      <c r="E302" s="92">
        <f>-TrialBalance!L191</f>
        <v>0</v>
      </c>
      <c r="F302" s="237" t="s">
        <v>986</v>
      </c>
      <c r="G302" s="124"/>
      <c r="H302" s="124"/>
      <c r="I302" s="124"/>
    </row>
    <row r="303" spans="3:9" x14ac:dyDescent="0.25">
      <c r="E303" s="92"/>
      <c r="F303" s="237" t="s">
        <v>987</v>
      </c>
      <c r="G303" s="124"/>
      <c r="H303" s="124"/>
      <c r="I303" s="124"/>
    </row>
    <row r="304" spans="3:9" x14ac:dyDescent="0.25">
      <c r="E304" s="92"/>
      <c r="F304" s="237" t="s">
        <v>989</v>
      </c>
      <c r="G304" s="124"/>
      <c r="H304" s="124"/>
      <c r="I304" s="124"/>
    </row>
    <row r="305" spans="3:9" x14ac:dyDescent="0.25">
      <c r="E305" s="92"/>
      <c r="F305" s="237" t="s">
        <v>988</v>
      </c>
      <c r="G305" s="124"/>
      <c r="H305" s="124"/>
      <c r="I305" s="124"/>
    </row>
    <row r="306" spans="3:9" x14ac:dyDescent="0.25">
      <c r="E306" s="92"/>
    </row>
    <row r="307" spans="3:9" x14ac:dyDescent="0.25">
      <c r="C307" s="2">
        <f>TrialBalance!C192</f>
        <v>0</v>
      </c>
      <c r="E307" s="92">
        <f>-TrialBalance!L192</f>
        <v>0</v>
      </c>
      <c r="F307" s="237" t="s">
        <v>986</v>
      </c>
      <c r="G307" s="124"/>
      <c r="H307" s="124"/>
      <c r="I307" s="124"/>
    </row>
    <row r="308" spans="3:9" x14ac:dyDescent="0.25">
      <c r="E308" s="92"/>
      <c r="F308" s="237" t="s">
        <v>987</v>
      </c>
      <c r="G308" s="124"/>
      <c r="H308" s="124"/>
      <c r="I308" s="124"/>
    </row>
    <row r="309" spans="3:9" x14ac:dyDescent="0.25">
      <c r="E309" s="92"/>
      <c r="F309" s="237" t="s">
        <v>989</v>
      </c>
      <c r="G309" s="124"/>
      <c r="H309" s="124"/>
      <c r="I309" s="124"/>
    </row>
    <row r="310" spans="3:9" x14ac:dyDescent="0.25">
      <c r="E310" s="92"/>
      <c r="F310" s="237" t="s">
        <v>988</v>
      </c>
      <c r="G310" s="124"/>
      <c r="H310" s="124"/>
      <c r="I310" s="124"/>
    </row>
    <row r="311" spans="3:9" x14ac:dyDescent="0.25">
      <c r="E311" s="92"/>
    </row>
    <row r="312" spans="3:9" x14ac:dyDescent="0.25">
      <c r="C312" s="2">
        <f>TrialBalance!C193</f>
        <v>0</v>
      </c>
      <c r="E312" s="92">
        <f>-TrialBalance!L193</f>
        <v>0</v>
      </c>
      <c r="F312" s="237" t="s">
        <v>986</v>
      </c>
      <c r="G312" s="124"/>
      <c r="H312" s="124"/>
      <c r="I312" s="124"/>
    </row>
    <row r="313" spans="3:9" x14ac:dyDescent="0.25">
      <c r="E313" s="92"/>
      <c r="F313" s="237" t="s">
        <v>987</v>
      </c>
      <c r="G313" s="124"/>
      <c r="H313" s="124"/>
      <c r="I313" s="124"/>
    </row>
    <row r="314" spans="3:9" x14ac:dyDescent="0.25">
      <c r="E314" s="92"/>
      <c r="F314" s="237" t="s">
        <v>989</v>
      </c>
      <c r="G314" s="124"/>
      <c r="H314" s="124"/>
      <c r="I314" s="124"/>
    </row>
    <row r="315" spans="3:9" x14ac:dyDescent="0.25">
      <c r="E315" s="92"/>
      <c r="F315" s="237" t="s">
        <v>988</v>
      </c>
      <c r="G315" s="124"/>
      <c r="H315" s="124"/>
      <c r="I315" s="124"/>
    </row>
    <row r="316" spans="3:9" x14ac:dyDescent="0.25">
      <c r="E316" s="92"/>
    </row>
    <row r="317" spans="3:9" x14ac:dyDescent="0.25">
      <c r="C317" s="2">
        <f>TrialBalance!C194</f>
        <v>0</v>
      </c>
      <c r="E317" s="92">
        <f>-TrialBalance!L194</f>
        <v>0</v>
      </c>
      <c r="F317" s="237" t="s">
        <v>986</v>
      </c>
      <c r="G317" s="124"/>
      <c r="H317" s="124"/>
      <c r="I317" s="124"/>
    </row>
    <row r="318" spans="3:9" x14ac:dyDescent="0.25">
      <c r="E318" s="92"/>
      <c r="F318" s="237" t="s">
        <v>987</v>
      </c>
      <c r="G318" s="124"/>
      <c r="H318" s="124"/>
      <c r="I318" s="124"/>
    </row>
    <row r="319" spans="3:9" x14ac:dyDescent="0.25">
      <c r="E319" s="92"/>
      <c r="F319" s="237" t="s">
        <v>989</v>
      </c>
      <c r="G319" s="124"/>
      <c r="H319" s="124"/>
      <c r="I319" s="124"/>
    </row>
    <row r="320" spans="3:9" x14ac:dyDescent="0.25">
      <c r="E320" s="92"/>
      <c r="F320" s="237" t="s">
        <v>988</v>
      </c>
      <c r="G320" s="124"/>
      <c r="H320" s="124"/>
      <c r="I320" s="124"/>
    </row>
    <row r="321" spans="3:9" x14ac:dyDescent="0.25">
      <c r="E321" s="92"/>
    </row>
    <row r="322" spans="3:9" x14ac:dyDescent="0.25">
      <c r="C322" s="2">
        <f>TrialBalance!C195</f>
        <v>0</v>
      </c>
      <c r="E322" s="92">
        <f>-TrialBalance!L195</f>
        <v>0</v>
      </c>
      <c r="F322" s="237" t="s">
        <v>986</v>
      </c>
      <c r="G322" s="124"/>
      <c r="H322" s="124"/>
      <c r="I322" s="124"/>
    </row>
    <row r="323" spans="3:9" x14ac:dyDescent="0.25">
      <c r="E323" s="92"/>
      <c r="F323" s="237" t="s">
        <v>987</v>
      </c>
      <c r="G323" s="124"/>
      <c r="H323" s="124"/>
      <c r="I323" s="124"/>
    </row>
    <row r="324" spans="3:9" x14ac:dyDescent="0.25">
      <c r="E324" s="92"/>
      <c r="F324" s="237" t="s">
        <v>989</v>
      </c>
      <c r="G324" s="124"/>
      <c r="H324" s="124"/>
      <c r="I324" s="124"/>
    </row>
    <row r="325" spans="3:9" x14ac:dyDescent="0.25">
      <c r="E325" s="92"/>
      <c r="F325" s="237" t="s">
        <v>988</v>
      </c>
      <c r="G325" s="124"/>
      <c r="H325" s="124"/>
      <c r="I325" s="124"/>
    </row>
    <row r="326" spans="3:9" x14ac:dyDescent="0.25">
      <c r="E326" s="92"/>
    </row>
    <row r="327" spans="3:9" x14ac:dyDescent="0.25">
      <c r="C327" s="2">
        <f>TrialBalance!C196</f>
        <v>0</v>
      </c>
      <c r="E327" s="92">
        <f>-TrialBalance!L196</f>
        <v>0</v>
      </c>
      <c r="F327" s="237" t="s">
        <v>986</v>
      </c>
      <c r="G327" s="124"/>
      <c r="H327" s="124"/>
      <c r="I327" s="124"/>
    </row>
    <row r="328" spans="3:9" x14ac:dyDescent="0.25">
      <c r="C328"/>
      <c r="D328"/>
      <c r="E328" s="172"/>
      <c r="F328" s="237" t="s">
        <v>987</v>
      </c>
      <c r="G328" s="124"/>
      <c r="H328" s="124"/>
      <c r="I328" s="124"/>
    </row>
    <row r="329" spans="3:9" x14ac:dyDescent="0.25">
      <c r="C329"/>
      <c r="D329"/>
      <c r="E329" s="172"/>
      <c r="F329" s="237" t="s">
        <v>989</v>
      </c>
      <c r="G329" s="124"/>
      <c r="H329" s="124"/>
      <c r="I329" s="124"/>
    </row>
    <row r="330" spans="3:9" x14ac:dyDescent="0.25">
      <c r="E330" s="92"/>
      <c r="F330" s="237" t="s">
        <v>988</v>
      </c>
      <c r="G330" s="124"/>
      <c r="H330" s="124"/>
      <c r="I330" s="124"/>
    </row>
    <row r="331" spans="3:9" x14ac:dyDescent="0.25">
      <c r="E331" s="92"/>
    </row>
    <row r="332" spans="3:9" x14ac:dyDescent="0.25">
      <c r="C332" s="2">
        <f>TrialBalance!C197</f>
        <v>0</v>
      </c>
      <c r="E332" s="92">
        <f>-TrialBalance!L197</f>
        <v>0</v>
      </c>
      <c r="F332" s="237" t="s">
        <v>986</v>
      </c>
      <c r="G332" s="124"/>
      <c r="H332" s="124"/>
      <c r="I332" s="124"/>
    </row>
    <row r="333" spans="3:9" x14ac:dyDescent="0.25">
      <c r="C333"/>
      <c r="D333"/>
      <c r="E333" s="172"/>
      <c r="F333" s="237" t="s">
        <v>987</v>
      </c>
      <c r="G333" s="124"/>
      <c r="H333" s="124"/>
      <c r="I333" s="124"/>
    </row>
    <row r="334" spans="3:9" x14ac:dyDescent="0.25">
      <c r="E334" s="92"/>
      <c r="F334" s="237" t="s">
        <v>989</v>
      </c>
      <c r="G334" s="124"/>
      <c r="H334" s="124"/>
      <c r="I334" s="124"/>
    </row>
    <row r="335" spans="3:9" x14ac:dyDescent="0.25">
      <c r="E335" s="92"/>
      <c r="F335" s="237" t="s">
        <v>988</v>
      </c>
      <c r="G335" s="124"/>
      <c r="H335" s="124"/>
      <c r="I335" s="124"/>
    </row>
    <row r="336" spans="3:9" x14ac:dyDescent="0.25">
      <c r="E336" s="92"/>
    </row>
    <row r="337" spans="3:9" x14ac:dyDescent="0.25">
      <c r="C337" s="2">
        <f>TrialBalance!C198</f>
        <v>0</v>
      </c>
      <c r="E337" s="92">
        <f>-TrialBalance!L198</f>
        <v>0</v>
      </c>
      <c r="F337" s="237" t="s">
        <v>986</v>
      </c>
      <c r="G337" s="124"/>
      <c r="H337" s="124"/>
      <c r="I337" s="124"/>
    </row>
    <row r="338" spans="3:9" x14ac:dyDescent="0.25">
      <c r="E338" s="92"/>
      <c r="F338" s="237" t="s">
        <v>987</v>
      </c>
      <c r="G338" s="124"/>
      <c r="H338" s="124"/>
      <c r="I338" s="124"/>
    </row>
    <row r="339" spans="3:9" x14ac:dyDescent="0.25">
      <c r="E339" s="92"/>
      <c r="F339" s="237" t="s">
        <v>989</v>
      </c>
      <c r="G339" s="124"/>
      <c r="H339" s="124"/>
      <c r="I339" s="124"/>
    </row>
    <row r="340" spans="3:9" x14ac:dyDescent="0.25">
      <c r="E340" s="92"/>
      <c r="F340" s="237" t="s">
        <v>988</v>
      </c>
      <c r="G340" s="124"/>
      <c r="H340" s="124"/>
      <c r="I340" s="124"/>
    </row>
    <row r="341" spans="3:9" x14ac:dyDescent="0.25">
      <c r="E341" s="92"/>
    </row>
    <row r="342" spans="3:9" x14ac:dyDescent="0.25">
      <c r="C342" s="2">
        <f>TrialBalance!C199</f>
        <v>0</v>
      </c>
      <c r="E342" s="92">
        <f>-TrialBalance!L199</f>
        <v>0</v>
      </c>
      <c r="F342" s="237" t="s">
        <v>986</v>
      </c>
      <c r="G342" s="124"/>
      <c r="H342" s="124"/>
      <c r="I342" s="124"/>
    </row>
    <row r="343" spans="3:9" x14ac:dyDescent="0.25">
      <c r="E343" s="92"/>
      <c r="F343" s="237" t="s">
        <v>987</v>
      </c>
      <c r="G343" s="124"/>
      <c r="H343" s="124"/>
      <c r="I343" s="124"/>
    </row>
    <row r="344" spans="3:9" x14ac:dyDescent="0.25">
      <c r="E344" s="92"/>
      <c r="F344" s="237" t="s">
        <v>989</v>
      </c>
      <c r="G344" s="124"/>
      <c r="H344" s="124"/>
      <c r="I344" s="124"/>
    </row>
    <row r="345" spans="3:9" x14ac:dyDescent="0.25">
      <c r="E345" s="92"/>
      <c r="F345" s="237" t="s">
        <v>988</v>
      </c>
      <c r="G345" s="124"/>
      <c r="H345" s="124"/>
      <c r="I345" s="124"/>
    </row>
    <row r="346" spans="3:9" x14ac:dyDescent="0.25">
      <c r="E346" s="92"/>
    </row>
    <row r="347" spans="3:9" x14ac:dyDescent="0.25">
      <c r="C347" s="2">
        <f>TrialBalance!C200</f>
        <v>0</v>
      </c>
      <c r="E347" s="92">
        <f>-TrialBalance!L200</f>
        <v>0</v>
      </c>
      <c r="F347" s="237" t="s">
        <v>986</v>
      </c>
      <c r="G347" s="124"/>
      <c r="H347" s="124"/>
      <c r="I347" s="124"/>
    </row>
    <row r="348" spans="3:9" x14ac:dyDescent="0.25">
      <c r="E348" s="92"/>
      <c r="F348" s="237" t="s">
        <v>987</v>
      </c>
      <c r="G348" s="124"/>
      <c r="H348" s="124"/>
      <c r="I348" s="124"/>
    </row>
    <row r="349" spans="3:9" x14ac:dyDescent="0.25">
      <c r="E349" s="92"/>
      <c r="F349" s="237" t="s">
        <v>989</v>
      </c>
      <c r="G349" s="124"/>
      <c r="H349" s="124"/>
      <c r="I349" s="124"/>
    </row>
    <row r="350" spans="3:9" x14ac:dyDescent="0.25">
      <c r="E350" s="92"/>
      <c r="F350" s="237" t="s">
        <v>988</v>
      </c>
      <c r="G350" s="124"/>
      <c r="H350" s="124"/>
      <c r="I350" s="124"/>
    </row>
    <row r="352" spans="3:9" x14ac:dyDescent="0.25">
      <c r="C352" s="17" t="s">
        <v>965</v>
      </c>
    </row>
    <row r="353" spans="3:9" x14ac:dyDescent="0.25">
      <c r="C353" s="17"/>
      <c r="F353" s="25">
        <f>E22</f>
        <v>2025</v>
      </c>
      <c r="G353" s="25">
        <f>E27</f>
        <v>2024</v>
      </c>
    </row>
    <row r="355" spans="3:9" x14ac:dyDescent="0.25">
      <c r="C355" s="2" t="s">
        <v>966</v>
      </c>
      <c r="E355" s="2" t="s">
        <v>967</v>
      </c>
      <c r="F355" s="236"/>
      <c r="G355" s="236"/>
    </row>
    <row r="356" spans="3:9" x14ac:dyDescent="0.25">
      <c r="E356" s="2" t="s">
        <v>968</v>
      </c>
      <c r="F356" s="236"/>
      <c r="G356" s="236"/>
    </row>
    <row r="357" spans="3:9" x14ac:dyDescent="0.25">
      <c r="E357" s="2" t="s">
        <v>969</v>
      </c>
      <c r="F357" s="236"/>
      <c r="G357" s="236"/>
    </row>
    <row r="359" spans="3:9" x14ac:dyDescent="0.25">
      <c r="C359" s="17" t="s">
        <v>970</v>
      </c>
    </row>
    <row r="360" spans="3:9" x14ac:dyDescent="0.25">
      <c r="C360" s="2" t="s">
        <v>1006</v>
      </c>
    </row>
    <row r="362" spans="3:9" x14ac:dyDescent="0.25">
      <c r="C362" s="2" t="s">
        <v>1100</v>
      </c>
      <c r="F362" s="236" t="s">
        <v>1103</v>
      </c>
      <c r="G362" s="236"/>
      <c r="H362" s="236"/>
      <c r="I362" s="236"/>
    </row>
    <row r="363" spans="3:9" x14ac:dyDescent="0.25">
      <c r="F363" s="236" t="s">
        <v>1101</v>
      </c>
      <c r="G363" s="236"/>
      <c r="H363" s="236"/>
      <c r="I363" s="236"/>
    </row>
    <row r="364" spans="3:9" x14ac:dyDescent="0.25">
      <c r="F364" s="236" t="s">
        <v>1104</v>
      </c>
      <c r="G364" s="236"/>
      <c r="H364" s="236"/>
      <c r="I364" s="236"/>
    </row>
    <row r="365" spans="3:9" x14ac:dyDescent="0.25">
      <c r="F365" s="236" t="s">
        <v>1102</v>
      </c>
      <c r="G365" s="236"/>
      <c r="H365" s="236"/>
      <c r="I365" s="236"/>
    </row>
    <row r="367" spans="3:9" x14ac:dyDescent="0.25">
      <c r="C367" s="2" t="s">
        <v>966</v>
      </c>
      <c r="E367" s="2" t="s">
        <v>967</v>
      </c>
      <c r="F367" s="236"/>
      <c r="G367" s="236"/>
    </row>
    <row r="368" spans="3:9" x14ac:dyDescent="0.25">
      <c r="E368" s="2" t="s">
        <v>968</v>
      </c>
      <c r="F368" s="236"/>
      <c r="G368" s="236"/>
    </row>
    <row r="369" spans="3:8" x14ac:dyDescent="0.25">
      <c r="E369" s="2" t="s">
        <v>969</v>
      </c>
      <c r="F369" s="236"/>
      <c r="G369" s="236"/>
    </row>
    <row r="371" spans="3:8" ht="19.5" x14ac:dyDescent="0.35">
      <c r="C371" s="120" t="s">
        <v>769</v>
      </c>
    </row>
    <row r="373" spans="3:8" x14ac:dyDescent="0.25">
      <c r="C373" s="2" t="s">
        <v>774</v>
      </c>
    </row>
    <row r="374" spans="3:8" x14ac:dyDescent="0.25">
      <c r="F374" s="2" t="s">
        <v>777</v>
      </c>
    </row>
    <row r="375" spans="3:8" x14ac:dyDescent="0.25">
      <c r="C375" s="2" t="s">
        <v>772</v>
      </c>
      <c r="E375" s="5" t="s">
        <v>775</v>
      </c>
      <c r="F375" s="5" t="s">
        <v>778</v>
      </c>
    </row>
    <row r="376" spans="3:8" x14ac:dyDescent="0.25">
      <c r="C376" s="236"/>
      <c r="E376" s="236"/>
      <c r="F376" s="236"/>
      <c r="G376" s="2">
        <f>IF(COUNTIF(E376:E385,"&gt;0")&gt;0,1,IF(COUNTIF(E376:E385,"&lt;0")&gt;0,1,0))</f>
        <v>0</v>
      </c>
      <c r="H376" s="2">
        <f>IF(COUNTIF(F376:F385,"&gt;0")&gt;0,1,IF(COUNTIF(F376:F385,"&lt;0")&gt;0,1,0))</f>
        <v>0</v>
      </c>
    </row>
    <row r="377" spans="3:8" x14ac:dyDescent="0.25">
      <c r="C377" s="236"/>
      <c r="E377" s="236"/>
      <c r="F377" s="236"/>
    </row>
    <row r="378" spans="3:8" x14ac:dyDescent="0.25">
      <c r="C378" s="236"/>
      <c r="E378" s="236"/>
      <c r="F378" s="236"/>
    </row>
    <row r="379" spans="3:8" x14ac:dyDescent="0.25">
      <c r="C379" s="236"/>
      <c r="E379" s="236"/>
      <c r="F379" s="236"/>
    </row>
    <row r="380" spans="3:8" x14ac:dyDescent="0.25">
      <c r="C380" s="236"/>
      <c r="E380" s="236"/>
      <c r="F380" s="236"/>
    </row>
    <row r="381" spans="3:8" x14ac:dyDescent="0.25">
      <c r="C381" s="236"/>
      <c r="E381" s="236"/>
      <c r="F381" s="236"/>
    </row>
    <row r="382" spans="3:8" x14ac:dyDescent="0.25">
      <c r="C382" s="236"/>
      <c r="E382" s="236"/>
      <c r="F382" s="236"/>
    </row>
    <row r="383" spans="3:8" x14ac:dyDescent="0.25">
      <c r="C383" s="236"/>
      <c r="E383" s="236"/>
      <c r="F383" s="236"/>
    </row>
    <row r="384" spans="3:8" x14ac:dyDescent="0.25">
      <c r="C384" s="236"/>
      <c r="E384" s="236"/>
      <c r="F384" s="236"/>
    </row>
    <row r="385" spans="3:6" x14ac:dyDescent="0.25">
      <c r="C385" s="236"/>
      <c r="E385" s="236"/>
      <c r="F385" s="236"/>
    </row>
  </sheetData>
  <sheetProtection algorithmName="SHA-512" hashValue="FF7gwszv1PXUrZd13GePZ1Kq0wZ2dXZoBkseAL1lpojb0EG8G9+xFi8Zs+RKIseej+P4/2UxM9xOKOeMjs+jbA==" saltValue="cJj+mT7jY1rOlaMaT9nUWQ==" spinCount="100000" sheet="1" objects="1" scenarios="1" selectLockedCells="1"/>
  <mergeCells count="11">
    <mergeCell ref="G236:H236"/>
    <mergeCell ref="G239:H239"/>
    <mergeCell ref="A77:J77"/>
    <mergeCell ref="E11:G11"/>
    <mergeCell ref="E9:G9"/>
    <mergeCell ref="E10:G10"/>
    <mergeCell ref="E13:G13"/>
    <mergeCell ref="E14:G14"/>
    <mergeCell ref="C81:F81"/>
    <mergeCell ref="E15:G15"/>
    <mergeCell ref="E16:G16"/>
  </mergeCells>
  <phoneticPr fontId="0" type="noConversion"/>
  <dataValidations count="1">
    <dataValidation type="list" allowBlank="1" showInputMessage="1" showErrorMessage="1" sqref="E24 G47 F121 F83 F85 F87 F107 F92 F96 F99 G270 F105 F89" xr:uid="{00000000-0002-0000-0300-00000D000000}">
      <formula1>$F$25:$G$25</formula1>
    </dataValidation>
  </dataValidations>
  <hyperlinks>
    <hyperlink ref="E3" r:id="rId1" xr:uid="{E9AA1D72-5443-4E1A-A189-F434B7EA826A}"/>
    <hyperlink ref="E4" r:id="rId2" xr:uid="{BDAD9E5B-AE0F-43B6-9F17-6ECD787EE826}"/>
  </hyperlinks>
  <pageMargins left="0.75" right="0.75" top="1" bottom="1" header="0.5" footer="0.5"/>
  <pageSetup paperSize="9"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x14ac:dyDescent="0.2"/>
  <cols>
    <col min="1" max="1" width="15.85546875" style="11" bestFit="1" customWidth="1"/>
    <col min="2" max="2" width="8.7109375" bestFit="1" customWidth="1"/>
    <col min="3" max="3" width="37.85546875" style="12" bestFit="1" customWidth="1"/>
    <col min="4" max="5" width="15.28515625" style="125" bestFit="1" customWidth="1"/>
    <col min="6" max="6" width="13.42578125" style="13" customWidth="1"/>
    <col min="7" max="8" width="13.140625" style="13" customWidth="1"/>
    <col min="9" max="9" width="15.85546875" style="13" bestFit="1" customWidth="1"/>
    <col min="10" max="10" width="13.85546875" style="13" bestFit="1" customWidth="1"/>
    <col min="11" max="11" width="15.28515625" style="13" bestFit="1" customWidth="1"/>
    <col min="12" max="12" width="15.85546875" style="155" bestFit="1" customWidth="1"/>
    <col min="13" max="13" width="4.85546875" style="76" customWidth="1"/>
    <col min="14" max="14" width="15.7109375" customWidth="1"/>
    <col min="15" max="15" width="4.140625" customWidth="1"/>
    <col min="16" max="16" width="13.85546875" customWidth="1"/>
    <col min="17" max="17" width="13.85546875" style="42" bestFit="1" customWidth="1"/>
    <col min="18" max="18" width="14.28515625" bestFit="1" customWidth="1"/>
    <col min="19" max="20" width="13.140625" bestFit="1" customWidth="1"/>
    <col min="21" max="21" width="13.85546875" bestFit="1" customWidth="1"/>
  </cols>
  <sheetData>
    <row r="1" spans="1:21" x14ac:dyDescent="0.2">
      <c r="A1" s="257"/>
      <c r="B1" s="258"/>
      <c r="C1" s="258"/>
      <c r="D1" s="491" t="str">
        <f>Criteria!E13</f>
        <v>FINANCIAL INSTRUMENTS</v>
      </c>
      <c r="E1" s="491"/>
      <c r="F1" s="254" t="str">
        <f>Criteria!E14</f>
        <v>SUBSIDIARY ONE 111 (PTY) LTD</v>
      </c>
      <c r="G1" s="254" t="str">
        <f>Criteria!E15</f>
        <v>SUBSIDIARY TWO 15 (PTY) LTD</v>
      </c>
      <c r="H1" s="254">
        <f>Criteria!E16</f>
        <v>0</v>
      </c>
      <c r="I1" s="259"/>
      <c r="J1" s="260" t="s">
        <v>151</v>
      </c>
      <c r="K1" s="260"/>
      <c r="L1" s="261">
        <f>Criteria!E22</f>
        <v>2025</v>
      </c>
      <c r="M1" s="261"/>
      <c r="N1" s="261">
        <f>Criteria!E27</f>
        <v>2024</v>
      </c>
      <c r="O1" s="258"/>
      <c r="P1" s="493" t="s">
        <v>325</v>
      </c>
      <c r="Q1" s="493"/>
      <c r="S1" s="62"/>
    </row>
    <row r="2" spans="1:21" x14ac:dyDescent="0.2">
      <c r="A2" s="262" t="s">
        <v>878</v>
      </c>
      <c r="B2" s="258"/>
      <c r="C2" s="258"/>
      <c r="D2" s="492">
        <f>D404-E404</f>
        <v>0</v>
      </c>
      <c r="E2" s="492"/>
      <c r="F2" s="263">
        <f>F404</f>
        <v>0</v>
      </c>
      <c r="G2" s="263">
        <f>G404</f>
        <v>0</v>
      </c>
      <c r="H2" s="263">
        <f>H404</f>
        <v>0</v>
      </c>
      <c r="I2" s="264" t="s">
        <v>418</v>
      </c>
      <c r="J2" s="259">
        <f>J404</f>
        <v>0</v>
      </c>
      <c r="K2" s="265">
        <f>D2-E2+F2+G2+H2</f>
        <v>0</v>
      </c>
      <c r="L2" s="266">
        <f>L404</f>
        <v>0</v>
      </c>
      <c r="M2" s="267"/>
      <c r="N2" s="268">
        <f>N404</f>
        <v>0</v>
      </c>
      <c r="O2" s="258"/>
      <c r="P2" s="261">
        <f>Criteria!E22</f>
        <v>2025</v>
      </c>
      <c r="Q2" s="261">
        <f>Criteria!E27</f>
        <v>2024</v>
      </c>
      <c r="S2" s="63"/>
    </row>
    <row r="3" spans="1:21" x14ac:dyDescent="0.2">
      <c r="A3" s="262" t="s">
        <v>579</v>
      </c>
      <c r="B3" s="269"/>
      <c r="C3" s="269" t="s">
        <v>212</v>
      </c>
      <c r="D3" s="262" t="s">
        <v>213</v>
      </c>
      <c r="E3" s="262" t="s">
        <v>214</v>
      </c>
      <c r="F3" s="262" t="s">
        <v>579</v>
      </c>
      <c r="G3" s="262" t="s">
        <v>579</v>
      </c>
      <c r="H3" s="262" t="s">
        <v>579</v>
      </c>
      <c r="I3" s="270" t="s">
        <v>124</v>
      </c>
      <c r="J3" s="257"/>
      <c r="K3" s="271"/>
      <c r="L3" s="251"/>
      <c r="M3" s="272"/>
      <c r="N3" s="258"/>
      <c r="O3" s="258"/>
      <c r="P3" s="268">
        <f>SUM(L5:L165)</f>
        <v>0</v>
      </c>
      <c r="Q3" s="11">
        <f>SUM(N5:N165)</f>
        <v>0</v>
      </c>
    </row>
    <row r="4" spans="1:21" x14ac:dyDescent="0.2">
      <c r="A4" s="238"/>
      <c r="B4" s="90" t="s">
        <v>215</v>
      </c>
      <c r="C4" s="239" t="s">
        <v>100</v>
      </c>
      <c r="D4" s="154"/>
      <c r="E4" s="153"/>
      <c r="F4" s="51"/>
      <c r="G4" s="51"/>
      <c r="H4" s="51"/>
      <c r="I4" s="51"/>
      <c r="J4" s="38"/>
      <c r="K4" s="39"/>
      <c r="L4" s="153"/>
      <c r="M4" s="59"/>
      <c r="N4" s="46" t="s">
        <v>212</v>
      </c>
      <c r="Q4" s="43"/>
    </row>
    <row r="5" spans="1:21" x14ac:dyDescent="0.2">
      <c r="A5" s="238"/>
      <c r="B5" s="10" t="s">
        <v>216</v>
      </c>
      <c r="C5" s="242" t="s">
        <v>837</v>
      </c>
      <c r="D5" s="250"/>
      <c r="E5" s="251"/>
      <c r="F5" s="132"/>
      <c r="G5" s="132"/>
      <c r="H5" s="132"/>
      <c r="I5" s="79"/>
      <c r="J5" s="198">
        <f>SUMIF(Journals!D$14:D$920,TrialBalance!P5,Journals!J$14:J$920)+SUMIF(Journals!E$14:E$920,TrialBalance!P5,Journals!J$14:J$920)</f>
        <v>0</v>
      </c>
      <c r="K5" s="253"/>
      <c r="L5" s="255">
        <f t="shared" ref="L5:L10" si="0">ROUND(D5-E5+F5+G5+H5+J5+I5,0)</f>
        <v>0</v>
      </c>
      <c r="M5" s="75"/>
      <c r="N5" s="48">
        <f t="shared" ref="N5:N74" si="1">ROUND(SUM(A5),0)</f>
        <v>0</v>
      </c>
      <c r="P5" s="140" t="str">
        <f t="shared" ref="P5:P41" si="2">CONCATENATE(B5,C5)</f>
        <v>1000/001Sale of goods</v>
      </c>
      <c r="Q5" s="70"/>
      <c r="S5" s="71"/>
      <c r="T5" s="51"/>
      <c r="U5" s="31"/>
    </row>
    <row r="6" spans="1:21" x14ac:dyDescent="0.2">
      <c r="A6" s="238"/>
      <c r="B6" s="90" t="s">
        <v>217</v>
      </c>
      <c r="C6" s="242" t="s">
        <v>838</v>
      </c>
      <c r="D6" s="250"/>
      <c r="E6" s="251"/>
      <c r="F6" s="132"/>
      <c r="G6" s="132"/>
      <c r="H6" s="132"/>
      <c r="I6" s="79"/>
      <c r="J6" s="198">
        <f>SUMIF(Journals!D$14:D$920,TrialBalance!P6,Journals!J$14:J$920)+SUMIF(Journals!E$14:E$920,TrialBalance!P6,Journals!J$14:J$920)</f>
        <v>0</v>
      </c>
      <c r="K6" s="253"/>
      <c r="L6" s="255">
        <f t="shared" ref="L6:L9" si="3">ROUND(D6-E6+F6+G6+H6+J6+I6,0)</f>
        <v>0</v>
      </c>
      <c r="M6" s="75"/>
      <c r="N6" s="48">
        <f t="shared" ref="N6:N9" si="4">ROUND(SUM(A6),0)</f>
        <v>0</v>
      </c>
      <c r="P6" s="140" t="str">
        <f t="shared" ref="P6:P9" si="5">CONCATENATE(B6,C6)</f>
        <v>1000/002Rendering of services</v>
      </c>
      <c r="Q6" s="70"/>
      <c r="S6" s="71"/>
      <c r="T6" s="51"/>
      <c r="U6" s="31"/>
    </row>
    <row r="7" spans="1:21" x14ac:dyDescent="0.2">
      <c r="A7" s="238"/>
      <c r="B7" s="90" t="s">
        <v>218</v>
      </c>
      <c r="C7" s="242" t="s">
        <v>839</v>
      </c>
      <c r="D7" s="250"/>
      <c r="E7" s="251"/>
      <c r="F7" s="132"/>
      <c r="G7" s="132"/>
      <c r="H7" s="132"/>
      <c r="I7" s="79"/>
      <c r="J7" s="198">
        <f>SUMIF(Journals!D$14:D$920,TrialBalance!P7,Journals!J$14:J$920)+SUMIF(Journals!E$14:E$920,TrialBalance!P7,Journals!J$14:J$920)</f>
        <v>0</v>
      </c>
      <c r="K7" s="253"/>
      <c r="L7" s="255">
        <f t="shared" si="3"/>
        <v>0</v>
      </c>
      <c r="M7" s="75"/>
      <c r="N7" s="48">
        <f t="shared" si="4"/>
        <v>0</v>
      </c>
      <c r="P7" s="140" t="str">
        <f t="shared" si="5"/>
        <v>1000/003Commissions received</v>
      </c>
      <c r="Q7" s="70"/>
      <c r="S7" s="71"/>
      <c r="T7" s="51"/>
      <c r="U7" s="31"/>
    </row>
    <row r="8" spans="1:21" x14ac:dyDescent="0.2">
      <c r="A8" s="238"/>
      <c r="B8" s="90" t="s">
        <v>840</v>
      </c>
      <c r="C8" s="243"/>
      <c r="D8" s="250"/>
      <c r="E8" s="251"/>
      <c r="F8" s="132"/>
      <c r="G8" s="132"/>
      <c r="H8" s="132"/>
      <c r="I8" s="79"/>
      <c r="J8" s="198">
        <f>SUMIF(Journals!D$14:D$920,TrialBalance!P8,Journals!J$14:J$920)+SUMIF(Journals!E$14:E$920,TrialBalance!P8,Journals!J$14:J$920)</f>
        <v>0</v>
      </c>
      <c r="K8" s="253"/>
      <c r="L8" s="255">
        <f t="shared" si="3"/>
        <v>0</v>
      </c>
      <c r="M8" s="75"/>
      <c r="N8" s="48">
        <f t="shared" si="4"/>
        <v>0</v>
      </c>
      <c r="P8" s="140" t="str">
        <f t="shared" si="5"/>
        <v>1000/004</v>
      </c>
      <c r="Q8" s="70"/>
      <c r="S8" s="71"/>
      <c r="T8" s="51"/>
      <c r="U8" s="31"/>
    </row>
    <row r="9" spans="1:21" x14ac:dyDescent="0.2">
      <c r="A9" s="238"/>
      <c r="B9" s="90" t="s">
        <v>841</v>
      </c>
      <c r="C9" s="243"/>
      <c r="D9" s="250"/>
      <c r="E9" s="251"/>
      <c r="F9" s="132"/>
      <c r="G9" s="132"/>
      <c r="H9" s="132"/>
      <c r="I9" s="79"/>
      <c r="J9" s="198">
        <f>SUMIF(Journals!D$14:D$920,TrialBalance!P9,Journals!J$14:J$920)+SUMIF(Journals!E$14:E$920,TrialBalance!P9,Journals!J$14:J$920)</f>
        <v>0</v>
      </c>
      <c r="K9" s="253"/>
      <c r="L9" s="255">
        <f t="shared" si="3"/>
        <v>0</v>
      </c>
      <c r="M9" s="75"/>
      <c r="N9" s="48">
        <f t="shared" si="4"/>
        <v>0</v>
      </c>
      <c r="P9" s="140" t="str">
        <f t="shared" si="5"/>
        <v>1000/005</v>
      </c>
      <c r="Q9" s="70"/>
      <c r="S9" s="71"/>
      <c r="T9" s="51"/>
      <c r="U9" s="31"/>
    </row>
    <row r="10" spans="1:21" x14ac:dyDescent="0.2">
      <c r="A10" s="238"/>
      <c r="B10" s="90" t="s">
        <v>842</v>
      </c>
      <c r="C10" s="243"/>
      <c r="D10" s="251"/>
      <c r="E10" s="251"/>
      <c r="F10" s="132"/>
      <c r="G10" s="132"/>
      <c r="H10" s="132"/>
      <c r="I10" s="79"/>
      <c r="J10" s="198">
        <f>SUMIF(Journals!D$14:D$920,TrialBalance!P10,Journals!J$14:J$920)+SUMIF(Journals!E$14:E$920,TrialBalance!P10,Journals!J$14:J$920)</f>
        <v>0</v>
      </c>
      <c r="K10" s="253"/>
      <c r="L10" s="255">
        <f t="shared" si="0"/>
        <v>0</v>
      </c>
      <c r="M10" s="75"/>
      <c r="N10" s="48">
        <f t="shared" si="1"/>
        <v>0</v>
      </c>
      <c r="P10" s="140" t="str">
        <f t="shared" si="2"/>
        <v>1000/006</v>
      </c>
      <c r="Q10" s="70"/>
      <c r="S10" s="71"/>
      <c r="T10" s="51"/>
      <c r="U10" s="31"/>
    </row>
    <row r="11" spans="1:21" x14ac:dyDescent="0.2">
      <c r="A11" s="238"/>
      <c r="B11" s="90" t="s">
        <v>843</v>
      </c>
      <c r="C11" s="241" t="s">
        <v>334</v>
      </c>
      <c r="D11" s="251"/>
      <c r="E11" s="251"/>
      <c r="F11" s="132"/>
      <c r="G11" s="132"/>
      <c r="H11" s="132"/>
      <c r="I11" s="79"/>
      <c r="J11" s="198">
        <f>SUMIF(Journals!D$14:D$920,TrialBalance!P11,Journals!J$14:J$920)+SUMIF(Journals!E$14:E$920,TrialBalance!P11,Journals!J$14:J$920)</f>
        <v>0</v>
      </c>
      <c r="K11" s="253"/>
      <c r="L11" s="255">
        <f>ROUND(D11-E11+F11+G11+H11+J11+I11,0)</f>
        <v>0</v>
      </c>
      <c r="M11" s="75"/>
      <c r="N11" s="48">
        <f t="shared" si="1"/>
        <v>0</v>
      </c>
      <c r="P11" s="140" t="str">
        <f t="shared" si="2"/>
        <v>1000/007Rent received</v>
      </c>
      <c r="Q11" s="70"/>
      <c r="S11" s="71"/>
      <c r="T11" s="51"/>
      <c r="U11" s="31"/>
    </row>
    <row r="12" spans="1:21" x14ac:dyDescent="0.2">
      <c r="A12" s="238"/>
      <c r="B12" s="54" t="s">
        <v>219</v>
      </c>
      <c r="C12" s="239" t="s">
        <v>101</v>
      </c>
      <c r="D12" s="250"/>
      <c r="E12" s="251"/>
      <c r="F12" s="132"/>
      <c r="G12" s="132"/>
      <c r="H12" s="132"/>
      <c r="I12" s="79"/>
      <c r="J12" s="198">
        <f>SUMIF(Journals!D$14:D$920,TrialBalance!P12,Journals!J$14:J$920)+SUMIF(Journals!E$14:E$920,TrialBalance!P12,Journals!J$14:J$920)</f>
        <v>0</v>
      </c>
      <c r="K12" s="253"/>
      <c r="L12" s="255">
        <f t="shared" ref="L12:L76" si="6">ROUND(D12-E12+F12+G12+H12+J12+I12,0)</f>
        <v>0</v>
      </c>
      <c r="M12" s="75"/>
      <c r="N12" s="48">
        <f t="shared" si="1"/>
        <v>0</v>
      </c>
      <c r="P12" s="140" t="str">
        <f t="shared" si="2"/>
        <v>2000/000COST OF SALES</v>
      </c>
      <c r="Q12" s="70"/>
      <c r="S12" s="71"/>
      <c r="T12" s="51"/>
      <c r="U12" s="31"/>
    </row>
    <row r="13" spans="1:21" x14ac:dyDescent="0.2">
      <c r="A13" s="238"/>
      <c r="B13" s="54" t="s">
        <v>220</v>
      </c>
      <c r="C13" s="242" t="s">
        <v>622</v>
      </c>
      <c r="D13" s="250"/>
      <c r="E13" s="251"/>
      <c r="F13" s="132"/>
      <c r="G13" s="132"/>
      <c r="H13" s="132"/>
      <c r="I13" s="79"/>
      <c r="J13" s="198">
        <f>SUMIF(Journals!D$14:D$920,TrialBalance!P13,Journals!J$14:J$920)+SUMIF(Journals!E$14:E$920,TrialBalance!P13,Journals!J$14:J$920)</f>
        <v>0</v>
      </c>
      <c r="K13" s="253"/>
      <c r="L13" s="255">
        <f t="shared" si="6"/>
        <v>0</v>
      </c>
      <c r="M13" s="75"/>
      <c r="N13" s="48">
        <f t="shared" si="1"/>
        <v>0</v>
      </c>
      <c r="P13" s="140" t="str">
        <f t="shared" si="2"/>
        <v>2000/001Opening stock - Raw materials</v>
      </c>
      <c r="Q13" s="70"/>
      <c r="S13" s="71"/>
      <c r="T13" s="51"/>
      <c r="U13" s="31"/>
    </row>
    <row r="14" spans="1:21" x14ac:dyDescent="0.2">
      <c r="A14" s="238"/>
      <c r="B14" s="54" t="s">
        <v>362</v>
      </c>
      <c r="C14" s="240" t="s">
        <v>363</v>
      </c>
      <c r="D14" s="250"/>
      <c r="E14" s="251"/>
      <c r="F14" s="132"/>
      <c r="G14" s="132"/>
      <c r="H14" s="132"/>
      <c r="I14" s="79"/>
      <c r="J14" s="198">
        <f>SUMIF(Journals!D$14:D$920,TrialBalance!P14,Journals!J$14:J$920)+SUMIF(Journals!E$14:E$920,TrialBalance!P14,Journals!J$14:J$920)</f>
        <v>0</v>
      </c>
      <c r="K14" s="253"/>
      <c r="L14" s="255">
        <f t="shared" si="6"/>
        <v>0</v>
      </c>
      <c r="M14" s="75"/>
      <c r="N14" s="48">
        <f t="shared" si="1"/>
        <v>0</v>
      </c>
      <c r="P14" s="140" t="str">
        <f t="shared" si="2"/>
        <v>2000/002Opening stock - WIP</v>
      </c>
      <c r="Q14" s="70"/>
      <c r="S14" s="71"/>
      <c r="T14" s="51"/>
      <c r="U14" s="31"/>
    </row>
    <row r="15" spans="1:21" x14ac:dyDescent="0.2">
      <c r="A15" s="238"/>
      <c r="B15" s="54" t="s">
        <v>364</v>
      </c>
      <c r="C15" s="240" t="s">
        <v>365</v>
      </c>
      <c r="D15" s="250"/>
      <c r="E15" s="251"/>
      <c r="F15" s="132"/>
      <c r="G15" s="132"/>
      <c r="H15" s="132"/>
      <c r="I15" s="79"/>
      <c r="J15" s="198">
        <f>SUMIF(Journals!D$14:D$920,TrialBalance!P15,Journals!J$14:J$920)+SUMIF(Journals!E$14:E$920,TrialBalance!P15,Journals!J$14:J$920)</f>
        <v>0</v>
      </c>
      <c r="K15" s="253"/>
      <c r="L15" s="255">
        <f t="shared" si="6"/>
        <v>0</v>
      </c>
      <c r="M15" s="75"/>
      <c r="N15" s="48">
        <f t="shared" si="1"/>
        <v>0</v>
      </c>
      <c r="P15" s="140" t="str">
        <f t="shared" si="2"/>
        <v>2000/003Opening stock - Finished goods</v>
      </c>
      <c r="Q15" s="70"/>
      <c r="S15" s="71"/>
      <c r="T15" s="51"/>
      <c r="U15" s="31"/>
    </row>
    <row r="16" spans="1:21" x14ac:dyDescent="0.2">
      <c r="A16" s="238"/>
      <c r="B16" s="54" t="s">
        <v>366</v>
      </c>
      <c r="C16" s="240" t="s">
        <v>367</v>
      </c>
      <c r="D16" s="250"/>
      <c r="E16" s="251"/>
      <c r="F16" s="132"/>
      <c r="G16" s="132"/>
      <c r="H16" s="132"/>
      <c r="I16" s="79"/>
      <c r="J16" s="198">
        <f>SUMIF(Journals!D$14:D$920,TrialBalance!P16,Journals!J$14:J$920)+SUMIF(Journals!E$14:E$920,TrialBalance!P16,Journals!J$14:J$920)</f>
        <v>0</v>
      </c>
      <c r="K16" s="253"/>
      <c r="L16" s="255">
        <f t="shared" si="6"/>
        <v>0</v>
      </c>
      <c r="M16" s="75"/>
      <c r="N16" s="48">
        <f t="shared" si="1"/>
        <v>0</v>
      </c>
      <c r="P16" s="140" t="str">
        <f t="shared" si="2"/>
        <v>2000/004Opening stock - Trading stock</v>
      </c>
      <c r="Q16" s="70"/>
      <c r="S16" s="71"/>
      <c r="T16" s="51"/>
      <c r="U16" s="31"/>
    </row>
    <row r="17" spans="1:21" x14ac:dyDescent="0.2">
      <c r="A17" s="238"/>
      <c r="B17" s="10" t="s">
        <v>368</v>
      </c>
      <c r="C17" s="240" t="s">
        <v>249</v>
      </c>
      <c r="D17" s="250"/>
      <c r="E17" s="251"/>
      <c r="F17" s="132"/>
      <c r="G17" s="132"/>
      <c r="H17" s="132"/>
      <c r="I17" s="79"/>
      <c r="J17" s="198">
        <f>SUMIF(Journals!D$14:D$920,TrialBalance!P17,Journals!J$14:J$920)+SUMIF(Journals!E$14:E$920,TrialBalance!P17,Journals!J$14:J$920)</f>
        <v>0</v>
      </c>
      <c r="K17" s="253"/>
      <c r="L17" s="255">
        <f t="shared" si="6"/>
        <v>0</v>
      </c>
      <c r="M17" s="75"/>
      <c r="N17" s="48">
        <f t="shared" si="1"/>
        <v>0</v>
      </c>
      <c r="P17" s="140" t="str">
        <f t="shared" si="2"/>
        <v>2000/010Purchases</v>
      </c>
      <c r="Q17" s="70"/>
      <c r="S17" s="71"/>
      <c r="T17" s="51"/>
      <c r="U17" s="31"/>
    </row>
    <row r="18" spans="1:21" x14ac:dyDescent="0.2">
      <c r="A18" s="238"/>
      <c r="B18" s="10" t="s">
        <v>369</v>
      </c>
      <c r="C18" s="243"/>
      <c r="D18" s="251"/>
      <c r="E18" s="251"/>
      <c r="F18" s="132"/>
      <c r="G18" s="132"/>
      <c r="H18" s="132"/>
      <c r="I18" s="79"/>
      <c r="J18" s="198">
        <f>SUMIF(Journals!D$14:D$920,TrialBalance!P18,Journals!J$14:J$920)+SUMIF(Journals!E$14:E$920,TrialBalance!P18,Journals!J$14:J$920)</f>
        <v>0</v>
      </c>
      <c r="K18" s="253"/>
      <c r="L18" s="255">
        <f t="shared" si="6"/>
        <v>0</v>
      </c>
      <c r="M18" s="75"/>
      <c r="N18" s="48">
        <f t="shared" si="1"/>
        <v>0</v>
      </c>
      <c r="P18" s="140" t="str">
        <f t="shared" si="2"/>
        <v>2000/011</v>
      </c>
      <c r="Q18" s="70"/>
      <c r="R18" s="31"/>
      <c r="S18" s="71"/>
      <c r="T18" s="51"/>
      <c r="U18" s="31"/>
    </row>
    <row r="19" spans="1:21" x14ac:dyDescent="0.2">
      <c r="A19" s="238"/>
      <c r="B19" s="54" t="s">
        <v>370</v>
      </c>
      <c r="C19" s="243"/>
      <c r="D19" s="251"/>
      <c r="E19" s="251"/>
      <c r="F19" s="132"/>
      <c r="G19" s="132"/>
      <c r="H19" s="132"/>
      <c r="I19" s="79"/>
      <c r="J19" s="198">
        <f>SUMIF(Journals!D$14:D$920,TrialBalance!P19,Journals!J$14:J$920)+SUMIF(Journals!E$14:E$920,TrialBalance!P19,Journals!J$14:J$920)</f>
        <v>0</v>
      </c>
      <c r="K19" s="253"/>
      <c r="L19" s="255">
        <f t="shared" si="6"/>
        <v>0</v>
      </c>
      <c r="M19" s="75"/>
      <c r="N19" s="48">
        <f t="shared" si="1"/>
        <v>0</v>
      </c>
      <c r="P19" s="140" t="str">
        <f t="shared" si="2"/>
        <v>2000/012</v>
      </c>
      <c r="Q19" s="70"/>
      <c r="S19" s="71"/>
      <c r="T19" s="51"/>
      <c r="U19" s="31"/>
    </row>
    <row r="20" spans="1:21" x14ac:dyDescent="0.2">
      <c r="A20" s="238"/>
      <c r="B20" s="54" t="s">
        <v>371</v>
      </c>
      <c r="C20" s="243"/>
      <c r="D20" s="251"/>
      <c r="E20" s="251"/>
      <c r="F20" s="132"/>
      <c r="G20" s="132"/>
      <c r="H20" s="132"/>
      <c r="I20" s="79"/>
      <c r="J20" s="198">
        <f>SUMIF(Journals!D$14:D$920,TrialBalance!P20,Journals!J$14:J$920)+SUMIF(Journals!E$14:E$920,TrialBalance!P20,Journals!J$14:J$920)</f>
        <v>0</v>
      </c>
      <c r="K20" s="253"/>
      <c r="L20" s="255">
        <f t="shared" si="6"/>
        <v>0</v>
      </c>
      <c r="M20" s="75"/>
      <c r="N20" s="48">
        <f t="shared" si="1"/>
        <v>0</v>
      </c>
      <c r="P20" s="140" t="str">
        <f t="shared" si="2"/>
        <v>2000/013</v>
      </c>
      <c r="Q20" s="70"/>
      <c r="S20" s="71"/>
      <c r="T20" s="51"/>
      <c r="U20" s="31"/>
    </row>
    <row r="21" spans="1:21" x14ac:dyDescent="0.2">
      <c r="A21" s="238"/>
      <c r="B21" s="54" t="s">
        <v>372</v>
      </c>
      <c r="C21" s="243"/>
      <c r="D21" s="251"/>
      <c r="E21" s="251"/>
      <c r="F21" s="132"/>
      <c r="G21" s="132"/>
      <c r="H21" s="132"/>
      <c r="I21" s="79"/>
      <c r="J21" s="198">
        <f>SUMIF(Journals!D$14:D$920,TrialBalance!P21,Journals!J$14:J$920)+SUMIF(Journals!E$14:E$920,TrialBalance!P21,Journals!J$14:J$920)</f>
        <v>0</v>
      </c>
      <c r="K21" s="253"/>
      <c r="L21" s="255">
        <f t="shared" si="6"/>
        <v>0</v>
      </c>
      <c r="M21" s="75"/>
      <c r="N21" s="48">
        <f t="shared" si="1"/>
        <v>0</v>
      </c>
      <c r="P21" s="140" t="str">
        <f t="shared" si="2"/>
        <v>2000/014</v>
      </c>
      <c r="Q21" s="70"/>
      <c r="S21" s="71"/>
      <c r="T21" s="51"/>
      <c r="U21" s="31"/>
    </row>
    <row r="22" spans="1:21" x14ac:dyDescent="0.2">
      <c r="A22" s="238"/>
      <c r="B22" s="54" t="s">
        <v>373</v>
      </c>
      <c r="C22" s="243"/>
      <c r="D22" s="251"/>
      <c r="E22" s="251"/>
      <c r="F22" s="132"/>
      <c r="G22" s="132"/>
      <c r="H22" s="132"/>
      <c r="I22" s="79"/>
      <c r="J22" s="198">
        <f>SUMIF(Journals!D$14:D$920,TrialBalance!P22,Journals!J$14:J$920)+SUMIF(Journals!E$14:E$920,TrialBalance!P22,Journals!J$14:J$920)</f>
        <v>0</v>
      </c>
      <c r="K22" s="253"/>
      <c r="L22" s="255">
        <f t="shared" si="6"/>
        <v>0</v>
      </c>
      <c r="M22" s="75"/>
      <c r="N22" s="48">
        <f t="shared" si="1"/>
        <v>0</v>
      </c>
      <c r="P22" s="140" t="str">
        <f t="shared" si="2"/>
        <v>2000/015</v>
      </c>
      <c r="Q22" s="70"/>
      <c r="S22" s="71"/>
      <c r="T22" s="51"/>
      <c r="U22" s="31"/>
    </row>
    <row r="23" spans="1:21" x14ac:dyDescent="0.2">
      <c r="A23" s="238"/>
      <c r="B23" s="54" t="s">
        <v>374</v>
      </c>
      <c r="C23" s="240" t="s">
        <v>375</v>
      </c>
      <c r="D23" s="250"/>
      <c r="E23" s="251"/>
      <c r="F23" s="132"/>
      <c r="G23" s="132"/>
      <c r="H23" s="132"/>
      <c r="I23" s="79"/>
      <c r="J23" s="198">
        <f>SUMIF(Journals!D$14:D$920,TrialBalance!P23,Journals!J$14:J$920)+SUMIF(Journals!E$14:E$920,TrialBalance!P23,Journals!J$14:J$920)</f>
        <v>0</v>
      </c>
      <c r="K23" s="253"/>
      <c r="L23" s="255">
        <f t="shared" si="6"/>
        <v>0</v>
      </c>
      <c r="M23" s="75"/>
      <c r="N23" s="48">
        <f t="shared" si="1"/>
        <v>0</v>
      </c>
      <c r="P23" s="140" t="str">
        <f t="shared" si="2"/>
        <v>2000/050Closing stock - Raw materials</v>
      </c>
      <c r="Q23" s="70"/>
      <c r="S23" s="71"/>
      <c r="T23" s="51"/>
      <c r="U23" s="31"/>
    </row>
    <row r="24" spans="1:21" x14ac:dyDescent="0.2">
      <c r="A24" s="238"/>
      <c r="B24" s="54" t="s">
        <v>376</v>
      </c>
      <c r="C24" s="240" t="s">
        <v>377</v>
      </c>
      <c r="D24" s="250"/>
      <c r="E24" s="251"/>
      <c r="F24" s="132"/>
      <c r="G24" s="132"/>
      <c r="H24" s="132"/>
      <c r="I24" s="79"/>
      <c r="J24" s="198">
        <f>SUMIF(Journals!D$14:D$920,TrialBalance!P24,Journals!J$14:J$920)+SUMIF(Journals!E$14:E$920,TrialBalance!P24,Journals!J$14:J$920)</f>
        <v>0</v>
      </c>
      <c r="K24" s="253"/>
      <c r="L24" s="255">
        <f t="shared" si="6"/>
        <v>0</v>
      </c>
      <c r="M24" s="75"/>
      <c r="N24" s="48">
        <f t="shared" si="1"/>
        <v>0</v>
      </c>
      <c r="P24" s="140" t="str">
        <f t="shared" si="2"/>
        <v>2000/051Closing stock - WIP</v>
      </c>
      <c r="Q24" s="70"/>
      <c r="S24" s="71"/>
      <c r="T24" s="51"/>
      <c r="U24" s="31"/>
    </row>
    <row r="25" spans="1:21" x14ac:dyDescent="0.2">
      <c r="A25" s="238"/>
      <c r="B25" s="54" t="s">
        <v>378</v>
      </c>
      <c r="C25" s="240" t="s">
        <v>379</v>
      </c>
      <c r="D25" s="250"/>
      <c r="E25" s="251"/>
      <c r="F25" s="132"/>
      <c r="G25" s="132"/>
      <c r="H25" s="132"/>
      <c r="I25" s="79"/>
      <c r="J25" s="198">
        <f>SUMIF(Journals!D$14:D$920,TrialBalance!P25,Journals!J$14:J$920)+SUMIF(Journals!E$14:E$920,TrialBalance!P25,Journals!J$14:J$920)</f>
        <v>0</v>
      </c>
      <c r="K25" s="253"/>
      <c r="L25" s="255">
        <f t="shared" si="6"/>
        <v>0</v>
      </c>
      <c r="M25" s="75"/>
      <c r="N25" s="48">
        <f t="shared" si="1"/>
        <v>0</v>
      </c>
      <c r="P25" s="140" t="str">
        <f t="shared" si="2"/>
        <v>2000/052Closing stock - Finished goods</v>
      </c>
      <c r="Q25" s="70"/>
      <c r="S25" s="71"/>
      <c r="T25" s="51"/>
      <c r="U25" s="31"/>
    </row>
    <row r="26" spans="1:21" x14ac:dyDescent="0.2">
      <c r="A26" s="238"/>
      <c r="B26" s="54" t="s">
        <v>380</v>
      </c>
      <c r="C26" s="240" t="s">
        <v>381</v>
      </c>
      <c r="D26" s="250"/>
      <c r="E26" s="251"/>
      <c r="F26" s="132"/>
      <c r="G26" s="132"/>
      <c r="H26" s="132"/>
      <c r="I26" s="79"/>
      <c r="J26" s="198">
        <f>SUMIF(Journals!D$14:D$920,TrialBalance!P26,Journals!J$14:J$920)+SUMIF(Journals!E$14:E$920,TrialBalance!P26,Journals!J$14:J$920)</f>
        <v>0</v>
      </c>
      <c r="K26" s="253"/>
      <c r="L26" s="255">
        <f t="shared" si="6"/>
        <v>0</v>
      </c>
      <c r="M26" s="75"/>
      <c r="N26" s="48">
        <f t="shared" si="1"/>
        <v>0</v>
      </c>
      <c r="P26" s="140" t="str">
        <f t="shared" si="2"/>
        <v>2000/053Closing stock - Trading stock</v>
      </c>
      <c r="Q26" s="70"/>
      <c r="S26" s="71"/>
      <c r="T26" s="51"/>
      <c r="U26" s="31"/>
    </row>
    <row r="27" spans="1:21" x14ac:dyDescent="0.2">
      <c r="A27" s="238"/>
      <c r="B27" s="56" t="s">
        <v>299</v>
      </c>
      <c r="C27" s="244" t="s">
        <v>298</v>
      </c>
      <c r="D27" s="251"/>
      <c r="E27" s="251"/>
      <c r="F27" s="132"/>
      <c r="G27" s="132"/>
      <c r="H27" s="132"/>
      <c r="I27" s="79"/>
      <c r="J27" s="198">
        <f>SUMIF(Journals!D$14:D$920,TrialBalance!P27,Journals!J$14:J$920)+SUMIF(Journals!E$14:E$920,TrialBalance!P27,Journals!J$14:J$920)</f>
        <v>0</v>
      </c>
      <c r="K27" s="253"/>
      <c r="L27" s="255">
        <f t="shared" si="6"/>
        <v>0</v>
      </c>
      <c r="M27" s="75"/>
      <c r="N27" s="48">
        <f t="shared" si="1"/>
        <v>0</v>
      </c>
      <c r="P27" s="140" t="str">
        <f t="shared" si="2"/>
        <v>2050/000OTHER OPERATING INCOME</v>
      </c>
      <c r="Q27" s="70"/>
      <c r="S27" s="71"/>
      <c r="T27" s="51"/>
      <c r="U27" s="31"/>
    </row>
    <row r="28" spans="1:21" x14ac:dyDescent="0.2">
      <c r="A28" s="238"/>
      <c r="B28" s="56" t="s">
        <v>300</v>
      </c>
      <c r="C28" s="241" t="str">
        <f>IF(Criteria!H13=0,"Insurance claims",IF(Criteria!H14=0,"Insurance claims",CONCATENATE("Insurance claims - ",Criteria!H13)))</f>
        <v>Insurance claims - Financial instruments</v>
      </c>
      <c r="D28" s="251"/>
      <c r="E28" s="251"/>
      <c r="F28" s="132"/>
      <c r="G28" s="132"/>
      <c r="H28" s="132"/>
      <c r="I28" s="79"/>
      <c r="J28" s="198">
        <f>SUMIF(Journals!D$14:D$920,TrialBalance!P28,Journals!J$14:J$920)+SUMIF(Journals!E$14:E$920,TrialBalance!P28,Journals!J$14:J$920)</f>
        <v>0</v>
      </c>
      <c r="K28" s="253"/>
      <c r="L28" s="255">
        <f t="shared" si="6"/>
        <v>0</v>
      </c>
      <c r="M28" s="75"/>
      <c r="N28" s="48">
        <f t="shared" si="1"/>
        <v>0</v>
      </c>
      <c r="P28" s="140" t="str">
        <f t="shared" si="2"/>
        <v>2050/001Insurance claims - Financial instruments</v>
      </c>
      <c r="Q28" s="70"/>
      <c r="S28" s="71"/>
      <c r="T28" s="51"/>
      <c r="U28" s="31"/>
    </row>
    <row r="29" spans="1:21" x14ac:dyDescent="0.2">
      <c r="A29" s="238"/>
      <c r="B29" s="56" t="s">
        <v>301</v>
      </c>
      <c r="C29" s="241" t="s">
        <v>781</v>
      </c>
      <c r="D29" s="251"/>
      <c r="E29" s="251"/>
      <c r="F29" s="132"/>
      <c r="G29" s="132"/>
      <c r="H29" s="132"/>
      <c r="I29" s="79"/>
      <c r="J29" s="198">
        <f>SUMIF(Journals!D$14:D$920,TrialBalance!P29,Journals!J$14:J$920)+SUMIF(Journals!E$14:E$920,TrialBalance!P29,Journals!J$14:J$920)</f>
        <v>0</v>
      </c>
      <c r="K29" s="253"/>
      <c r="L29" s="255">
        <f t="shared" si="6"/>
        <v>0</v>
      </c>
      <c r="M29" s="75"/>
      <c r="N29" s="48">
        <f t="shared" si="1"/>
        <v>0</v>
      </c>
      <c r="P29" s="140" t="str">
        <f t="shared" si="2"/>
        <v>2050/002Government grants received</v>
      </c>
      <c r="Q29" s="70"/>
      <c r="S29" s="71"/>
      <c r="T29" s="51"/>
      <c r="U29" s="31"/>
    </row>
    <row r="30" spans="1:21" x14ac:dyDescent="0.2">
      <c r="A30" s="238"/>
      <c r="B30" s="56" t="s">
        <v>302</v>
      </c>
      <c r="C30" s="243"/>
      <c r="D30" s="251"/>
      <c r="E30" s="251"/>
      <c r="F30" s="132"/>
      <c r="G30" s="132"/>
      <c r="H30" s="132"/>
      <c r="I30" s="79"/>
      <c r="J30" s="198">
        <f>SUMIF(Journals!D$14:D$920,TrialBalance!P30,Journals!J$14:J$920)+SUMIF(Journals!E$14:E$920,TrialBalance!P30,Journals!J$14:J$920)</f>
        <v>0</v>
      </c>
      <c r="K30" s="253"/>
      <c r="L30" s="255">
        <f t="shared" si="6"/>
        <v>0</v>
      </c>
      <c r="M30" s="75"/>
      <c r="N30" s="48">
        <f t="shared" si="1"/>
        <v>0</v>
      </c>
      <c r="P30" s="140" t="str">
        <f t="shared" si="2"/>
        <v>2050/003</v>
      </c>
      <c r="Q30" s="70"/>
      <c r="S30" s="71"/>
      <c r="T30" s="51"/>
      <c r="U30" s="31"/>
    </row>
    <row r="31" spans="1:21" x14ac:dyDescent="0.2">
      <c r="A31" s="238"/>
      <c r="B31" s="56" t="s">
        <v>303</v>
      </c>
      <c r="C31" s="243"/>
      <c r="D31" s="251"/>
      <c r="E31" s="251"/>
      <c r="F31" s="132"/>
      <c r="G31" s="132"/>
      <c r="H31" s="132"/>
      <c r="I31" s="79"/>
      <c r="J31" s="198">
        <f>SUMIF(Journals!D$14:D$920,TrialBalance!P31,Journals!J$14:J$920)+SUMIF(Journals!E$14:E$920,TrialBalance!P31,Journals!J$14:J$920)</f>
        <v>0</v>
      </c>
      <c r="K31" s="253"/>
      <c r="L31" s="255">
        <f t="shared" si="6"/>
        <v>0</v>
      </c>
      <c r="M31" s="75"/>
      <c r="N31" s="48">
        <f t="shared" si="1"/>
        <v>0</v>
      </c>
      <c r="P31" s="140" t="str">
        <f t="shared" si="2"/>
        <v>2050/004</v>
      </c>
      <c r="Q31" s="70"/>
      <c r="S31" s="71"/>
      <c r="T31" s="51"/>
      <c r="U31" s="31"/>
    </row>
    <row r="32" spans="1:21" x14ac:dyDescent="0.2">
      <c r="A32" s="238"/>
      <c r="B32" s="56" t="s">
        <v>304</v>
      </c>
      <c r="C32" s="243"/>
      <c r="D32" s="251"/>
      <c r="E32" s="251"/>
      <c r="F32" s="132"/>
      <c r="G32" s="132"/>
      <c r="H32" s="132"/>
      <c r="I32" s="79"/>
      <c r="J32" s="198">
        <f>SUMIF(Journals!D$14:D$920,TrialBalance!P32,Journals!J$14:J$920)+SUMIF(Journals!E$14:E$920,TrialBalance!P32,Journals!J$14:J$920)</f>
        <v>0</v>
      </c>
      <c r="K32" s="253"/>
      <c r="L32" s="255">
        <f t="shared" si="6"/>
        <v>0</v>
      </c>
      <c r="M32" s="75"/>
      <c r="N32" s="48">
        <f t="shared" si="1"/>
        <v>0</v>
      </c>
      <c r="P32" s="140" t="str">
        <f t="shared" si="2"/>
        <v>2050/005</v>
      </c>
      <c r="Q32" s="70"/>
      <c r="S32" s="71"/>
      <c r="T32" s="51"/>
      <c r="U32" s="31"/>
    </row>
    <row r="33" spans="1:21" x14ac:dyDescent="0.2">
      <c r="A33" s="238"/>
      <c r="B33" s="43" t="s">
        <v>932</v>
      </c>
      <c r="C33" s="241" t="s">
        <v>933</v>
      </c>
      <c r="D33" s="251"/>
      <c r="E33" s="251"/>
      <c r="F33" s="132"/>
      <c r="G33" s="132"/>
      <c r="H33" s="132"/>
      <c r="I33" s="79"/>
      <c r="J33" s="198">
        <f>SUMIF(Journals!D$14:D$920,TrialBalance!P33,Journals!J$14:J$920)+SUMIF(Journals!E$14:E$920,TrialBalance!P33,Journals!J$14:J$920)</f>
        <v>0</v>
      </c>
      <c r="K33" s="253"/>
      <c r="L33" s="255">
        <f t="shared" ref="L33" si="7">ROUND(D33-E33+F33+G33+H33+J33+I33,0)</f>
        <v>0</v>
      </c>
      <c r="M33" s="75"/>
      <c r="N33" s="48">
        <f t="shared" ref="N33" si="8">ROUND(SUM(A33),0)</f>
        <v>0</v>
      </c>
      <c r="P33" s="140" t="str">
        <f t="shared" ref="P33" si="9">CONCATENATE(B33,C33)</f>
        <v>2050/006Recoupment of depreciation</v>
      </c>
      <c r="Q33" s="70"/>
      <c r="S33" s="71"/>
      <c r="T33" s="51"/>
      <c r="U33" s="31"/>
    </row>
    <row r="34" spans="1:21" x14ac:dyDescent="0.2">
      <c r="A34" s="238"/>
      <c r="B34" s="43" t="s">
        <v>624</v>
      </c>
      <c r="C34" s="244" t="s">
        <v>623</v>
      </c>
      <c r="D34" s="251"/>
      <c r="E34" s="251"/>
      <c r="F34" s="132"/>
      <c r="G34" s="132"/>
      <c r="H34" s="132"/>
      <c r="I34" s="79"/>
      <c r="J34" s="198">
        <f>SUMIF(Journals!D$14:D$920,TrialBalance!P34,Journals!J$14:J$920)+SUMIF(Journals!E$14:E$920,TrialBalance!P34,Journals!J$14:J$920)</f>
        <v>0</v>
      </c>
      <c r="K34" s="253"/>
      <c r="L34" s="255">
        <f t="shared" si="6"/>
        <v>0</v>
      </c>
      <c r="M34" s="75"/>
      <c r="N34" s="48">
        <f t="shared" si="1"/>
        <v>0</v>
      </c>
      <c r="P34" s="140" t="str">
        <f t="shared" si="2"/>
        <v>2060/000NET (PROFIT)/LOSS OTHER</v>
      </c>
      <c r="Q34" s="70"/>
      <c r="S34" s="71"/>
      <c r="T34" s="51"/>
      <c r="U34" s="31"/>
    </row>
    <row r="35" spans="1:21" x14ac:dyDescent="0.2">
      <c r="A35" s="238"/>
      <c r="B35" s="43" t="s">
        <v>533</v>
      </c>
      <c r="C35" s="245" t="str">
        <f>CONCATENATE("Net (profit)/loss - ",Criteria!H14)</f>
        <v>Net (profit)/loss - Subsidiary One 111 (Pty) Ltd</v>
      </c>
      <c r="D35" s="251"/>
      <c r="E35" s="251"/>
      <c r="F35" s="132">
        <f>TrialBalanceA!N2</f>
        <v>0</v>
      </c>
      <c r="G35" s="132"/>
      <c r="H35" s="132"/>
      <c r="I35" s="79"/>
      <c r="J35" s="198">
        <f>SUMIF(Journals!D$14:D$920,TrialBalance!P35,Journals!J$14:J$920)+SUMIF(Journals!E$14:E$920,TrialBalance!P35,Journals!J$14:J$920)</f>
        <v>0</v>
      </c>
      <c r="K35" s="253"/>
      <c r="L35" s="255">
        <f t="shared" si="6"/>
        <v>0</v>
      </c>
      <c r="M35" s="75"/>
      <c r="N35" s="48">
        <f t="shared" si="1"/>
        <v>0</v>
      </c>
      <c r="P35" s="140" t="str">
        <f t="shared" si="2"/>
        <v>2060/001Net (profit)/loss - Subsidiary One 111 (Pty) Ltd</v>
      </c>
      <c r="Q35" s="70"/>
      <c r="S35" s="71"/>
      <c r="T35" s="51"/>
      <c r="U35" s="31"/>
    </row>
    <row r="36" spans="1:21" x14ac:dyDescent="0.2">
      <c r="A36" s="238"/>
      <c r="B36" s="43" t="s">
        <v>534</v>
      </c>
      <c r="C36" s="245" t="str">
        <f>CONCATENATE("Net (profit)/loss - ",Criteria!H15)</f>
        <v>Net (profit)/loss - Subsidiary Two 15 (Pty) Ltd</v>
      </c>
      <c r="D36" s="251"/>
      <c r="E36" s="251"/>
      <c r="F36" s="132"/>
      <c r="G36" s="132">
        <f>TrialBalanceB!N2</f>
        <v>0</v>
      </c>
      <c r="H36" s="132"/>
      <c r="I36" s="79"/>
      <c r="J36" s="198">
        <f>SUMIF(Journals!D$14:D$920,TrialBalance!P36,Journals!J$14:J$920)+SUMIF(Journals!E$14:E$920,TrialBalance!P36,Journals!J$14:J$920)</f>
        <v>0</v>
      </c>
      <c r="K36" s="253"/>
      <c r="L36" s="255">
        <f t="shared" si="6"/>
        <v>0</v>
      </c>
      <c r="M36" s="75"/>
      <c r="N36" s="48">
        <f t="shared" si="1"/>
        <v>0</v>
      </c>
      <c r="P36" s="140" t="str">
        <f t="shared" si="2"/>
        <v>2060/002Net (profit)/loss - Subsidiary Two 15 (Pty) Ltd</v>
      </c>
      <c r="Q36" s="70"/>
      <c r="S36" s="71"/>
      <c r="T36" s="51"/>
      <c r="U36" s="31"/>
    </row>
    <row r="37" spans="1:21" x14ac:dyDescent="0.2">
      <c r="A37" s="238"/>
      <c r="B37" s="43" t="s">
        <v>535</v>
      </c>
      <c r="C37" s="245" t="str">
        <f>CONCATENATE("Net (profit)/loss - ",Criteria!H16)</f>
        <v xml:space="preserve">Net (profit)/loss - </v>
      </c>
      <c r="D37" s="251"/>
      <c r="E37" s="251"/>
      <c r="F37" s="132"/>
      <c r="G37" s="132"/>
      <c r="H37" s="132">
        <f>TrialBalanceC!N2</f>
        <v>0</v>
      </c>
      <c r="I37" s="79"/>
      <c r="J37" s="198">
        <f>SUMIF(Journals!D$14:D$920,TrialBalance!P37,Journals!J$14:J$920)+SUMIF(Journals!E$14:E$920,TrialBalance!P37,Journals!J$14:J$920)</f>
        <v>0</v>
      </c>
      <c r="K37" s="253"/>
      <c r="L37" s="255">
        <f t="shared" si="6"/>
        <v>0</v>
      </c>
      <c r="M37" s="75"/>
      <c r="N37" s="48">
        <f t="shared" si="1"/>
        <v>0</v>
      </c>
      <c r="P37" s="140" t="str">
        <f t="shared" si="2"/>
        <v xml:space="preserve">2060/003Net (profit)/loss - </v>
      </c>
      <c r="Q37" s="70"/>
      <c r="S37" s="71"/>
      <c r="T37" s="51"/>
      <c r="U37" s="31"/>
    </row>
    <row r="38" spans="1:21" x14ac:dyDescent="0.2">
      <c r="A38" s="238"/>
      <c r="B38" s="43" t="s">
        <v>536</v>
      </c>
      <c r="C38" s="246"/>
      <c r="D38" s="251"/>
      <c r="E38" s="251"/>
      <c r="F38" s="132"/>
      <c r="G38" s="132"/>
      <c r="H38" s="132"/>
      <c r="I38" s="79"/>
      <c r="J38" s="198">
        <f>SUMIF(Journals!D$14:D$920,TrialBalance!P38,Journals!J$14:J$920)+SUMIF(Journals!E$14:E$920,TrialBalance!P38,Journals!J$14:J$920)</f>
        <v>0</v>
      </c>
      <c r="K38" s="253"/>
      <c r="L38" s="255">
        <f t="shared" si="6"/>
        <v>0</v>
      </c>
      <c r="M38" s="75"/>
      <c r="N38" s="48">
        <f t="shared" si="1"/>
        <v>0</v>
      </c>
      <c r="P38" s="140" t="str">
        <f t="shared" si="2"/>
        <v>2060/004</v>
      </c>
      <c r="Q38" s="70"/>
      <c r="S38" s="71"/>
      <c r="T38" s="51"/>
      <c r="U38" s="31"/>
    </row>
    <row r="39" spans="1:21" x14ac:dyDescent="0.2">
      <c r="A39" s="238"/>
      <c r="B39" s="54" t="s">
        <v>382</v>
      </c>
      <c r="C39" s="239" t="s">
        <v>872</v>
      </c>
      <c r="D39" s="250"/>
      <c r="E39" s="251"/>
      <c r="F39" s="132"/>
      <c r="G39" s="132"/>
      <c r="H39" s="132"/>
      <c r="I39" s="79"/>
      <c r="J39" s="198">
        <f>SUMIF(Journals!D$14:D$920,TrialBalance!P39,Journals!J$14:J$920)+SUMIF(Journals!E$14:E$920,TrialBalance!P39,Journals!J$14:J$920)</f>
        <v>0</v>
      </c>
      <c r="K39" s="253"/>
      <c r="L39" s="255">
        <f t="shared" si="6"/>
        <v>0</v>
      </c>
      <c r="M39" s="75"/>
      <c r="N39" s="48">
        <f t="shared" si="1"/>
        <v>0</v>
      </c>
      <c r="P39" s="140" t="str">
        <f t="shared" si="2"/>
        <v>2100/000OPERATING EXPENSES</v>
      </c>
      <c r="Q39" s="70"/>
      <c r="S39" s="71"/>
      <c r="T39" s="51"/>
      <c r="U39" s="31"/>
    </row>
    <row r="40" spans="1:21" x14ac:dyDescent="0.2">
      <c r="A40" s="238"/>
      <c r="B40" s="54" t="s">
        <v>383</v>
      </c>
      <c r="C40" s="240" t="s">
        <v>250</v>
      </c>
      <c r="D40" s="250"/>
      <c r="E40" s="251"/>
      <c r="F40" s="132"/>
      <c r="G40" s="132"/>
      <c r="H40" s="132"/>
      <c r="I40" s="79"/>
      <c r="J40" s="198">
        <f>SUMIF(Journals!D$14:D$920,TrialBalance!P40,Journals!J$14:J$920)+SUMIF(Journals!E$14:E$920,TrialBalance!P40,Journals!J$14:J$920)</f>
        <v>0</v>
      </c>
      <c r="K40" s="254" t="s">
        <v>547</v>
      </c>
      <c r="L40" s="255">
        <f t="shared" si="6"/>
        <v>0</v>
      </c>
      <c r="M40" s="75"/>
      <c r="N40" s="48">
        <f t="shared" si="1"/>
        <v>0</v>
      </c>
      <c r="P40" s="140" t="str">
        <f t="shared" si="2"/>
        <v>2100/001Advertising</v>
      </c>
      <c r="Q40" s="70"/>
      <c r="S40" s="71"/>
      <c r="T40" s="51"/>
      <c r="U40" s="31"/>
    </row>
    <row r="41" spans="1:21" x14ac:dyDescent="0.2">
      <c r="A41" s="238"/>
      <c r="B41" s="54" t="s">
        <v>384</v>
      </c>
      <c r="C41" s="242" t="s">
        <v>657</v>
      </c>
      <c r="D41" s="250"/>
      <c r="E41" s="251"/>
      <c r="F41" s="132"/>
      <c r="G41" s="132"/>
      <c r="H41" s="132"/>
      <c r="I41" s="79"/>
      <c r="J41" s="198">
        <f>SUMIF(Journals!D$14:D$920,TrialBalance!P41,Journals!J$14:J$920)+SUMIF(Journals!E$14:E$920,TrialBalance!P41,Journals!J$14:J$920)</f>
        <v>0</v>
      </c>
      <c r="K41" s="253"/>
      <c r="L41" s="255">
        <f t="shared" si="6"/>
        <v>0</v>
      </c>
      <c r="M41" s="75"/>
      <c r="N41" s="48">
        <f t="shared" si="1"/>
        <v>0</v>
      </c>
      <c r="P41" s="140" t="str">
        <f t="shared" si="2"/>
        <v>2100/010Assets less than R7,000</v>
      </c>
      <c r="Q41" s="70"/>
      <c r="S41" s="71"/>
      <c r="T41" s="51"/>
      <c r="U41" s="31"/>
    </row>
    <row r="42" spans="1:21" x14ac:dyDescent="0.2">
      <c r="A42" s="238"/>
      <c r="B42" s="54" t="s">
        <v>385</v>
      </c>
      <c r="C42" s="240" t="s">
        <v>251</v>
      </c>
      <c r="D42" s="250"/>
      <c r="E42" s="251"/>
      <c r="F42" s="132"/>
      <c r="G42" s="132"/>
      <c r="H42" s="132"/>
      <c r="I42" s="79"/>
      <c r="J42" s="198">
        <f>SUMIF(Journals!D$14:D$920,TrialBalance!P42,Journals!J$14:J$920)+SUMIF(Journals!E$14:E$920,TrialBalance!P42,Journals!J$14:J$920)</f>
        <v>0</v>
      </c>
      <c r="K42" s="253"/>
      <c r="L42" s="255">
        <f t="shared" si="6"/>
        <v>0</v>
      </c>
      <c r="M42" s="75"/>
      <c r="N42" s="48">
        <f t="shared" si="1"/>
        <v>0</v>
      </c>
      <c r="P42" s="140" t="str">
        <f t="shared" ref="P42:P74" si="10">CONCATENATE(B42,C42)</f>
        <v>2100/020Consumables</v>
      </c>
      <c r="Q42" s="70"/>
      <c r="S42" s="71"/>
      <c r="T42" s="51"/>
      <c r="U42" s="31"/>
    </row>
    <row r="43" spans="1:21" x14ac:dyDescent="0.2">
      <c r="A43" s="238"/>
      <c r="B43" s="54" t="s">
        <v>386</v>
      </c>
      <c r="C43" s="239" t="s">
        <v>571</v>
      </c>
      <c r="D43" s="250"/>
      <c r="E43" s="251"/>
      <c r="F43" s="132"/>
      <c r="G43" s="132"/>
      <c r="H43" s="132"/>
      <c r="I43" s="79"/>
      <c r="J43" s="198">
        <f>SUMIF(Journals!D$14:D$920,TrialBalance!P43,Journals!J$14:J$920)+SUMIF(Journals!E$14:E$920,TrialBalance!P43,Journals!J$14:J$920)</f>
        <v>0</v>
      </c>
      <c r="K43" s="253"/>
      <c r="L43" s="255">
        <f t="shared" si="6"/>
        <v>0</v>
      </c>
      <c r="M43" s="75"/>
      <c r="N43" s="48">
        <f t="shared" si="1"/>
        <v>0</v>
      </c>
      <c r="P43" s="140" t="str">
        <f t="shared" si="10"/>
        <v>2100/030Depreciation---------------------------------</v>
      </c>
      <c r="Q43" s="70"/>
      <c r="S43" s="71"/>
      <c r="T43" s="51"/>
      <c r="U43" s="31"/>
    </row>
    <row r="44" spans="1:21" x14ac:dyDescent="0.2">
      <c r="A44" s="238"/>
      <c r="B44" s="54" t="s">
        <v>388</v>
      </c>
      <c r="C44" s="242" t="s">
        <v>974</v>
      </c>
      <c r="D44" s="250"/>
      <c r="E44" s="251"/>
      <c r="F44" s="132"/>
      <c r="G44" s="132"/>
      <c r="H44" s="132"/>
      <c r="I44" s="79"/>
      <c r="J44" s="198">
        <f>SUMIF(Journals!D$14:D$920,TrialBalance!P44,Journals!J$14:J$920)+SUMIF(Journals!E$14:E$920,TrialBalance!P44,Journals!J$14:J$920)</f>
        <v>0</v>
      </c>
      <c r="K44" s="253"/>
      <c r="L44" s="255">
        <f t="shared" si="6"/>
        <v>0</v>
      </c>
      <c r="M44" s="75"/>
      <c r="N44" s="48">
        <f t="shared" si="1"/>
        <v>0</v>
      </c>
      <c r="P44" s="140" t="str">
        <f t="shared" si="10"/>
        <v>2100/031Depr - Property</v>
      </c>
      <c r="Q44" s="70"/>
      <c r="S44" s="71"/>
      <c r="T44" s="51"/>
      <c r="U44" s="31"/>
    </row>
    <row r="45" spans="1:21" x14ac:dyDescent="0.2">
      <c r="A45" s="238"/>
      <c r="B45" s="54" t="s">
        <v>389</v>
      </c>
      <c r="C45" s="242" t="s">
        <v>710</v>
      </c>
      <c r="D45" s="250"/>
      <c r="E45" s="251"/>
      <c r="F45" s="132"/>
      <c r="G45" s="132"/>
      <c r="H45" s="132"/>
      <c r="I45" s="79"/>
      <c r="J45" s="198">
        <f>SUMIF(Journals!D$14:D$920,TrialBalance!P45,Journals!J$14:J$920)+SUMIF(Journals!E$14:E$920,TrialBalance!P45,Journals!J$14:J$920)</f>
        <v>0</v>
      </c>
      <c r="K45" s="253"/>
      <c r="L45" s="255">
        <f t="shared" si="6"/>
        <v>0</v>
      </c>
      <c r="M45" s="75"/>
      <c r="N45" s="48">
        <f t="shared" si="1"/>
        <v>0</v>
      </c>
      <c r="P45" s="140" t="str">
        <f t="shared" si="10"/>
        <v>2100/032Depr - Plant and machinery</v>
      </c>
      <c r="Q45" s="70"/>
      <c r="S45" s="71"/>
      <c r="T45" s="51"/>
      <c r="U45" s="31"/>
    </row>
    <row r="46" spans="1:21" x14ac:dyDescent="0.2">
      <c r="A46" s="238"/>
      <c r="B46" s="54" t="s">
        <v>46</v>
      </c>
      <c r="C46" s="240" t="s">
        <v>47</v>
      </c>
      <c r="D46" s="250"/>
      <c r="E46" s="251"/>
      <c r="F46" s="132"/>
      <c r="G46" s="132"/>
      <c r="H46" s="132"/>
      <c r="I46" s="79"/>
      <c r="J46" s="198">
        <f>SUMIF(Journals!D$14:D$920,TrialBalance!P46,Journals!J$14:J$920)+SUMIF(Journals!E$14:E$920,TrialBalance!P46,Journals!J$14:J$920)</f>
        <v>0</v>
      </c>
      <c r="K46" s="253"/>
      <c r="L46" s="255">
        <f t="shared" si="6"/>
        <v>0</v>
      </c>
      <c r="M46" s="75"/>
      <c r="N46" s="48">
        <f t="shared" si="1"/>
        <v>0</v>
      </c>
      <c r="P46" s="140" t="str">
        <f t="shared" si="10"/>
        <v>2100/033Depr - Motor vehicles</v>
      </c>
      <c r="Q46" s="70"/>
      <c r="S46" s="71"/>
      <c r="T46" s="51"/>
      <c r="U46" s="31"/>
    </row>
    <row r="47" spans="1:21" x14ac:dyDescent="0.2">
      <c r="A47" s="238"/>
      <c r="B47" s="54" t="s">
        <v>49</v>
      </c>
      <c r="C47" s="240" t="s">
        <v>50</v>
      </c>
      <c r="D47" s="250"/>
      <c r="E47" s="251"/>
      <c r="F47" s="132"/>
      <c r="G47" s="132"/>
      <c r="H47" s="132"/>
      <c r="I47" s="79"/>
      <c r="J47" s="198">
        <f>SUMIF(Journals!D$14:D$920,TrialBalance!P47,Journals!J$14:J$920)+SUMIF(Journals!E$14:E$920,TrialBalance!P47,Journals!J$14:J$920)</f>
        <v>0</v>
      </c>
      <c r="K47" s="253"/>
      <c r="L47" s="255">
        <f t="shared" si="6"/>
        <v>0</v>
      </c>
      <c r="M47" s="75"/>
      <c r="N47" s="48">
        <f t="shared" si="1"/>
        <v>0</v>
      </c>
      <c r="P47" s="140" t="str">
        <f t="shared" si="10"/>
        <v>2100/040Discounts allowed</v>
      </c>
      <c r="Q47" s="70"/>
      <c r="S47" s="71"/>
      <c r="T47" s="51"/>
      <c r="U47" s="31"/>
    </row>
    <row r="48" spans="1:21" x14ac:dyDescent="0.2">
      <c r="A48" s="238"/>
      <c r="B48" s="54" t="s">
        <v>51</v>
      </c>
      <c r="C48" s="242" t="s">
        <v>678</v>
      </c>
      <c r="D48" s="250"/>
      <c r="E48" s="251"/>
      <c r="F48" s="132"/>
      <c r="G48" s="132"/>
      <c r="H48" s="132"/>
      <c r="I48" s="79"/>
      <c r="J48" s="198">
        <f>SUMIF(Journals!D$14:D$920,TrialBalance!P48,Journals!J$14:J$920)+SUMIF(Journals!E$14:E$920,TrialBalance!P48,Journals!J$14:J$920)</f>
        <v>0</v>
      </c>
      <c r="K48" s="253"/>
      <c r="L48" s="255">
        <f t="shared" si="6"/>
        <v>0</v>
      </c>
      <c r="M48" s="75"/>
      <c r="N48" s="48">
        <f t="shared" si="1"/>
        <v>0</v>
      </c>
      <c r="P48" s="140" t="str">
        <f t="shared" si="10"/>
        <v>2100/050Electricity and water</v>
      </c>
      <c r="Q48" s="70"/>
      <c r="S48" s="71"/>
      <c r="T48" s="51"/>
      <c r="U48" s="31"/>
    </row>
    <row r="49" spans="1:21" x14ac:dyDescent="0.2">
      <c r="A49" s="238"/>
      <c r="B49" s="54" t="s">
        <v>52</v>
      </c>
      <c r="C49" s="240" t="s">
        <v>54</v>
      </c>
      <c r="D49" s="250"/>
      <c r="E49" s="251"/>
      <c r="F49" s="132"/>
      <c r="G49" s="132"/>
      <c r="H49" s="132"/>
      <c r="I49" s="79"/>
      <c r="J49" s="198">
        <f>SUMIF(Journals!D$14:D$920,TrialBalance!P49,Journals!J$14:J$920)+SUMIF(Journals!E$14:E$920,TrialBalance!P49,Journals!J$14:J$920)</f>
        <v>0</v>
      </c>
      <c r="K49" s="253"/>
      <c r="L49" s="255">
        <f t="shared" si="6"/>
        <v>0</v>
      </c>
      <c r="M49" s="75"/>
      <c r="N49" s="48">
        <f t="shared" si="1"/>
        <v>0</v>
      </c>
      <c r="P49" s="140" t="str">
        <f t="shared" si="10"/>
        <v>2100/055Equipment lease</v>
      </c>
      <c r="Q49" s="70"/>
      <c r="S49" s="71"/>
      <c r="T49" s="51"/>
      <c r="U49" s="31"/>
    </row>
    <row r="50" spans="1:21" x14ac:dyDescent="0.2">
      <c r="A50" s="238"/>
      <c r="B50" s="54" t="s">
        <v>55</v>
      </c>
      <c r="C50" s="240" t="s">
        <v>253</v>
      </c>
      <c r="D50" s="250"/>
      <c r="E50" s="251"/>
      <c r="F50" s="132"/>
      <c r="G50" s="132"/>
      <c r="H50" s="132"/>
      <c r="I50" s="79"/>
      <c r="J50" s="198">
        <f>SUMIF(Journals!D$14:D$920,TrialBalance!P50,Journals!J$14:J$920)+SUMIF(Journals!E$14:E$920,TrialBalance!P50,Journals!J$14:J$920)</f>
        <v>0</v>
      </c>
      <c r="K50" s="254" t="s">
        <v>547</v>
      </c>
      <c r="L50" s="255">
        <f t="shared" si="6"/>
        <v>0</v>
      </c>
      <c r="M50" s="75"/>
      <c r="N50" s="48">
        <f t="shared" si="1"/>
        <v>0</v>
      </c>
      <c r="P50" s="140" t="str">
        <f t="shared" si="10"/>
        <v>2100/060Insurance</v>
      </c>
      <c r="Q50" s="70"/>
      <c r="S50" s="51"/>
      <c r="T50" s="51"/>
      <c r="U50" s="31"/>
    </row>
    <row r="51" spans="1:21" x14ac:dyDescent="0.2">
      <c r="A51" s="238"/>
      <c r="B51" s="54" t="s">
        <v>419</v>
      </c>
      <c r="C51" s="240" t="s">
        <v>156</v>
      </c>
      <c r="D51" s="250"/>
      <c r="E51" s="251"/>
      <c r="F51" s="132"/>
      <c r="G51" s="132"/>
      <c r="H51" s="132"/>
      <c r="I51" s="79"/>
      <c r="J51" s="198">
        <f>SUMIF(Journals!D$14:D$920,TrialBalance!P51,Journals!J$14:J$920)+SUMIF(Journals!E$14:E$920,TrialBalance!P51,Journals!J$14:J$920)</f>
        <v>0</v>
      </c>
      <c r="K51" s="253"/>
      <c r="L51" s="255">
        <f t="shared" si="6"/>
        <v>0</v>
      </c>
      <c r="M51" s="75"/>
      <c r="N51" s="48">
        <f t="shared" si="1"/>
        <v>0</v>
      </c>
      <c r="P51" s="140" t="str">
        <f t="shared" si="10"/>
        <v>2100/071Levies - SDL</v>
      </c>
      <c r="Q51" s="70"/>
      <c r="S51" s="71"/>
      <c r="T51" s="51"/>
      <c r="U51" s="31"/>
    </row>
    <row r="52" spans="1:21" x14ac:dyDescent="0.2">
      <c r="A52" s="238"/>
      <c r="B52" s="54" t="s">
        <v>157</v>
      </c>
      <c r="C52" s="240" t="s">
        <v>158</v>
      </c>
      <c r="D52" s="250"/>
      <c r="E52" s="251"/>
      <c r="F52" s="132"/>
      <c r="G52" s="132"/>
      <c r="H52" s="132"/>
      <c r="I52" s="79"/>
      <c r="J52" s="198">
        <f>SUMIF(Journals!D$14:D$920,TrialBalance!P52,Journals!J$14:J$920)+SUMIF(Journals!E$14:E$920,TrialBalance!P52,Journals!J$14:J$920)</f>
        <v>0</v>
      </c>
      <c r="K52" s="253"/>
      <c r="L52" s="255">
        <f t="shared" si="6"/>
        <v>0</v>
      </c>
      <c r="M52" s="75"/>
      <c r="N52" s="48">
        <f t="shared" si="1"/>
        <v>0</v>
      </c>
      <c r="P52" s="140" t="str">
        <f t="shared" si="10"/>
        <v>2100/072Levies - other</v>
      </c>
      <c r="Q52" s="70"/>
      <c r="S52" s="71"/>
      <c r="T52" s="51"/>
      <c r="U52" s="31"/>
    </row>
    <row r="53" spans="1:21" x14ac:dyDescent="0.2">
      <c r="A53" s="238"/>
      <c r="B53" s="54" t="s">
        <v>159</v>
      </c>
      <c r="C53" s="246" t="s">
        <v>332</v>
      </c>
      <c r="D53" s="251"/>
      <c r="E53" s="251"/>
      <c r="F53" s="132"/>
      <c r="G53" s="132"/>
      <c r="H53" s="132"/>
      <c r="I53" s="79"/>
      <c r="J53" s="198">
        <f>SUMIF(Journals!D$14:D$920,TrialBalance!P53,Journals!J$14:J$920)+SUMIF(Journals!E$14:E$920,TrialBalance!P53,Journals!J$14:J$920)</f>
        <v>0</v>
      </c>
      <c r="K53" s="253"/>
      <c r="L53" s="255">
        <f t="shared" si="6"/>
        <v>0</v>
      </c>
      <c r="M53" s="75"/>
      <c r="N53" s="48">
        <f t="shared" si="1"/>
        <v>0</v>
      </c>
      <c r="P53" s="140" t="str">
        <f t="shared" si="10"/>
        <v>2100/080Trade licenses</v>
      </c>
      <c r="Q53" s="70"/>
      <c r="S53" s="71"/>
      <c r="T53" s="51"/>
      <c r="U53" s="31"/>
    </row>
    <row r="54" spans="1:21" x14ac:dyDescent="0.2">
      <c r="A54" s="238"/>
      <c r="B54" s="54" t="s">
        <v>160</v>
      </c>
      <c r="C54" s="239" t="s">
        <v>161</v>
      </c>
      <c r="D54" s="250"/>
      <c r="E54" s="251"/>
      <c r="F54" s="132"/>
      <c r="G54" s="132"/>
      <c r="H54" s="132"/>
      <c r="I54" s="79"/>
      <c r="J54" s="198">
        <f>SUMIF(Journals!D$14:D$920,TrialBalance!P54,Journals!J$14:J$920)+SUMIF(Journals!E$14:E$920,TrialBalance!P54,Journals!J$14:J$920)</f>
        <v>0</v>
      </c>
      <c r="K54" s="253"/>
      <c r="L54" s="255">
        <f t="shared" si="6"/>
        <v>0</v>
      </c>
      <c r="M54" s="75"/>
      <c r="N54" s="48">
        <f t="shared" si="1"/>
        <v>0</v>
      </c>
      <c r="P54" s="140" t="str">
        <f t="shared" si="10"/>
        <v>2100/090Motor vehicle expenses------------------</v>
      </c>
      <c r="Q54" s="70"/>
      <c r="S54" s="71"/>
      <c r="T54" s="51"/>
      <c r="U54" s="31"/>
    </row>
    <row r="55" spans="1:21" x14ac:dyDescent="0.2">
      <c r="A55" s="238"/>
      <c r="B55" s="54" t="s">
        <v>162</v>
      </c>
      <c r="C55" s="240" t="s">
        <v>163</v>
      </c>
      <c r="D55" s="250"/>
      <c r="E55" s="251"/>
      <c r="F55" s="132"/>
      <c r="G55" s="132"/>
      <c r="H55" s="132"/>
      <c r="I55" s="79"/>
      <c r="J55" s="198">
        <f>SUMIF(Journals!D$14:D$920,TrialBalance!P55,Journals!J$14:J$920)+SUMIF(Journals!E$14:E$920,TrialBalance!P55,Journals!J$14:J$920)</f>
        <v>0</v>
      </c>
      <c r="K55" s="253"/>
      <c r="L55" s="255">
        <f t="shared" si="6"/>
        <v>0</v>
      </c>
      <c r="M55" s="75"/>
      <c r="N55" s="48">
        <f t="shared" si="1"/>
        <v>0</v>
      </c>
      <c r="P55" s="140" t="str">
        <f t="shared" si="10"/>
        <v>2100/091Motor vehicle expenses - Petrol and oil</v>
      </c>
      <c r="Q55" s="70"/>
      <c r="S55" s="71"/>
      <c r="T55" s="51"/>
      <c r="U55" s="31"/>
    </row>
    <row r="56" spans="1:21" x14ac:dyDescent="0.2">
      <c r="A56" s="238"/>
      <c r="B56" s="54" t="s">
        <v>164</v>
      </c>
      <c r="C56" s="240" t="s">
        <v>165</v>
      </c>
      <c r="D56" s="250"/>
      <c r="E56" s="251"/>
      <c r="F56" s="132"/>
      <c r="G56" s="132"/>
      <c r="H56" s="132"/>
      <c r="I56" s="79"/>
      <c r="J56" s="198">
        <f>SUMIF(Journals!D$14:D$920,TrialBalance!P56,Journals!J$14:J$920)+SUMIF(Journals!E$14:E$920,TrialBalance!P56,Journals!J$14:J$920)</f>
        <v>0</v>
      </c>
      <c r="K56" s="253"/>
      <c r="L56" s="255">
        <f t="shared" si="6"/>
        <v>0</v>
      </c>
      <c r="M56" s="75"/>
      <c r="N56" s="48">
        <f t="shared" si="1"/>
        <v>0</v>
      </c>
      <c r="P56" s="140" t="str">
        <f t="shared" si="10"/>
        <v>2100/092Motor vehicle expenses - R&amp;M</v>
      </c>
      <c r="Q56" s="70"/>
      <c r="S56" s="71"/>
      <c r="T56" s="51"/>
      <c r="U56" s="31"/>
    </row>
    <row r="57" spans="1:21" x14ac:dyDescent="0.2">
      <c r="A57" s="238"/>
      <c r="B57" s="54" t="s">
        <v>166</v>
      </c>
      <c r="C57" s="240" t="s">
        <v>167</v>
      </c>
      <c r="D57" s="250"/>
      <c r="E57" s="251"/>
      <c r="F57" s="132"/>
      <c r="G57" s="132"/>
      <c r="H57" s="132"/>
      <c r="I57" s="79"/>
      <c r="J57" s="198">
        <f>SUMIF(Journals!D$14:D$920,TrialBalance!P57,Journals!J$14:J$920)+SUMIF(Journals!E$14:E$920,TrialBalance!P57,Journals!J$14:J$920)</f>
        <v>0</v>
      </c>
      <c r="K57" s="253"/>
      <c r="L57" s="255">
        <f t="shared" si="6"/>
        <v>0</v>
      </c>
      <c r="M57" s="75"/>
      <c r="N57" s="48">
        <f t="shared" si="1"/>
        <v>0</v>
      </c>
      <c r="P57" s="140" t="str">
        <f t="shared" si="10"/>
        <v>2100/093Motor vehicle expenses - Insurance</v>
      </c>
      <c r="Q57" s="70"/>
      <c r="S57" s="71"/>
      <c r="T57" s="51"/>
      <c r="U57" s="31"/>
    </row>
    <row r="58" spans="1:21" x14ac:dyDescent="0.2">
      <c r="A58" s="238"/>
      <c r="B58" s="54" t="s">
        <v>168</v>
      </c>
      <c r="C58" s="241" t="s">
        <v>711</v>
      </c>
      <c r="D58" s="250"/>
      <c r="E58" s="251"/>
      <c r="F58" s="132"/>
      <c r="G58" s="132"/>
      <c r="H58" s="132"/>
      <c r="I58" s="79"/>
      <c r="J58" s="198">
        <f>SUMIF(Journals!D$14:D$920,TrialBalance!P58,Journals!J$14:J$920)+SUMIF(Journals!E$14:E$920,TrialBalance!P58,Journals!J$14:J$920)</f>
        <v>0</v>
      </c>
      <c r="K58" s="253"/>
      <c r="L58" s="255">
        <f t="shared" si="6"/>
        <v>0</v>
      </c>
      <c r="M58" s="75"/>
      <c r="N58" s="48">
        <f t="shared" si="1"/>
        <v>0</v>
      </c>
      <c r="P58" s="140" t="str">
        <f t="shared" si="10"/>
        <v>2100/094Motor vehicle expenses - Licenses</v>
      </c>
      <c r="Q58" s="70"/>
      <c r="S58" s="71"/>
      <c r="T58" s="51"/>
      <c r="U58" s="31"/>
    </row>
    <row r="59" spans="1:21" x14ac:dyDescent="0.2">
      <c r="A59" s="238"/>
      <c r="B59" s="54" t="s">
        <v>169</v>
      </c>
      <c r="C59" s="242" t="s">
        <v>712</v>
      </c>
      <c r="D59" s="250"/>
      <c r="E59" s="251"/>
      <c r="F59" s="132"/>
      <c r="G59" s="132"/>
      <c r="H59" s="132"/>
      <c r="I59" s="79"/>
      <c r="J59" s="198">
        <f>SUMIF(Journals!D$14:D$920,TrialBalance!P59,Journals!J$14:J$920)+SUMIF(Journals!E$14:E$920,TrialBalance!P59,Journals!J$14:J$920)</f>
        <v>0</v>
      </c>
      <c r="K59" s="253"/>
      <c r="L59" s="255">
        <f t="shared" si="6"/>
        <v>0</v>
      </c>
      <c r="M59" s="75"/>
      <c r="N59" s="48">
        <f t="shared" si="1"/>
        <v>0</v>
      </c>
      <c r="P59" s="140" t="str">
        <f t="shared" si="10"/>
        <v>2100/095Motor vehicle expenses - General</v>
      </c>
      <c r="Q59" s="70"/>
      <c r="S59" s="71"/>
      <c r="T59" s="51"/>
      <c r="U59" s="31"/>
    </row>
    <row r="60" spans="1:21" x14ac:dyDescent="0.2">
      <c r="A60" s="238"/>
      <c r="B60" s="54" t="s">
        <v>170</v>
      </c>
      <c r="C60" s="239" t="s">
        <v>572</v>
      </c>
      <c r="D60" s="250"/>
      <c r="E60" s="251"/>
      <c r="F60" s="132"/>
      <c r="G60" s="132"/>
      <c r="H60" s="132"/>
      <c r="I60" s="79"/>
      <c r="J60" s="198">
        <f>SUMIF(Journals!D$14:D$920,TrialBalance!P60,Journals!J$14:J$920)+SUMIF(Journals!E$14:E$920,TrialBalance!P60,Journals!J$14:J$920)</f>
        <v>0</v>
      </c>
      <c r="K60" s="253"/>
      <c r="L60" s="255">
        <f t="shared" si="6"/>
        <v>0</v>
      </c>
      <c r="M60" s="75"/>
      <c r="N60" s="48">
        <f t="shared" si="1"/>
        <v>0</v>
      </c>
      <c r="P60" s="140" t="str">
        <f t="shared" si="10"/>
        <v>2100/100Rent paid-------------------------------------</v>
      </c>
      <c r="Q60" s="70"/>
      <c r="S60" s="71"/>
      <c r="T60" s="51"/>
      <c r="U60" s="31"/>
    </row>
    <row r="61" spans="1:21" x14ac:dyDescent="0.2">
      <c r="A61" s="238"/>
      <c r="B61" s="54" t="s">
        <v>172</v>
      </c>
      <c r="C61" s="243" t="s">
        <v>790</v>
      </c>
      <c r="D61" s="250"/>
      <c r="E61" s="251"/>
      <c r="F61" s="132"/>
      <c r="G61" s="132"/>
      <c r="H61" s="132"/>
      <c r="I61" s="79"/>
      <c r="J61" s="198">
        <f>SUMIF(Journals!D$14:D$920,TrialBalance!P61,Journals!J$14:J$920)+SUMIF(Journals!E$14:E$920,TrialBalance!P61,Journals!J$14:J$920)</f>
        <v>0</v>
      </c>
      <c r="K61" s="253"/>
      <c r="L61" s="255">
        <f t="shared" si="6"/>
        <v>0</v>
      </c>
      <c r="M61" s="75"/>
      <c r="N61" s="48">
        <f t="shared" si="1"/>
        <v>0</v>
      </c>
      <c r="P61" s="140" t="str">
        <f t="shared" si="10"/>
        <v>2100/101Premises</v>
      </c>
      <c r="Q61" s="70"/>
      <c r="S61" s="71"/>
      <c r="T61" s="51"/>
      <c r="U61" s="31"/>
    </row>
    <row r="62" spans="1:21" x14ac:dyDescent="0.2">
      <c r="A62" s="238"/>
      <c r="B62" s="54" t="s">
        <v>173</v>
      </c>
      <c r="C62" s="243"/>
      <c r="D62" s="250"/>
      <c r="E62" s="251"/>
      <c r="F62" s="132"/>
      <c r="G62" s="132"/>
      <c r="H62" s="132"/>
      <c r="I62" s="79"/>
      <c r="J62" s="198">
        <f>SUMIF(Journals!D$14:D$920,TrialBalance!P62,Journals!J$14:J$920)+SUMIF(Journals!E$14:E$920,TrialBalance!P62,Journals!J$14:J$920)</f>
        <v>0</v>
      </c>
      <c r="K62" s="253"/>
      <c r="L62" s="255">
        <f t="shared" si="6"/>
        <v>0</v>
      </c>
      <c r="M62" s="75"/>
      <c r="N62" s="48">
        <f t="shared" si="1"/>
        <v>0</v>
      </c>
      <c r="P62" s="140" t="str">
        <f t="shared" si="10"/>
        <v>2100/102</v>
      </c>
      <c r="Q62" s="70"/>
      <c r="S62" s="71"/>
      <c r="T62" s="51"/>
      <c r="U62" s="31"/>
    </row>
    <row r="63" spans="1:21" x14ac:dyDescent="0.2">
      <c r="A63" s="238"/>
      <c r="B63" s="54" t="s">
        <v>174</v>
      </c>
      <c r="C63" s="247"/>
      <c r="D63" s="250"/>
      <c r="E63" s="251"/>
      <c r="F63" s="132"/>
      <c r="G63" s="132"/>
      <c r="H63" s="132"/>
      <c r="I63" s="79"/>
      <c r="J63" s="198">
        <f>SUMIF(Journals!D$14:D$920,TrialBalance!P63,Journals!J$14:J$920)+SUMIF(Journals!E$14:E$920,TrialBalance!P63,Journals!J$14:J$920)</f>
        <v>0</v>
      </c>
      <c r="K63" s="253"/>
      <c r="L63" s="255">
        <f t="shared" si="6"/>
        <v>0</v>
      </c>
      <c r="M63" s="75"/>
      <c r="N63" s="48">
        <f t="shared" si="1"/>
        <v>0</v>
      </c>
      <c r="P63" s="140" t="str">
        <f t="shared" si="10"/>
        <v>2100/103</v>
      </c>
      <c r="Q63" s="70"/>
      <c r="S63" s="71"/>
      <c r="T63" s="51"/>
      <c r="U63" s="31"/>
    </row>
    <row r="64" spans="1:21" x14ac:dyDescent="0.2">
      <c r="A64" s="238"/>
      <c r="B64" s="54" t="s">
        <v>175</v>
      </c>
      <c r="C64" s="240" t="s">
        <v>57</v>
      </c>
      <c r="D64" s="250"/>
      <c r="E64" s="251"/>
      <c r="F64" s="132"/>
      <c r="G64" s="132"/>
      <c r="H64" s="132"/>
      <c r="I64" s="79"/>
      <c r="J64" s="198">
        <f>SUMIF(Journals!D$14:D$920,TrialBalance!P64,Journals!J$14:J$920)+SUMIF(Journals!E$14:E$920,TrialBalance!P64,Journals!J$14:J$920)</f>
        <v>0</v>
      </c>
      <c r="K64" s="253"/>
      <c r="L64" s="255">
        <f t="shared" si="6"/>
        <v>0</v>
      </c>
      <c r="M64" s="75"/>
      <c r="N64" s="48">
        <f t="shared" si="1"/>
        <v>0</v>
      </c>
      <c r="P64" s="140" t="str">
        <f t="shared" si="10"/>
        <v>2100/110Repairs and maintenance</v>
      </c>
      <c r="Q64" s="70"/>
      <c r="S64" s="71"/>
      <c r="T64" s="51"/>
      <c r="U64" s="31"/>
    </row>
    <row r="65" spans="1:21" x14ac:dyDescent="0.2">
      <c r="A65" s="238"/>
      <c r="B65" s="90" t="s">
        <v>1209</v>
      </c>
      <c r="C65" s="242" t="s">
        <v>1210</v>
      </c>
      <c r="D65" s="250"/>
      <c r="E65" s="251"/>
      <c r="F65" s="132"/>
      <c r="G65" s="132"/>
      <c r="H65" s="132"/>
      <c r="I65" s="79"/>
      <c r="J65" s="198">
        <f>SUMIF(Journals!D$14:D$920,TrialBalance!P65,Journals!J$14:J$920)+SUMIF(Journals!E$14:E$920,TrialBalance!P65,Journals!J$14:J$920)</f>
        <v>0</v>
      </c>
      <c r="K65" s="253"/>
      <c r="L65" s="255">
        <f t="shared" ref="L65" si="11">ROUND(D65-E65+F65+G65+H65+J65+I65,0)</f>
        <v>0</v>
      </c>
      <c r="M65" s="75"/>
      <c r="N65" s="48">
        <f t="shared" ref="N65" si="12">ROUND(SUM(A65),0)</f>
        <v>0</v>
      </c>
      <c r="P65" s="140" t="str">
        <f t="shared" ref="P65" si="13">CONCATENATE(B65,C65)</f>
        <v>2100/115Research and development cost</v>
      </c>
      <c r="Q65" s="70"/>
      <c r="S65" s="71"/>
      <c r="T65" s="51"/>
      <c r="U65" s="31"/>
    </row>
    <row r="66" spans="1:21" x14ac:dyDescent="0.2">
      <c r="A66" s="238"/>
      <c r="B66" s="54" t="s">
        <v>58</v>
      </c>
      <c r="C66" s="240" t="s">
        <v>59</v>
      </c>
      <c r="D66" s="250"/>
      <c r="E66" s="251"/>
      <c r="F66" s="132"/>
      <c r="G66" s="132"/>
      <c r="H66" s="132"/>
      <c r="I66" s="79"/>
      <c r="J66" s="198">
        <f>SUMIF(Journals!D$14:D$920,TrialBalance!P66,Journals!J$14:J$920)+SUMIF(Journals!E$14:E$920,TrialBalance!P66,Journals!J$14:J$920)</f>
        <v>0</v>
      </c>
      <c r="K66" s="253"/>
      <c r="L66" s="255">
        <f t="shared" si="6"/>
        <v>0</v>
      </c>
      <c r="M66" s="75"/>
      <c r="N66" s="48">
        <f t="shared" si="1"/>
        <v>0</v>
      </c>
      <c r="P66" s="140" t="str">
        <f t="shared" si="10"/>
        <v>2100/120Salaries</v>
      </c>
      <c r="Q66" s="70"/>
      <c r="S66" s="71"/>
      <c r="T66" s="51"/>
      <c r="U66" s="31"/>
    </row>
    <row r="67" spans="1:21" x14ac:dyDescent="0.2">
      <c r="A67" s="238"/>
      <c r="B67" s="54" t="s">
        <v>60</v>
      </c>
      <c r="C67" s="240" t="s">
        <v>61</v>
      </c>
      <c r="D67" s="250"/>
      <c r="E67" s="251"/>
      <c r="F67" s="132"/>
      <c r="G67" s="132"/>
      <c r="H67" s="132"/>
      <c r="I67" s="79"/>
      <c r="J67" s="198">
        <f>SUMIF(Journals!D$14:D$920,TrialBalance!P67,Journals!J$14:J$920)+SUMIF(Journals!E$14:E$920,TrialBalance!P67,Journals!J$14:J$920)</f>
        <v>0</v>
      </c>
      <c r="K67" s="253"/>
      <c r="L67" s="255">
        <f t="shared" si="6"/>
        <v>0</v>
      </c>
      <c r="M67" s="75"/>
      <c r="N67" s="48">
        <f t="shared" si="1"/>
        <v>0</v>
      </c>
      <c r="P67" s="140" t="str">
        <f t="shared" si="10"/>
        <v>2100/121UIF - Employer</v>
      </c>
      <c r="Q67" s="70"/>
      <c r="S67" s="71"/>
      <c r="T67" s="51"/>
      <c r="U67" s="31"/>
    </row>
    <row r="68" spans="1:21" x14ac:dyDescent="0.2">
      <c r="A68" s="238"/>
      <c r="B68" s="54" t="s">
        <v>62</v>
      </c>
      <c r="C68" s="240" t="s">
        <v>63</v>
      </c>
      <c r="D68" s="250"/>
      <c r="E68" s="251"/>
      <c r="F68" s="132"/>
      <c r="G68" s="132"/>
      <c r="H68" s="132"/>
      <c r="I68" s="79"/>
      <c r="J68" s="198">
        <f>SUMIF(Journals!D$14:D$920,TrialBalance!P68,Journals!J$14:J$920)+SUMIF(Journals!E$14:E$920,TrialBalance!P68,Journals!J$14:J$920)</f>
        <v>0</v>
      </c>
      <c r="K68" s="253"/>
      <c r="L68" s="255">
        <f t="shared" si="6"/>
        <v>0</v>
      </c>
      <c r="M68" s="75"/>
      <c r="N68" s="48">
        <f t="shared" si="1"/>
        <v>0</v>
      </c>
      <c r="P68" s="140" t="str">
        <f t="shared" si="10"/>
        <v>2100/122Casual wages</v>
      </c>
      <c r="Q68" s="70"/>
      <c r="S68" s="71"/>
      <c r="T68" s="51"/>
      <c r="U68" s="31"/>
    </row>
    <row r="69" spans="1:21" x14ac:dyDescent="0.2">
      <c r="A69" s="238"/>
      <c r="B69" s="54" t="s">
        <v>64</v>
      </c>
      <c r="C69" s="240" t="s">
        <v>65</v>
      </c>
      <c r="D69" s="250"/>
      <c r="E69" s="251"/>
      <c r="F69" s="132"/>
      <c r="G69" s="132"/>
      <c r="H69" s="132"/>
      <c r="I69" s="79"/>
      <c r="J69" s="198">
        <f>SUMIF(Journals!D$14:D$920,TrialBalance!P69,Journals!J$14:J$920)+SUMIF(Journals!E$14:E$920,TrialBalance!P69,Journals!J$14:J$920)</f>
        <v>0</v>
      </c>
      <c r="K69" s="253"/>
      <c r="L69" s="255">
        <f t="shared" si="6"/>
        <v>0</v>
      </c>
      <c r="M69" s="75"/>
      <c r="N69" s="48">
        <f t="shared" si="1"/>
        <v>0</v>
      </c>
      <c r="P69" s="140" t="str">
        <f t="shared" si="10"/>
        <v>2100/130Telephone</v>
      </c>
      <c r="Q69" s="70"/>
      <c r="S69" s="71"/>
      <c r="T69" s="51"/>
      <c r="U69" s="31"/>
    </row>
    <row r="70" spans="1:21" x14ac:dyDescent="0.2">
      <c r="A70" s="238"/>
      <c r="B70" s="54" t="s">
        <v>66</v>
      </c>
      <c r="C70" s="240" t="s">
        <v>454</v>
      </c>
      <c r="D70" s="250"/>
      <c r="E70" s="251"/>
      <c r="F70" s="132"/>
      <c r="G70" s="132"/>
      <c r="H70" s="132"/>
      <c r="I70" s="79"/>
      <c r="J70" s="198">
        <f>SUMIF(Journals!D$14:D$920,TrialBalance!P70,Journals!J$14:J$920)+SUMIF(Journals!E$14:E$920,TrialBalance!P70,Journals!J$14:J$920)</f>
        <v>0</v>
      </c>
      <c r="K70" s="253"/>
      <c r="L70" s="255">
        <f t="shared" si="6"/>
        <v>0</v>
      </c>
      <c r="M70" s="75"/>
      <c r="N70" s="48">
        <f t="shared" si="1"/>
        <v>0</v>
      </c>
      <c r="P70" s="140" t="str">
        <f t="shared" si="10"/>
        <v>2100/135Postage and courier</v>
      </c>
      <c r="Q70" s="70"/>
      <c r="S70" s="71"/>
      <c r="T70" s="51"/>
      <c r="U70" s="31"/>
    </row>
    <row r="71" spans="1:21" x14ac:dyDescent="0.2">
      <c r="A71" s="238"/>
      <c r="B71" s="54" t="s">
        <v>67</v>
      </c>
      <c r="C71" s="240" t="s">
        <v>236</v>
      </c>
      <c r="D71" s="250"/>
      <c r="E71" s="251"/>
      <c r="F71" s="132"/>
      <c r="G71" s="132"/>
      <c r="H71" s="132"/>
      <c r="I71" s="79"/>
      <c r="J71" s="198">
        <f>SUMIF(Journals!D$14:D$920,TrialBalance!P71,Journals!J$14:J$920)+SUMIF(Journals!E$14:E$920,TrialBalance!P71,Journals!J$14:J$920)</f>
        <v>0</v>
      </c>
      <c r="K71" s="253"/>
      <c r="L71" s="255">
        <f t="shared" si="6"/>
        <v>0</v>
      </c>
      <c r="M71" s="75"/>
      <c r="N71" s="48">
        <f t="shared" si="1"/>
        <v>0</v>
      </c>
      <c r="P71" s="140" t="str">
        <f t="shared" si="10"/>
        <v>2100/140Training</v>
      </c>
      <c r="Q71" s="70"/>
      <c r="S71" s="71"/>
      <c r="T71" s="51"/>
      <c r="U71" s="31"/>
    </row>
    <row r="72" spans="1:21" x14ac:dyDescent="0.2">
      <c r="A72" s="238"/>
      <c r="B72" s="54" t="s">
        <v>68</v>
      </c>
      <c r="C72" s="241" t="s">
        <v>760</v>
      </c>
      <c r="D72" s="251"/>
      <c r="E72" s="251"/>
      <c r="F72" s="132"/>
      <c r="G72" s="132"/>
      <c r="H72" s="132"/>
      <c r="I72" s="79"/>
      <c r="J72" s="198">
        <f>SUMIF(Journals!D$14:D$920,TrialBalance!P72,Journals!J$14:J$920)+SUMIF(Journals!E$14:E$920,TrialBalance!P72,Journals!J$14:J$920)</f>
        <v>0</v>
      </c>
      <c r="K72" s="253"/>
      <c r="L72" s="255">
        <f t="shared" si="6"/>
        <v>0</v>
      </c>
      <c r="M72" s="75"/>
      <c r="N72" s="48">
        <f t="shared" si="1"/>
        <v>0</v>
      </c>
      <c r="P72" s="140" t="str">
        <f t="shared" si="10"/>
        <v>2100/150Traveling and accommodation</v>
      </c>
      <c r="Q72" s="70"/>
      <c r="S72" s="71"/>
      <c r="T72" s="51"/>
      <c r="U72" s="31"/>
    </row>
    <row r="73" spans="1:21" x14ac:dyDescent="0.2">
      <c r="A73" s="238"/>
      <c r="B73" s="90" t="s">
        <v>580</v>
      </c>
      <c r="C73" s="243"/>
      <c r="D73" s="251"/>
      <c r="E73" s="251"/>
      <c r="F73" s="132"/>
      <c r="G73" s="132"/>
      <c r="H73" s="132"/>
      <c r="I73" s="79"/>
      <c r="J73" s="198">
        <f>SUMIF(Journals!D$14:D$920,TrialBalance!P73,Journals!J$14:J$920)+SUMIF(Journals!E$14:E$920,TrialBalance!P73,Journals!J$14:J$920)</f>
        <v>0</v>
      </c>
      <c r="K73" s="253"/>
      <c r="L73" s="255">
        <f t="shared" si="6"/>
        <v>0</v>
      </c>
      <c r="M73" s="75"/>
      <c r="N73" s="48">
        <f t="shared" si="1"/>
        <v>0</v>
      </c>
      <c r="P73" s="140" t="str">
        <f t="shared" si="10"/>
        <v>2150/001</v>
      </c>
      <c r="Q73" s="70"/>
      <c r="S73" s="71"/>
      <c r="T73" s="51"/>
      <c r="U73" s="31"/>
    </row>
    <row r="74" spans="1:21" x14ac:dyDescent="0.2">
      <c r="A74" s="238"/>
      <c r="B74" s="90" t="s">
        <v>581</v>
      </c>
      <c r="C74" s="243"/>
      <c r="D74" s="251"/>
      <c r="E74" s="251"/>
      <c r="F74" s="132"/>
      <c r="G74" s="132"/>
      <c r="H74" s="132"/>
      <c r="I74" s="79"/>
      <c r="J74" s="198">
        <f>SUMIF(Journals!D$14:D$920,TrialBalance!P74,Journals!J$14:J$920)+SUMIF(Journals!E$14:E$920,TrialBalance!P74,Journals!J$14:J$920)</f>
        <v>0</v>
      </c>
      <c r="K74" s="253"/>
      <c r="L74" s="255">
        <f t="shared" si="6"/>
        <v>0</v>
      </c>
      <c r="M74" s="75"/>
      <c r="N74" s="48">
        <f t="shared" si="1"/>
        <v>0</v>
      </c>
      <c r="P74" s="140" t="str">
        <f t="shared" si="10"/>
        <v>2150/002</v>
      </c>
      <c r="Q74" s="70"/>
      <c r="S74" s="71"/>
      <c r="T74" s="51"/>
      <c r="U74" s="31"/>
    </row>
    <row r="75" spans="1:21" x14ac:dyDescent="0.2">
      <c r="A75" s="238"/>
      <c r="B75" s="90" t="s">
        <v>582</v>
      </c>
      <c r="C75" s="243"/>
      <c r="D75" s="251"/>
      <c r="E75" s="251"/>
      <c r="F75" s="132"/>
      <c r="G75" s="132"/>
      <c r="H75" s="132"/>
      <c r="I75" s="79"/>
      <c r="J75" s="198">
        <f>SUMIF(Journals!D$14:D$920,TrialBalance!P75,Journals!J$14:J$920)+SUMIF(Journals!E$14:E$920,TrialBalance!P75,Journals!J$14:J$920)</f>
        <v>0</v>
      </c>
      <c r="K75" s="253"/>
      <c r="L75" s="255">
        <f t="shared" si="6"/>
        <v>0</v>
      </c>
      <c r="M75" s="75"/>
      <c r="N75" s="48">
        <f t="shared" ref="N75:N140" si="14">ROUND(SUM(A75),0)</f>
        <v>0</v>
      </c>
      <c r="P75" s="140" t="str">
        <f t="shared" ref="P75:P109" si="15">CONCATENATE(B75,C75)</f>
        <v>2150/003</v>
      </c>
      <c r="Q75" s="70"/>
      <c r="S75" s="71"/>
      <c r="T75" s="51"/>
      <c r="U75" s="31"/>
    </row>
    <row r="76" spans="1:21" x14ac:dyDescent="0.2">
      <c r="A76" s="238"/>
      <c r="B76" s="90" t="s">
        <v>583</v>
      </c>
      <c r="C76" s="243"/>
      <c r="D76" s="251"/>
      <c r="E76" s="251"/>
      <c r="F76" s="132"/>
      <c r="G76" s="132"/>
      <c r="H76" s="132"/>
      <c r="I76" s="79"/>
      <c r="J76" s="198">
        <f>SUMIF(Journals!D$14:D$920,TrialBalance!P76,Journals!J$14:J$920)+SUMIF(Journals!E$14:E$920,TrialBalance!P76,Journals!J$14:J$920)</f>
        <v>0</v>
      </c>
      <c r="K76" s="253"/>
      <c r="L76" s="255">
        <f t="shared" si="6"/>
        <v>0</v>
      </c>
      <c r="M76" s="75"/>
      <c r="N76" s="48">
        <f t="shared" si="14"/>
        <v>0</v>
      </c>
      <c r="P76" s="140" t="str">
        <f t="shared" si="15"/>
        <v>2150/004</v>
      </c>
      <c r="Q76" s="70"/>
      <c r="S76" s="71"/>
      <c r="T76" s="51"/>
      <c r="U76" s="31"/>
    </row>
    <row r="77" spans="1:21" x14ac:dyDescent="0.2">
      <c r="A77" s="238"/>
      <c r="B77" s="90" t="s">
        <v>584</v>
      </c>
      <c r="C77" s="243"/>
      <c r="D77" s="251"/>
      <c r="E77" s="251"/>
      <c r="F77" s="132"/>
      <c r="G77" s="132"/>
      <c r="H77" s="132"/>
      <c r="I77" s="79"/>
      <c r="J77" s="198">
        <f>SUMIF(Journals!D$14:D$920,TrialBalance!P77,Journals!J$14:J$920)+SUMIF(Journals!E$14:E$920,TrialBalance!P77,Journals!J$14:J$920)</f>
        <v>0</v>
      </c>
      <c r="K77" s="253"/>
      <c r="L77" s="255">
        <f t="shared" ref="L77:L137" si="16">ROUND(D77-E77+F77+G77+H77+J77+I77,0)</f>
        <v>0</v>
      </c>
      <c r="M77" s="75"/>
      <c r="N77" s="48">
        <f t="shared" si="14"/>
        <v>0</v>
      </c>
      <c r="P77" s="140" t="str">
        <f t="shared" si="15"/>
        <v>2150/005</v>
      </c>
      <c r="Q77" s="70"/>
      <c r="S77" s="71"/>
      <c r="T77" s="51"/>
      <c r="U77" s="31"/>
    </row>
    <row r="78" spans="1:21" x14ac:dyDescent="0.2">
      <c r="A78" s="238"/>
      <c r="B78" s="90" t="s">
        <v>585</v>
      </c>
      <c r="C78" s="243"/>
      <c r="D78" s="251"/>
      <c r="E78" s="251"/>
      <c r="F78" s="132"/>
      <c r="G78" s="132"/>
      <c r="H78" s="132"/>
      <c r="I78" s="79"/>
      <c r="J78" s="198">
        <f>SUMIF(Journals!D$14:D$920,TrialBalance!P78,Journals!J$14:J$920)+SUMIF(Journals!E$14:E$920,TrialBalance!P78,Journals!J$14:J$920)</f>
        <v>0</v>
      </c>
      <c r="K78" s="253"/>
      <c r="L78" s="255">
        <f t="shared" si="16"/>
        <v>0</v>
      </c>
      <c r="M78" s="75"/>
      <c r="N78" s="48">
        <f t="shared" si="14"/>
        <v>0</v>
      </c>
      <c r="P78" s="140" t="str">
        <f t="shared" si="15"/>
        <v>2150/006</v>
      </c>
      <c r="Q78" s="70"/>
      <c r="S78" s="71"/>
      <c r="T78" s="51"/>
      <c r="U78" s="31"/>
    </row>
    <row r="79" spans="1:21" x14ac:dyDescent="0.2">
      <c r="A79" s="238"/>
      <c r="B79" s="90" t="s">
        <v>586</v>
      </c>
      <c r="C79" s="243"/>
      <c r="D79" s="251"/>
      <c r="E79" s="251"/>
      <c r="F79" s="132"/>
      <c r="G79" s="132"/>
      <c r="H79" s="132"/>
      <c r="I79" s="79"/>
      <c r="J79" s="198">
        <f>SUMIF(Journals!D$14:D$920,TrialBalance!P79,Journals!J$14:J$920)+SUMIF(Journals!E$14:E$920,TrialBalance!P79,Journals!J$14:J$920)</f>
        <v>0</v>
      </c>
      <c r="K79" s="253"/>
      <c r="L79" s="255">
        <f t="shared" si="16"/>
        <v>0</v>
      </c>
      <c r="M79" s="75"/>
      <c r="N79" s="48">
        <f t="shared" si="14"/>
        <v>0</v>
      </c>
      <c r="P79" s="140" t="str">
        <f t="shared" si="15"/>
        <v>2150/007</v>
      </c>
      <c r="Q79" s="70"/>
      <c r="S79" s="71"/>
      <c r="T79" s="51"/>
      <c r="U79" s="31"/>
    </row>
    <row r="80" spans="1:21" x14ac:dyDescent="0.2">
      <c r="A80" s="238"/>
      <c r="B80" s="90" t="s">
        <v>587</v>
      </c>
      <c r="C80" s="243"/>
      <c r="D80" s="251"/>
      <c r="E80" s="251"/>
      <c r="F80" s="132"/>
      <c r="G80" s="132"/>
      <c r="H80" s="132"/>
      <c r="I80" s="79"/>
      <c r="J80" s="198">
        <f>SUMIF(Journals!D$14:D$920,TrialBalance!P80,Journals!J$14:J$920)+SUMIF(Journals!E$14:E$920,TrialBalance!P80,Journals!J$14:J$920)</f>
        <v>0</v>
      </c>
      <c r="K80" s="253"/>
      <c r="L80" s="255">
        <f t="shared" si="16"/>
        <v>0</v>
      </c>
      <c r="M80" s="75"/>
      <c r="N80" s="48">
        <f t="shared" si="14"/>
        <v>0</v>
      </c>
      <c r="P80" s="140" t="str">
        <f t="shared" si="15"/>
        <v>2150/008</v>
      </c>
      <c r="Q80" s="70"/>
      <c r="S80" s="71"/>
      <c r="T80" s="51"/>
      <c r="U80" s="31"/>
    </row>
    <row r="81" spans="1:21" x14ac:dyDescent="0.2">
      <c r="A81" s="238"/>
      <c r="B81" s="90" t="s">
        <v>588</v>
      </c>
      <c r="C81" s="243"/>
      <c r="D81" s="251"/>
      <c r="E81" s="251"/>
      <c r="F81" s="132"/>
      <c r="G81" s="132"/>
      <c r="H81" s="132"/>
      <c r="I81" s="79"/>
      <c r="J81" s="198">
        <f>SUMIF(Journals!D$14:D$920,TrialBalance!P81,Journals!J$14:J$920)+SUMIF(Journals!E$14:E$920,TrialBalance!P81,Journals!J$14:J$920)</f>
        <v>0</v>
      </c>
      <c r="K81" s="253"/>
      <c r="L81" s="255">
        <f t="shared" si="16"/>
        <v>0</v>
      </c>
      <c r="M81" s="75"/>
      <c r="N81" s="48">
        <f t="shared" si="14"/>
        <v>0</v>
      </c>
      <c r="P81" s="140" t="str">
        <f t="shared" si="15"/>
        <v>2150/009</v>
      </c>
      <c r="Q81" s="70"/>
      <c r="S81" s="71"/>
      <c r="T81" s="51"/>
      <c r="U81" s="31"/>
    </row>
    <row r="82" spans="1:21" x14ac:dyDescent="0.2">
      <c r="A82" s="238"/>
      <c r="B82" s="90" t="s">
        <v>589</v>
      </c>
      <c r="C82" s="243"/>
      <c r="D82" s="251"/>
      <c r="E82" s="251"/>
      <c r="F82" s="132"/>
      <c r="G82" s="132"/>
      <c r="H82" s="132"/>
      <c r="I82" s="79"/>
      <c r="J82" s="198">
        <f>SUMIF(Journals!D$14:D$920,TrialBalance!P82,Journals!J$14:J$920)+SUMIF(Journals!E$14:E$920,TrialBalance!P82,Journals!J$14:J$920)</f>
        <v>0</v>
      </c>
      <c r="K82" s="253"/>
      <c r="L82" s="255">
        <f t="shared" si="16"/>
        <v>0</v>
      </c>
      <c r="M82" s="75"/>
      <c r="N82" s="48">
        <f t="shared" si="14"/>
        <v>0</v>
      </c>
      <c r="P82" s="140" t="str">
        <f t="shared" si="15"/>
        <v>2150/010</v>
      </c>
      <c r="Q82" s="70"/>
      <c r="S82" s="71"/>
      <c r="T82" s="51"/>
      <c r="U82" s="31"/>
    </row>
    <row r="83" spans="1:21" x14ac:dyDescent="0.2">
      <c r="A83" s="238"/>
      <c r="B83" s="54" t="s">
        <v>18</v>
      </c>
      <c r="C83" s="239" t="s">
        <v>102</v>
      </c>
      <c r="D83" s="250"/>
      <c r="E83" s="251"/>
      <c r="F83" s="132"/>
      <c r="G83" s="132"/>
      <c r="H83" s="132"/>
      <c r="I83" s="79"/>
      <c r="J83" s="198">
        <f>SUMIF(Journals!D$14:D$920,TrialBalance!P83,Journals!J$14:J$920)+SUMIF(Journals!E$14:E$920,TrialBalance!P83,Journals!J$14:J$920)</f>
        <v>0</v>
      </c>
      <c r="K83" s="253"/>
      <c r="L83" s="255">
        <f t="shared" si="16"/>
        <v>0</v>
      </c>
      <c r="M83" s="75"/>
      <c r="N83" s="48">
        <f t="shared" si="14"/>
        <v>0</v>
      </c>
      <c r="P83" s="140" t="str">
        <f t="shared" si="15"/>
        <v>2500/000OTHER INCOME</v>
      </c>
      <c r="Q83" s="70"/>
      <c r="S83" s="71"/>
      <c r="T83" s="51"/>
      <c r="U83" s="31"/>
    </row>
    <row r="84" spans="1:21" x14ac:dyDescent="0.2">
      <c r="A84" s="238"/>
      <c r="B84" s="54" t="s">
        <v>333</v>
      </c>
      <c r="C84" s="241" t="s">
        <v>713</v>
      </c>
      <c r="D84" s="251"/>
      <c r="E84" s="251"/>
      <c r="F84" s="132"/>
      <c r="G84" s="132"/>
      <c r="H84" s="132"/>
      <c r="I84" s="79"/>
      <c r="J84" s="198">
        <f>SUMIF(Journals!D$14:D$920,TrialBalance!P84,Journals!J$14:J$920)+SUMIF(Journals!E$14:E$920,TrialBalance!P84,Journals!J$14:J$920)</f>
        <v>0</v>
      </c>
      <c r="K84" s="253"/>
      <c r="L84" s="255">
        <f t="shared" si="16"/>
        <v>0</v>
      </c>
      <c r="M84" s="75"/>
      <c r="N84" s="48">
        <f t="shared" si="14"/>
        <v>0</v>
      </c>
      <c r="P84" s="140" t="str">
        <f t="shared" si="15"/>
        <v>2710/000Rent received (not main income)</v>
      </c>
      <c r="Q84" s="70"/>
      <c r="S84" s="71"/>
      <c r="T84" s="51"/>
      <c r="U84" s="31"/>
    </row>
    <row r="85" spans="1:21" x14ac:dyDescent="0.2">
      <c r="A85" s="238"/>
      <c r="B85" s="54" t="s">
        <v>69</v>
      </c>
      <c r="C85" s="239" t="s">
        <v>714</v>
      </c>
      <c r="D85" s="250"/>
      <c r="E85" s="251"/>
      <c r="F85" s="132"/>
      <c r="G85" s="132"/>
      <c r="H85" s="132"/>
      <c r="I85" s="79"/>
      <c r="J85" s="198">
        <f>SUMIF(Journals!D$14:D$920,TrialBalance!P85,Journals!J$14:J$920)+SUMIF(Journals!E$14:E$920,TrialBalance!P85,Journals!J$14:J$920)</f>
        <v>0</v>
      </c>
      <c r="K85" s="253"/>
      <c r="L85" s="255">
        <f t="shared" si="16"/>
        <v>0</v>
      </c>
      <c r="M85" s="75"/>
      <c r="N85" s="48">
        <f t="shared" si="14"/>
        <v>0</v>
      </c>
      <c r="P85" s="140" t="str">
        <f t="shared" si="15"/>
        <v>2750/000Interest received--------------------------</v>
      </c>
      <c r="Q85" s="70"/>
      <c r="S85" s="71"/>
      <c r="T85" s="51"/>
      <c r="U85" s="31"/>
    </row>
    <row r="86" spans="1:21" x14ac:dyDescent="0.2">
      <c r="A86" s="238"/>
      <c r="B86" s="54" t="s">
        <v>70</v>
      </c>
      <c r="C86" s="243"/>
      <c r="D86" s="251"/>
      <c r="E86" s="251"/>
      <c r="F86" s="132"/>
      <c r="G86" s="132"/>
      <c r="H86" s="132"/>
      <c r="I86" s="79"/>
      <c r="J86" s="198">
        <f>SUMIF(Journals!D$14:D$920,TrialBalance!P86,Journals!J$14:J$920)+SUMIF(Journals!E$14:E$920,TrialBalance!P86,Journals!J$14:J$920)</f>
        <v>0</v>
      </c>
      <c r="K86" s="253"/>
      <c r="L86" s="255">
        <f t="shared" si="16"/>
        <v>0</v>
      </c>
      <c r="M86" s="75"/>
      <c r="N86" s="48">
        <f t="shared" si="14"/>
        <v>0</v>
      </c>
      <c r="P86" s="140" t="str">
        <f t="shared" si="15"/>
        <v>2750/001</v>
      </c>
      <c r="Q86" s="70"/>
      <c r="S86" s="71"/>
      <c r="T86" s="51"/>
      <c r="U86" s="31"/>
    </row>
    <row r="87" spans="1:21" x14ac:dyDescent="0.2">
      <c r="A87" s="238"/>
      <c r="B87" s="54" t="s">
        <v>71</v>
      </c>
      <c r="C87" s="243"/>
      <c r="D87" s="251"/>
      <c r="E87" s="251"/>
      <c r="F87" s="132"/>
      <c r="G87" s="132"/>
      <c r="H87" s="132"/>
      <c r="I87" s="79"/>
      <c r="J87" s="198">
        <f>SUMIF(Journals!D$14:D$920,TrialBalance!P87,Journals!J$14:J$920)+SUMIF(Journals!E$14:E$920,TrialBalance!P87,Journals!J$14:J$920)</f>
        <v>0</v>
      </c>
      <c r="K87" s="253"/>
      <c r="L87" s="255">
        <f t="shared" si="16"/>
        <v>0</v>
      </c>
      <c r="M87" s="75"/>
      <c r="N87" s="48">
        <f t="shared" si="14"/>
        <v>0</v>
      </c>
      <c r="P87" s="140" t="str">
        <f t="shared" si="15"/>
        <v>2750/002</v>
      </c>
      <c r="Q87" s="70"/>
      <c r="S87" s="71"/>
      <c r="T87" s="51"/>
      <c r="U87" s="31"/>
    </row>
    <row r="88" spans="1:21" x14ac:dyDescent="0.2">
      <c r="A88" s="238"/>
      <c r="B88" s="54" t="s">
        <v>72</v>
      </c>
      <c r="C88" s="243"/>
      <c r="D88" s="250"/>
      <c r="E88" s="251"/>
      <c r="F88" s="132"/>
      <c r="G88" s="132"/>
      <c r="H88" s="132"/>
      <c r="I88" s="79"/>
      <c r="J88" s="198">
        <f>SUMIF(Journals!D$14:D$920,TrialBalance!P88,Journals!J$14:J$920)+SUMIF(Journals!E$14:E$920,TrialBalance!P88,Journals!J$14:J$920)</f>
        <v>0</v>
      </c>
      <c r="K88" s="253"/>
      <c r="L88" s="255">
        <f t="shared" si="16"/>
        <v>0</v>
      </c>
      <c r="M88" s="75"/>
      <c r="N88" s="48">
        <f t="shared" si="14"/>
        <v>0</v>
      </c>
      <c r="P88" s="140" t="str">
        <f t="shared" si="15"/>
        <v>2750/003</v>
      </c>
      <c r="Q88" s="70"/>
      <c r="S88" s="71"/>
      <c r="T88" s="51"/>
      <c r="U88" s="31"/>
    </row>
    <row r="89" spans="1:21" x14ac:dyDescent="0.2">
      <c r="A89" s="238"/>
      <c r="B89" s="54" t="s">
        <v>73</v>
      </c>
      <c r="C89" s="243"/>
      <c r="D89" s="250"/>
      <c r="E89" s="251"/>
      <c r="F89" s="132"/>
      <c r="G89" s="132"/>
      <c r="H89" s="132"/>
      <c r="I89" s="79"/>
      <c r="J89" s="198">
        <f>SUMIF(Journals!D$14:D$920,TrialBalance!P89,Journals!J$14:J$920)+SUMIF(Journals!E$14:E$920,TrialBalance!P89,Journals!J$14:J$920)</f>
        <v>0</v>
      </c>
      <c r="K89" s="253"/>
      <c r="L89" s="255">
        <f t="shared" si="16"/>
        <v>0</v>
      </c>
      <c r="M89" s="75"/>
      <c r="N89" s="48">
        <f t="shared" si="14"/>
        <v>0</v>
      </c>
      <c r="P89" s="140" t="str">
        <f t="shared" si="15"/>
        <v>2750/004</v>
      </c>
      <c r="Q89" s="70"/>
      <c r="S89" s="71"/>
      <c r="T89" s="51"/>
      <c r="U89" s="31"/>
    </row>
    <row r="90" spans="1:21" x14ac:dyDescent="0.2">
      <c r="A90" s="238"/>
      <c r="B90" s="54" t="s">
        <v>176</v>
      </c>
      <c r="C90" s="239" t="s">
        <v>573</v>
      </c>
      <c r="D90" s="250"/>
      <c r="E90" s="251"/>
      <c r="F90" s="132"/>
      <c r="G90" s="132"/>
      <c r="H90" s="132"/>
      <c r="I90" s="79"/>
      <c r="J90" s="198">
        <f>SUMIF(Journals!D$14:D$920,TrialBalance!P90,Journals!J$14:J$920)+SUMIF(Journals!E$14:E$920,TrialBalance!P90,Journals!J$14:J$920)</f>
        <v>0</v>
      </c>
      <c r="K90" s="253"/>
      <c r="L90" s="255">
        <f t="shared" si="16"/>
        <v>0</v>
      </c>
      <c r="M90" s="75"/>
      <c r="N90" s="48">
        <f t="shared" si="14"/>
        <v>0</v>
      </c>
      <c r="P90" s="140" t="str">
        <f t="shared" si="15"/>
        <v>2800/000Dividends received------------------------</v>
      </c>
      <c r="Q90" s="70"/>
      <c r="S90" s="71"/>
      <c r="T90" s="51"/>
      <c r="U90" s="31"/>
    </row>
    <row r="91" spans="1:21" x14ac:dyDescent="0.2">
      <c r="A91" s="238"/>
      <c r="B91" s="54" t="s">
        <v>275</v>
      </c>
      <c r="C91" s="242" t="s">
        <v>664</v>
      </c>
      <c r="D91" s="250"/>
      <c r="E91" s="251"/>
      <c r="F91" s="132"/>
      <c r="G91" s="132"/>
      <c r="H91" s="132"/>
      <c r="I91" s="79"/>
      <c r="J91" s="198">
        <f>SUMIF(Journals!D$14:D$920,TrialBalance!P91,Journals!J$14:J$920)+SUMIF(Journals!E$14:E$920,TrialBalance!P91,Journals!J$14:J$920)</f>
        <v>0</v>
      </c>
      <c r="K91" s="253"/>
      <c r="L91" s="255">
        <f t="shared" si="16"/>
        <v>0</v>
      </c>
      <c r="M91" s="75"/>
      <c r="N91" s="48">
        <f t="shared" si="14"/>
        <v>0</v>
      </c>
      <c r="P91" s="140" t="str">
        <f t="shared" si="15"/>
        <v>2800/001Div.'s received - SA sources</v>
      </c>
      <c r="Q91" s="70"/>
      <c r="S91" s="71"/>
      <c r="T91" s="51"/>
      <c r="U91" s="31"/>
    </row>
    <row r="92" spans="1:21" x14ac:dyDescent="0.2">
      <c r="A92" s="238"/>
      <c r="B92" s="54" t="s">
        <v>186</v>
      </c>
      <c r="C92" s="242" t="s">
        <v>992</v>
      </c>
      <c r="D92" s="250"/>
      <c r="E92" s="251"/>
      <c r="F92" s="132"/>
      <c r="G92" s="132"/>
      <c r="H92" s="132"/>
      <c r="I92" s="79"/>
      <c r="J92" s="198">
        <f>SUMIF(Journals!D$14:D$920,TrialBalance!P92,Journals!J$14:J$920)+SUMIF(Journals!E$14:E$920,TrialBalance!P92,Journals!J$14:J$920)</f>
        <v>0</v>
      </c>
      <c r="K92" s="253"/>
      <c r="L92" s="255">
        <f t="shared" ref="L92" si="17">ROUND(D92-E92+F92+G92+H92+J92+I92,0)</f>
        <v>0</v>
      </c>
      <c r="M92" s="75"/>
      <c r="N92" s="48">
        <f t="shared" ref="N92" si="18">ROUND(SUM(A92),0)</f>
        <v>0</v>
      </c>
      <c r="P92" s="140" t="str">
        <f t="shared" ref="P92" si="19">CONCATENATE(B92,C92)</f>
        <v>2800/002Div.'s received - Associates</v>
      </c>
      <c r="Q92" s="70"/>
      <c r="S92" s="71"/>
      <c r="T92" s="51"/>
      <c r="U92" s="31"/>
    </row>
    <row r="93" spans="1:21" x14ac:dyDescent="0.2">
      <c r="A93" s="238"/>
      <c r="B93" s="90" t="s">
        <v>991</v>
      </c>
      <c r="C93" s="242" t="s">
        <v>665</v>
      </c>
      <c r="D93" s="250"/>
      <c r="E93" s="251"/>
      <c r="F93" s="132"/>
      <c r="G93" s="132"/>
      <c r="H93" s="132"/>
      <c r="I93" s="79"/>
      <c r="J93" s="198">
        <f>SUMIF(Journals!D$14:D$920,TrialBalance!P93,Journals!J$14:J$920)+SUMIF(Journals!E$14:E$920,TrialBalance!P93,Journals!J$14:J$920)</f>
        <v>0</v>
      </c>
      <c r="K93" s="253"/>
      <c r="L93" s="255">
        <f t="shared" si="16"/>
        <v>0</v>
      </c>
      <c r="M93" s="75"/>
      <c r="N93" s="48">
        <f t="shared" si="14"/>
        <v>0</v>
      </c>
      <c r="P93" s="140" t="str">
        <f t="shared" si="15"/>
        <v>2800/003Div.'s received - Foreign div.'s</v>
      </c>
      <c r="Q93" s="70"/>
      <c r="S93" s="71"/>
      <c r="T93" s="51"/>
      <c r="U93" s="31"/>
    </row>
    <row r="94" spans="1:21" x14ac:dyDescent="0.2">
      <c r="A94" s="238"/>
      <c r="B94" s="54" t="s">
        <v>187</v>
      </c>
      <c r="C94" s="242" t="s">
        <v>625</v>
      </c>
      <c r="D94" s="250"/>
      <c r="E94" s="251"/>
      <c r="F94" s="132"/>
      <c r="G94" s="132"/>
      <c r="H94" s="132"/>
      <c r="I94" s="79"/>
      <c r="J94" s="198">
        <f>SUMIF(Journals!D$14:D$920,TrialBalance!P94,Journals!J$14:J$920)+SUMIF(Journals!E$14:E$920,TrialBalance!P94,Journals!J$14:J$920)</f>
        <v>0</v>
      </c>
      <c r="K94" s="253"/>
      <c r="L94" s="255">
        <f t="shared" si="16"/>
        <v>0</v>
      </c>
      <c r="M94" s="75"/>
      <c r="N94" s="48">
        <f t="shared" si="14"/>
        <v>0</v>
      </c>
      <c r="P94" s="140" t="str">
        <f t="shared" si="15"/>
        <v>2810/000(Profit)/Loss on sale of fixed assets</v>
      </c>
      <c r="Q94" s="70"/>
      <c r="S94" s="71"/>
      <c r="T94" s="51"/>
      <c r="U94" s="31"/>
    </row>
    <row r="95" spans="1:21" x14ac:dyDescent="0.2">
      <c r="A95" s="238"/>
      <c r="B95" s="54" t="s">
        <v>188</v>
      </c>
      <c r="C95" s="240" t="s">
        <v>189</v>
      </c>
      <c r="D95" s="250"/>
      <c r="E95" s="251"/>
      <c r="F95" s="132"/>
      <c r="G95" s="132"/>
      <c r="H95" s="132"/>
      <c r="I95" s="79"/>
      <c r="J95" s="198">
        <f>SUMIF(Journals!D$14:D$920,TrialBalance!P95,Journals!J$14:J$920)+SUMIF(Journals!E$14:E$920,TrialBalance!P95,Journals!J$14:J$920)</f>
        <v>0</v>
      </c>
      <c r="K95" s="253"/>
      <c r="L95" s="255">
        <f t="shared" si="16"/>
        <v>0</v>
      </c>
      <c r="M95" s="75"/>
      <c r="N95" s="48">
        <f t="shared" si="14"/>
        <v>0</v>
      </c>
      <c r="P95" s="140" t="str">
        <f t="shared" si="15"/>
        <v>2820/000Bad debts recovered</v>
      </c>
      <c r="Q95" s="70"/>
      <c r="S95" s="71"/>
      <c r="T95" s="51"/>
      <c r="U95" s="31"/>
    </row>
    <row r="96" spans="1:21" x14ac:dyDescent="0.2">
      <c r="A96" s="238"/>
      <c r="B96" s="54" t="s">
        <v>190</v>
      </c>
      <c r="C96" s="240" t="s">
        <v>191</v>
      </c>
      <c r="D96" s="250"/>
      <c r="E96" s="251"/>
      <c r="F96" s="132"/>
      <c r="G96" s="132"/>
      <c r="H96" s="132"/>
      <c r="I96" s="79"/>
      <c r="J96" s="198">
        <f>SUMIF(Journals!D$14:D$920,TrialBalance!P96,Journals!J$14:J$920)+SUMIF(Journals!E$14:E$920,TrialBalance!P96,Journals!J$14:J$920)</f>
        <v>0</v>
      </c>
      <c r="K96" s="253"/>
      <c r="L96" s="255">
        <f t="shared" si="16"/>
        <v>0</v>
      </c>
      <c r="M96" s="75"/>
      <c r="N96" s="48">
        <f t="shared" si="14"/>
        <v>0</v>
      </c>
      <c r="P96" s="140" t="str">
        <f t="shared" si="15"/>
        <v>2830/000Other income</v>
      </c>
      <c r="Q96" s="70"/>
      <c r="S96" s="51"/>
      <c r="T96" s="51"/>
      <c r="U96" s="31"/>
    </row>
    <row r="97" spans="1:21" x14ac:dyDescent="0.2">
      <c r="A97" s="238"/>
      <c r="B97" s="90" t="s">
        <v>934</v>
      </c>
      <c r="C97" s="242" t="s">
        <v>935</v>
      </c>
      <c r="D97" s="250"/>
      <c r="E97" s="251"/>
      <c r="F97" s="132"/>
      <c r="G97" s="132"/>
      <c r="H97" s="132"/>
      <c r="I97" s="79"/>
      <c r="J97" s="198">
        <f>SUMIF(Journals!D$14:D$920,TrialBalance!P97,Journals!J$14:J$920)+SUMIF(Journals!E$14:E$920,TrialBalance!P97,Journals!J$14:J$920)</f>
        <v>0</v>
      </c>
      <c r="K97" s="253"/>
      <c r="L97" s="255">
        <f t="shared" ref="L97" si="20">ROUND(D97-E97+F97+G97+H97+J97+I97,0)</f>
        <v>0</v>
      </c>
      <c r="M97" s="75"/>
      <c r="N97" s="48">
        <f t="shared" ref="N97" si="21">ROUND(SUM(A97),0)</f>
        <v>0</v>
      </c>
      <c r="P97" s="140" t="str">
        <f t="shared" ref="P97" si="22">CONCATENATE(B97,C97)</f>
        <v>2840/000Revaluation of investment property</v>
      </c>
      <c r="Q97" s="70"/>
      <c r="S97" s="51"/>
      <c r="T97" s="51"/>
      <c r="U97" s="31"/>
    </row>
    <row r="98" spans="1:21" x14ac:dyDescent="0.2">
      <c r="A98" s="238"/>
      <c r="B98" s="54" t="s">
        <v>192</v>
      </c>
      <c r="C98" s="239" t="s">
        <v>834</v>
      </c>
      <c r="D98" s="250"/>
      <c r="E98" s="251"/>
      <c r="F98" s="132"/>
      <c r="G98" s="132"/>
      <c r="H98" s="132"/>
      <c r="I98" s="79"/>
      <c r="J98" s="198">
        <f>SUMIF(Journals!D$14:D$920,TrialBalance!P98,Journals!J$14:J$920)+SUMIF(Journals!E$14:E$920,TrialBalance!P98,Journals!J$14:J$920)</f>
        <v>0</v>
      </c>
      <c r="K98" s="253"/>
      <c r="L98" s="255">
        <f t="shared" si="16"/>
        <v>0</v>
      </c>
      <c r="M98" s="75"/>
      <c r="N98" s="48">
        <f t="shared" si="14"/>
        <v>0</v>
      </c>
      <c r="P98" s="140" t="str">
        <f t="shared" si="15"/>
        <v>3000/000ADMINISTRATIVE EXPENSES</v>
      </c>
      <c r="Q98" s="70"/>
      <c r="S98" s="71"/>
      <c r="T98" s="51"/>
      <c r="U98" s="31"/>
    </row>
    <row r="99" spans="1:21" x14ac:dyDescent="0.2">
      <c r="A99" s="238"/>
      <c r="B99" s="54" t="s">
        <v>193</v>
      </c>
      <c r="C99" s="240" t="s">
        <v>194</v>
      </c>
      <c r="D99" s="250"/>
      <c r="E99" s="251"/>
      <c r="F99" s="132"/>
      <c r="G99" s="132"/>
      <c r="H99" s="132"/>
      <c r="I99" s="79"/>
      <c r="J99" s="198">
        <f>SUMIF(Journals!D$14:D$920,TrialBalance!P99,Journals!J$14:J$920)+SUMIF(Journals!E$14:E$920,TrialBalance!P99,Journals!J$14:J$920)</f>
        <v>0</v>
      </c>
      <c r="K99" s="253"/>
      <c r="L99" s="255">
        <f t="shared" si="16"/>
        <v>0</v>
      </c>
      <c r="M99" s="75"/>
      <c r="N99" s="48">
        <f t="shared" si="14"/>
        <v>0</v>
      </c>
      <c r="P99" s="140" t="str">
        <f t="shared" si="15"/>
        <v>3000/011Audit fees for current year</v>
      </c>
      <c r="Q99" s="70"/>
      <c r="S99" s="51"/>
      <c r="T99" s="51"/>
      <c r="U99" s="31"/>
    </row>
    <row r="100" spans="1:21" x14ac:dyDescent="0.2">
      <c r="A100" s="238"/>
      <c r="B100" s="54" t="s">
        <v>195</v>
      </c>
      <c r="C100" s="246" t="s">
        <v>331</v>
      </c>
      <c r="D100" s="251"/>
      <c r="E100" s="251"/>
      <c r="F100" s="132"/>
      <c r="G100" s="132"/>
      <c r="H100" s="132"/>
      <c r="I100" s="79"/>
      <c r="J100" s="198">
        <f>SUMIF(Journals!D$14:D$920,TrialBalance!P100,Journals!J$14:J$920)+SUMIF(Journals!E$14:E$920,TrialBalance!P100,Journals!J$14:J$920)</f>
        <v>0</v>
      </c>
      <c r="K100" s="253"/>
      <c r="L100" s="255">
        <f t="shared" si="16"/>
        <v>0</v>
      </c>
      <c r="M100" s="75"/>
      <c r="N100" s="48">
        <f t="shared" si="14"/>
        <v>0</v>
      </c>
      <c r="P100" s="140" t="str">
        <f t="shared" si="15"/>
        <v>3000/012Under provision previous year</v>
      </c>
      <c r="Q100" s="70"/>
      <c r="S100" s="71"/>
      <c r="T100" s="51"/>
      <c r="U100" s="31"/>
    </row>
    <row r="101" spans="1:21" x14ac:dyDescent="0.2">
      <c r="A101" s="238"/>
      <c r="B101" s="54" t="s">
        <v>196</v>
      </c>
      <c r="C101" s="240" t="s">
        <v>197</v>
      </c>
      <c r="D101" s="250"/>
      <c r="E101" s="251"/>
      <c r="F101" s="132"/>
      <c r="G101" s="132"/>
      <c r="H101" s="132"/>
      <c r="I101" s="79"/>
      <c r="J101" s="198">
        <f>SUMIF(Journals!D$14:D$920,TrialBalance!P101,Journals!J$14:J$920)+SUMIF(Journals!E$14:E$920,TrialBalance!P101,Journals!J$14:J$920)</f>
        <v>0</v>
      </c>
      <c r="K101" s="253"/>
      <c r="L101" s="255">
        <f t="shared" si="16"/>
        <v>0</v>
      </c>
      <c r="M101" s="75"/>
      <c r="N101" s="48">
        <f t="shared" si="14"/>
        <v>0</v>
      </c>
      <c r="P101" s="140" t="str">
        <f t="shared" si="15"/>
        <v>3000/013Overprovision previous year</v>
      </c>
      <c r="Q101" s="70"/>
      <c r="S101" s="71"/>
      <c r="T101" s="51"/>
      <c r="U101" s="31"/>
    </row>
    <row r="102" spans="1:21" x14ac:dyDescent="0.2">
      <c r="A102" s="238"/>
      <c r="B102" s="54" t="s">
        <v>198</v>
      </c>
      <c r="C102" s="240" t="s">
        <v>199</v>
      </c>
      <c r="D102" s="250"/>
      <c r="E102" s="251"/>
      <c r="F102" s="132"/>
      <c r="G102" s="132"/>
      <c r="H102" s="132"/>
      <c r="I102" s="79"/>
      <c r="J102" s="198">
        <f>SUMIF(Journals!D$14:D$920,TrialBalance!P102,Journals!J$14:J$920)+SUMIF(Journals!E$14:E$920,TrialBalance!P102,Journals!J$14:J$920)</f>
        <v>0</v>
      </c>
      <c r="K102" s="253"/>
      <c r="L102" s="255">
        <f t="shared" si="16"/>
        <v>0</v>
      </c>
      <c r="M102" s="75"/>
      <c r="N102" s="48">
        <f t="shared" si="14"/>
        <v>0</v>
      </c>
      <c r="P102" s="140" t="str">
        <f t="shared" si="15"/>
        <v>3000/014Accounting fees</v>
      </c>
      <c r="Q102" s="70"/>
      <c r="S102" s="71"/>
      <c r="T102" s="51"/>
      <c r="U102" s="31"/>
    </row>
    <row r="103" spans="1:21" x14ac:dyDescent="0.2">
      <c r="A103" s="238"/>
      <c r="B103" s="54" t="s">
        <v>200</v>
      </c>
      <c r="C103" s="240" t="s">
        <v>201</v>
      </c>
      <c r="D103" s="250"/>
      <c r="E103" s="251"/>
      <c r="F103" s="132"/>
      <c r="G103" s="132"/>
      <c r="H103" s="132"/>
      <c r="I103" s="79"/>
      <c r="J103" s="198">
        <f>SUMIF(Journals!D$14:D$920,TrialBalance!P103,Journals!J$14:J$920)+SUMIF(Journals!E$14:E$920,TrialBalance!P103,Journals!J$14:J$920)</f>
        <v>0</v>
      </c>
      <c r="K103" s="253"/>
      <c r="L103" s="255">
        <f>ROUND(D103-E103+F103+G103+H103+J103+I103,0)</f>
        <v>0</v>
      </c>
      <c r="M103" s="75"/>
      <c r="N103" s="48">
        <f t="shared" si="14"/>
        <v>0</v>
      </c>
      <c r="P103" s="140" t="str">
        <f t="shared" si="15"/>
        <v>3000/020Bank charges</v>
      </c>
      <c r="Q103" s="70"/>
      <c r="S103" s="71"/>
      <c r="T103" s="51"/>
      <c r="U103" s="31"/>
    </row>
    <row r="104" spans="1:21" x14ac:dyDescent="0.2">
      <c r="A104" s="238"/>
      <c r="B104" s="54" t="s">
        <v>202</v>
      </c>
      <c r="C104" s="240" t="s">
        <v>203</v>
      </c>
      <c r="D104" s="250"/>
      <c r="E104" s="251"/>
      <c r="F104" s="132"/>
      <c r="G104" s="132"/>
      <c r="H104" s="132"/>
      <c r="I104" s="79"/>
      <c r="J104" s="198">
        <f>SUMIF(Journals!D$14:D$920,TrialBalance!P104,Journals!J$14:J$920)+SUMIF(Journals!E$14:E$920,TrialBalance!P104,Journals!J$14:J$920)</f>
        <v>0</v>
      </c>
      <c r="K104" s="253"/>
      <c r="L104" s="255">
        <f t="shared" si="16"/>
        <v>0</v>
      </c>
      <c r="M104" s="75"/>
      <c r="N104" s="48">
        <f t="shared" si="14"/>
        <v>0</v>
      </c>
      <c r="P104" s="140" t="str">
        <f t="shared" si="15"/>
        <v>3000/030Bad debts</v>
      </c>
      <c r="Q104" s="70"/>
      <c r="S104" s="71"/>
      <c r="T104" s="51"/>
      <c r="U104" s="31"/>
    </row>
    <row r="105" spans="1:21" x14ac:dyDescent="0.2">
      <c r="A105" s="238"/>
      <c r="B105" s="54" t="s">
        <v>204</v>
      </c>
      <c r="C105" s="240" t="s">
        <v>240</v>
      </c>
      <c r="D105" s="250"/>
      <c r="E105" s="251"/>
      <c r="F105" s="132"/>
      <c r="G105" s="132"/>
      <c r="H105" s="132"/>
      <c r="I105" s="79"/>
      <c r="J105" s="198">
        <f>SUMIF(Journals!D$14:D$920,TrialBalance!P105,Journals!J$14:J$920)+SUMIF(Journals!E$14:E$920,TrialBalance!P105,Journals!J$14:J$920)</f>
        <v>0</v>
      </c>
      <c r="K105" s="253"/>
      <c r="L105" s="255">
        <f t="shared" si="16"/>
        <v>0</v>
      </c>
      <c r="M105" s="75"/>
      <c r="N105" s="48">
        <f t="shared" si="14"/>
        <v>0</v>
      </c>
      <c r="P105" s="140" t="str">
        <f t="shared" si="15"/>
        <v>3000/040Cleaning</v>
      </c>
      <c r="Q105" s="70"/>
      <c r="S105" s="71"/>
      <c r="T105" s="51"/>
      <c r="U105" s="31"/>
    </row>
    <row r="106" spans="1:21" x14ac:dyDescent="0.2">
      <c r="A106" s="238"/>
      <c r="B106" s="54" t="s">
        <v>205</v>
      </c>
      <c r="C106" s="240" t="s">
        <v>206</v>
      </c>
      <c r="D106" s="250"/>
      <c r="E106" s="251"/>
      <c r="F106" s="132"/>
      <c r="G106" s="132"/>
      <c r="H106" s="132"/>
      <c r="I106" s="79"/>
      <c r="J106" s="198">
        <f>SUMIF(Journals!D$14:D$920,TrialBalance!P106,Journals!J$14:J$920)+SUMIF(Journals!E$14:E$920,TrialBalance!P106,Journals!J$14:J$920)</f>
        <v>0</v>
      </c>
      <c r="K106" s="253"/>
      <c r="L106" s="255">
        <f t="shared" si="16"/>
        <v>0</v>
      </c>
      <c r="M106" s="75"/>
      <c r="N106" s="48">
        <f t="shared" si="14"/>
        <v>0</v>
      </c>
      <c r="P106" s="140" t="str">
        <f t="shared" si="15"/>
        <v>3000/050Computer expenses</v>
      </c>
      <c r="Q106" s="70"/>
      <c r="S106" s="71"/>
      <c r="T106" s="51"/>
      <c r="U106" s="31"/>
    </row>
    <row r="107" spans="1:21" x14ac:dyDescent="0.2">
      <c r="A107" s="238"/>
      <c r="B107" s="90" t="s">
        <v>645</v>
      </c>
      <c r="C107" s="242" t="s">
        <v>680</v>
      </c>
      <c r="D107" s="250"/>
      <c r="E107" s="251"/>
      <c r="F107" s="132"/>
      <c r="G107" s="132"/>
      <c r="H107" s="132"/>
      <c r="I107" s="79"/>
      <c r="J107" s="198">
        <f>SUMIF(Journals!D$14:D$920,TrialBalance!P107,Journals!J$14:J$920)+SUMIF(Journals!E$14:E$920,TrialBalance!P107,Journals!J$14:J$920)</f>
        <v>0</v>
      </c>
      <c r="K107" s="253"/>
      <c r="L107" s="255">
        <f t="shared" ref="L107" si="23">ROUND(D107-E107+F107+G107+H107+J107+I107,0)</f>
        <v>0</v>
      </c>
      <c r="M107" s="75"/>
      <c r="N107" s="48">
        <f t="shared" si="14"/>
        <v>0</v>
      </c>
      <c r="P107" s="140" t="str">
        <f t="shared" si="15"/>
        <v>3000/055Consulting and professional fees</v>
      </c>
      <c r="Q107" s="70"/>
      <c r="S107" s="71"/>
      <c r="T107" s="51"/>
      <c r="U107" s="31"/>
    </row>
    <row r="108" spans="1:21" x14ac:dyDescent="0.2">
      <c r="A108" s="238"/>
      <c r="B108" s="90" t="s">
        <v>1211</v>
      </c>
      <c r="C108" s="242" t="s">
        <v>1212</v>
      </c>
      <c r="D108" s="250"/>
      <c r="E108" s="251"/>
      <c r="F108" s="132"/>
      <c r="G108" s="132"/>
      <c r="H108" s="132"/>
      <c r="I108" s="79"/>
      <c r="J108" s="198">
        <f>SUMIF(Journals!D$14:D$920,TrialBalance!P108,Journals!J$14:J$920)+SUMIF(Journals!E$14:E$920,TrialBalance!P108,Journals!J$14:J$920)</f>
        <v>0</v>
      </c>
      <c r="K108" s="253"/>
      <c r="L108" s="255">
        <f>ROUND(D108-E108+F108+G108+H108+J108+I108,0)</f>
        <v>0</v>
      </c>
      <c r="M108" s="75"/>
      <c r="N108" s="48">
        <f t="shared" ref="N108" si="24">ROUND(SUM(A108),0)</f>
        <v>0</v>
      </c>
      <c r="P108" s="140" t="str">
        <f t="shared" ref="P108" si="25">CONCATENATE(B108,C108)</f>
        <v>3000/058Defined contribution plan expense</v>
      </c>
      <c r="Q108" s="70"/>
      <c r="S108" s="71"/>
      <c r="T108" s="51"/>
      <c r="U108" s="31"/>
    </row>
    <row r="109" spans="1:21" x14ac:dyDescent="0.2">
      <c r="A109" s="238"/>
      <c r="B109" s="54" t="s">
        <v>207</v>
      </c>
      <c r="C109" s="239" t="s">
        <v>571</v>
      </c>
      <c r="D109" s="250"/>
      <c r="E109" s="251"/>
      <c r="F109" s="132"/>
      <c r="G109" s="132"/>
      <c r="H109" s="132"/>
      <c r="I109" s="79"/>
      <c r="J109" s="198">
        <f>SUMIF(Journals!D$14:D$920,TrialBalance!P109,Journals!J$14:J$920)+SUMIF(Journals!E$14:E$920,TrialBalance!P109,Journals!J$14:J$920)</f>
        <v>0</v>
      </c>
      <c r="K109" s="253"/>
      <c r="L109" s="255">
        <f t="shared" si="16"/>
        <v>0</v>
      </c>
      <c r="M109" s="75"/>
      <c r="N109" s="48">
        <f t="shared" si="14"/>
        <v>0</v>
      </c>
      <c r="P109" s="140" t="str">
        <f t="shared" si="15"/>
        <v>3000/060Depreciation---------------------------------</v>
      </c>
      <c r="Q109" s="70"/>
      <c r="S109" s="71"/>
      <c r="T109" s="51"/>
      <c r="U109" s="31"/>
    </row>
    <row r="110" spans="1:21" x14ac:dyDescent="0.2">
      <c r="A110" s="238"/>
      <c r="B110" s="90" t="s">
        <v>208</v>
      </c>
      <c r="C110" s="241" t="s">
        <v>48</v>
      </c>
      <c r="D110" s="251"/>
      <c r="E110" s="251"/>
      <c r="F110" s="132"/>
      <c r="G110" s="132"/>
      <c r="H110" s="132"/>
      <c r="I110" s="79"/>
      <c r="J110" s="198">
        <f>SUMIF(Journals!D$14:D$920,TrialBalance!P110,Journals!J$14:J$920)+SUMIF(Journals!E$14:E$920,TrialBalance!P110,Journals!J$14:J$920)</f>
        <v>0</v>
      </c>
      <c r="K110" s="253"/>
      <c r="L110" s="255">
        <f t="shared" si="16"/>
        <v>0</v>
      </c>
      <c r="M110" s="75"/>
      <c r="N110" s="48">
        <f t="shared" si="14"/>
        <v>0</v>
      </c>
      <c r="P110" s="140" t="str">
        <f t="shared" ref="P110:P140" si="26">CONCATENATE(B110,C110)</f>
        <v>3000/061Depr - Electronic equipment</v>
      </c>
      <c r="Q110" s="70"/>
      <c r="S110" s="71"/>
      <c r="T110" s="51"/>
      <c r="U110" s="31"/>
    </row>
    <row r="111" spans="1:21" x14ac:dyDescent="0.2">
      <c r="A111" s="238"/>
      <c r="B111" s="90" t="s">
        <v>335</v>
      </c>
      <c r="C111" s="242" t="s">
        <v>718</v>
      </c>
      <c r="D111" s="250"/>
      <c r="E111" s="251"/>
      <c r="F111" s="132"/>
      <c r="G111" s="132"/>
      <c r="H111" s="132"/>
      <c r="I111" s="79"/>
      <c r="J111" s="198">
        <f>SUMIF(Journals!D$14:D$920,TrialBalance!P111,Journals!J$14:J$920)+SUMIF(Journals!E$14:E$920,TrialBalance!P111,Journals!J$14:J$920)</f>
        <v>0</v>
      </c>
      <c r="K111" s="253"/>
      <c r="L111" s="255">
        <f t="shared" si="16"/>
        <v>0</v>
      </c>
      <c r="M111" s="75"/>
      <c r="N111" s="48">
        <f t="shared" si="14"/>
        <v>0</v>
      </c>
      <c r="P111" s="140" t="str">
        <f t="shared" si="26"/>
        <v>3000/063Depr - Furniture and fittings</v>
      </c>
      <c r="Q111" s="70"/>
      <c r="S111" s="71"/>
      <c r="T111" s="51"/>
      <c r="U111" s="31"/>
    </row>
    <row r="112" spans="1:21" x14ac:dyDescent="0.2">
      <c r="A112" s="238"/>
      <c r="B112" s="54" t="s">
        <v>336</v>
      </c>
      <c r="C112" s="239" t="s">
        <v>574</v>
      </c>
      <c r="D112" s="250"/>
      <c r="E112" s="251"/>
      <c r="F112" s="132"/>
      <c r="G112" s="132"/>
      <c r="H112" s="132"/>
      <c r="I112" s="79"/>
      <c r="J112" s="198">
        <f>SUMIF(Journals!D$14:D$920,TrialBalance!P112,Journals!J$14:J$920)+SUMIF(Journals!E$14:E$920,TrialBalance!P112,Journals!J$14:J$920)</f>
        <v>0</v>
      </c>
      <c r="K112" s="253"/>
      <c r="L112" s="255">
        <f t="shared" si="16"/>
        <v>0</v>
      </c>
      <c r="M112" s="75"/>
      <c r="N112" s="48">
        <f t="shared" si="14"/>
        <v>0</v>
      </c>
      <c r="P112" s="140" t="str">
        <f t="shared" si="26"/>
        <v>3000/070Directors' remuneration-----------------</v>
      </c>
      <c r="Q112" s="70"/>
      <c r="S112" s="71"/>
      <c r="T112" s="51"/>
      <c r="U112" s="31"/>
    </row>
    <row r="113" spans="1:21" x14ac:dyDescent="0.2">
      <c r="A113" s="238"/>
      <c r="B113" s="54" t="s">
        <v>337</v>
      </c>
      <c r="C113" s="243" t="str">
        <f>Criteria!E38</f>
        <v>A Director</v>
      </c>
      <c r="D113" s="251"/>
      <c r="E113" s="251"/>
      <c r="F113" s="132"/>
      <c r="G113" s="132"/>
      <c r="H113" s="132"/>
      <c r="I113" s="79"/>
      <c r="J113" s="198">
        <f>SUMIF(Journals!D$14:D$920,TrialBalance!P113,Journals!J$14:J$920)+SUMIF(Journals!E$14:E$920,TrialBalance!P113,Journals!J$14:J$920)</f>
        <v>0</v>
      </c>
      <c r="K113" s="253"/>
      <c r="L113" s="255">
        <f t="shared" si="16"/>
        <v>0</v>
      </c>
      <c r="M113" s="75"/>
      <c r="N113" s="48">
        <f t="shared" si="14"/>
        <v>0</v>
      </c>
      <c r="P113" s="140" t="str">
        <f t="shared" si="26"/>
        <v>3000/071A Director</v>
      </c>
      <c r="Q113" s="70"/>
      <c r="S113" s="71"/>
      <c r="T113" s="51"/>
      <c r="U113" s="31"/>
    </row>
    <row r="114" spans="1:21" x14ac:dyDescent="0.2">
      <c r="A114" s="238"/>
      <c r="B114" s="54" t="s">
        <v>338</v>
      </c>
      <c r="C114" s="243" t="str">
        <f>Criteria!E39</f>
        <v>B Director</v>
      </c>
      <c r="D114" s="251"/>
      <c r="E114" s="251"/>
      <c r="F114" s="132"/>
      <c r="G114" s="132"/>
      <c r="H114" s="132"/>
      <c r="I114" s="79"/>
      <c r="J114" s="198">
        <f>SUMIF(Journals!D$14:D$920,TrialBalance!P114,Journals!J$14:J$920)+SUMIF(Journals!E$14:E$920,TrialBalance!P114,Journals!J$14:J$920)</f>
        <v>0</v>
      </c>
      <c r="K114" s="253"/>
      <c r="L114" s="255">
        <f t="shared" si="16"/>
        <v>0</v>
      </c>
      <c r="M114" s="75"/>
      <c r="N114" s="48">
        <f t="shared" si="14"/>
        <v>0</v>
      </c>
      <c r="P114" s="140" t="str">
        <f t="shared" si="26"/>
        <v>3000/072B Director</v>
      </c>
      <c r="Q114" s="70"/>
      <c r="S114" s="71"/>
      <c r="T114" s="51"/>
      <c r="U114" s="31"/>
    </row>
    <row r="115" spans="1:21" x14ac:dyDescent="0.2">
      <c r="A115" s="238"/>
      <c r="B115" s="54" t="s">
        <v>339</v>
      </c>
      <c r="C115" s="243">
        <f>Criteria!E40</f>
        <v>0</v>
      </c>
      <c r="D115" s="251"/>
      <c r="E115" s="251"/>
      <c r="F115" s="132"/>
      <c r="G115" s="132"/>
      <c r="H115" s="132"/>
      <c r="I115" s="79"/>
      <c r="J115" s="198">
        <f>SUMIF(Journals!D$14:D$920,TrialBalance!P115,Journals!J$14:J$920)+SUMIF(Journals!E$14:E$920,TrialBalance!P115,Journals!J$14:J$920)</f>
        <v>0</v>
      </c>
      <c r="K115" s="253"/>
      <c r="L115" s="255">
        <f t="shared" si="16"/>
        <v>0</v>
      </c>
      <c r="M115" s="75"/>
      <c r="N115" s="48">
        <f t="shared" si="14"/>
        <v>0</v>
      </c>
      <c r="P115" s="140" t="str">
        <f t="shared" si="26"/>
        <v>3000/0730</v>
      </c>
      <c r="Q115" s="70"/>
      <c r="S115" s="71"/>
      <c r="T115" s="51"/>
      <c r="U115" s="31"/>
    </row>
    <row r="116" spans="1:21" x14ac:dyDescent="0.2">
      <c r="A116" s="238"/>
      <c r="B116" s="54" t="s">
        <v>340</v>
      </c>
      <c r="C116" s="243">
        <f>Criteria!E41</f>
        <v>0</v>
      </c>
      <c r="D116" s="251"/>
      <c r="E116" s="251"/>
      <c r="F116" s="132"/>
      <c r="G116" s="132"/>
      <c r="H116" s="132"/>
      <c r="I116" s="79"/>
      <c r="J116" s="198">
        <f>SUMIF(Journals!D$14:D$920,TrialBalance!P116,Journals!J$14:J$920)+SUMIF(Journals!E$14:E$920,TrialBalance!P116,Journals!J$14:J$920)</f>
        <v>0</v>
      </c>
      <c r="K116" s="253"/>
      <c r="L116" s="255">
        <f t="shared" si="16"/>
        <v>0</v>
      </c>
      <c r="M116" s="75"/>
      <c r="N116" s="48">
        <f t="shared" si="14"/>
        <v>0</v>
      </c>
      <c r="P116" s="140" t="str">
        <f t="shared" si="26"/>
        <v>3000/0740</v>
      </c>
      <c r="Q116" s="70"/>
      <c r="S116" s="71"/>
      <c r="T116" s="51"/>
      <c r="U116" s="31"/>
    </row>
    <row r="117" spans="1:21" x14ac:dyDescent="0.2">
      <c r="A117" s="238"/>
      <c r="B117" s="54" t="s">
        <v>341</v>
      </c>
      <c r="C117" s="243">
        <f>Criteria!E42</f>
        <v>0</v>
      </c>
      <c r="D117" s="251"/>
      <c r="E117" s="251"/>
      <c r="F117" s="132"/>
      <c r="G117" s="132"/>
      <c r="H117" s="132"/>
      <c r="I117" s="79"/>
      <c r="J117" s="198">
        <f>SUMIF(Journals!D$14:D$920,TrialBalance!P117,Journals!J$14:J$920)+SUMIF(Journals!E$14:E$920,TrialBalance!P117,Journals!J$14:J$920)</f>
        <v>0</v>
      </c>
      <c r="K117" s="253"/>
      <c r="L117" s="255">
        <f t="shared" si="16"/>
        <v>0</v>
      </c>
      <c r="M117" s="75"/>
      <c r="N117" s="48">
        <f t="shared" si="14"/>
        <v>0</v>
      </c>
      <c r="P117" s="140" t="str">
        <f t="shared" si="26"/>
        <v>3000/0750</v>
      </c>
      <c r="Q117" s="70"/>
      <c r="S117" s="71"/>
      <c r="T117" s="51"/>
      <c r="U117" s="31"/>
    </row>
    <row r="118" spans="1:21" x14ac:dyDescent="0.2">
      <c r="A118" s="238"/>
      <c r="B118" s="54" t="s">
        <v>342</v>
      </c>
      <c r="C118" s="240" t="s">
        <v>241</v>
      </c>
      <c r="D118" s="250"/>
      <c r="E118" s="251"/>
      <c r="F118" s="132"/>
      <c r="G118" s="132"/>
      <c r="H118" s="132"/>
      <c r="I118" s="79"/>
      <c r="J118" s="198">
        <f>SUMIF(Journals!D$14:D$920,TrialBalance!P118,Journals!J$14:J$920)+SUMIF(Journals!E$14:E$920,TrialBalance!P118,Journals!J$14:J$920)</f>
        <v>0</v>
      </c>
      <c r="K118" s="253"/>
      <c r="L118" s="255">
        <f t="shared" si="16"/>
        <v>0</v>
      </c>
      <c r="M118" s="75"/>
      <c r="N118" s="48">
        <f t="shared" si="14"/>
        <v>0</v>
      </c>
      <c r="P118" s="140" t="str">
        <f t="shared" si="26"/>
        <v>3000/080Donations</v>
      </c>
      <c r="Q118" s="70"/>
      <c r="S118" s="71"/>
      <c r="T118" s="51"/>
      <c r="U118" s="31"/>
    </row>
    <row r="119" spans="1:21" x14ac:dyDescent="0.2">
      <c r="A119" s="238"/>
      <c r="B119" s="54" t="s">
        <v>343</v>
      </c>
      <c r="C119" s="240" t="s">
        <v>344</v>
      </c>
      <c r="D119" s="250"/>
      <c r="E119" s="251"/>
      <c r="F119" s="132"/>
      <c r="G119" s="132"/>
      <c r="H119" s="132"/>
      <c r="I119" s="79"/>
      <c r="J119" s="198">
        <f>SUMIF(Journals!D$14:D$920,TrialBalance!P119,Journals!J$14:J$920)+SUMIF(Journals!E$14:E$920,TrialBalance!P119,Journals!J$14:J$920)</f>
        <v>0</v>
      </c>
      <c r="K119" s="253"/>
      <c r="L119" s="255">
        <f t="shared" si="16"/>
        <v>0</v>
      </c>
      <c r="M119" s="75"/>
      <c r="N119" s="48">
        <f t="shared" si="14"/>
        <v>0</v>
      </c>
      <c r="P119" s="140" t="str">
        <f t="shared" si="26"/>
        <v>3000/090Entertainment expenses</v>
      </c>
      <c r="Q119" s="70"/>
      <c r="S119" s="71"/>
      <c r="T119" s="51"/>
      <c r="U119" s="31"/>
    </row>
    <row r="120" spans="1:21" x14ac:dyDescent="0.2">
      <c r="A120" s="238"/>
      <c r="B120" s="56" t="s">
        <v>56</v>
      </c>
      <c r="C120" s="246" t="s">
        <v>305</v>
      </c>
      <c r="D120" s="251"/>
      <c r="E120" s="251"/>
      <c r="F120" s="132"/>
      <c r="G120" s="132"/>
      <c r="H120" s="132"/>
      <c r="I120" s="79"/>
      <c r="J120" s="198">
        <f>SUMIF(Journals!D$14:D$920,TrialBalance!P120,Journals!J$14:J$920)+SUMIF(Journals!E$14:E$920,TrialBalance!P120,Journals!J$14:J$920)</f>
        <v>0</v>
      </c>
      <c r="K120" s="253"/>
      <c r="L120" s="255">
        <f t="shared" si="16"/>
        <v>0</v>
      </c>
      <c r="M120" s="75"/>
      <c r="N120" s="48">
        <f t="shared" si="14"/>
        <v>0</v>
      </c>
      <c r="P120" s="140" t="str">
        <f t="shared" si="26"/>
        <v>3000/095Fines</v>
      </c>
      <c r="Q120" s="70"/>
      <c r="S120" s="71"/>
      <c r="T120" s="51"/>
      <c r="U120" s="31"/>
    </row>
    <row r="121" spans="1:21" x14ac:dyDescent="0.2">
      <c r="A121" s="238"/>
      <c r="B121" s="54" t="s">
        <v>345</v>
      </c>
      <c r="C121" s="240" t="s">
        <v>346</v>
      </c>
      <c r="D121" s="250"/>
      <c r="E121" s="251"/>
      <c r="F121" s="132"/>
      <c r="G121" s="132"/>
      <c r="H121" s="132"/>
      <c r="I121" s="79"/>
      <c r="J121" s="198">
        <f>SUMIF(Journals!D$14:D$920,TrialBalance!P121,Journals!J$14:J$920)+SUMIF(Journals!E$14:E$920,TrialBalance!P121,Journals!J$14:J$920)</f>
        <v>0</v>
      </c>
      <c r="K121" s="253"/>
      <c r="L121" s="255">
        <f t="shared" si="16"/>
        <v>0</v>
      </c>
      <c r="M121" s="75"/>
      <c r="N121" s="48">
        <f t="shared" si="14"/>
        <v>0</v>
      </c>
      <c r="P121" s="140" t="str">
        <f t="shared" si="26"/>
        <v>3000/100General expenses</v>
      </c>
      <c r="Q121" s="70"/>
      <c r="S121" s="71"/>
      <c r="T121" s="51"/>
      <c r="U121" s="31"/>
    </row>
    <row r="122" spans="1:21" x14ac:dyDescent="0.2">
      <c r="A122" s="238"/>
      <c r="B122" s="54" t="s">
        <v>276</v>
      </c>
      <c r="C122" s="241" t="s">
        <v>715</v>
      </c>
      <c r="D122" s="251"/>
      <c r="E122" s="251"/>
      <c r="F122" s="132"/>
      <c r="G122" s="132"/>
      <c r="H122" s="132"/>
      <c r="I122" s="79"/>
      <c r="J122" s="198">
        <f>SUMIF(Journals!D$14:D$920,TrialBalance!P122,Journals!J$14:J$920)+SUMIF(Journals!E$14:E$920,TrialBalance!P122,Journals!J$14:J$920)</f>
        <v>0</v>
      </c>
      <c r="K122" s="253"/>
      <c r="L122" s="255">
        <f t="shared" si="16"/>
        <v>0</v>
      </c>
      <c r="M122" s="75"/>
      <c r="N122" s="48">
        <f t="shared" si="14"/>
        <v>0</v>
      </c>
      <c r="P122" s="140" t="str">
        <f t="shared" si="26"/>
        <v>3000/110Legal expenses - tax deductible</v>
      </c>
      <c r="Q122" s="70"/>
      <c r="S122" s="71"/>
      <c r="T122" s="51"/>
      <c r="U122" s="31"/>
    </row>
    <row r="123" spans="1:21" x14ac:dyDescent="0.2">
      <c r="A123" s="238"/>
      <c r="B123" s="54" t="s">
        <v>420</v>
      </c>
      <c r="C123" s="241" t="s">
        <v>716</v>
      </c>
      <c r="D123" s="251"/>
      <c r="E123" s="251"/>
      <c r="F123" s="132"/>
      <c r="G123" s="132"/>
      <c r="H123" s="132"/>
      <c r="I123" s="79"/>
      <c r="J123" s="198">
        <f>SUMIF(Journals!D$14:D$920,TrialBalance!P123,Journals!J$14:J$920)+SUMIF(Journals!E$14:E$920,TrialBalance!P123,Journals!J$14:J$920)</f>
        <v>0</v>
      </c>
      <c r="K123" s="253"/>
      <c r="L123" s="255">
        <f t="shared" si="16"/>
        <v>0</v>
      </c>
      <c r="M123" s="75"/>
      <c r="N123" s="48">
        <f t="shared" si="14"/>
        <v>0</v>
      </c>
      <c r="P123" s="140" t="str">
        <f t="shared" si="26"/>
        <v>3000/111Legal expenses - non deductible</v>
      </c>
      <c r="Q123" s="70"/>
      <c r="S123" s="71"/>
      <c r="T123" s="51"/>
      <c r="U123" s="31"/>
    </row>
    <row r="124" spans="1:21" x14ac:dyDescent="0.2">
      <c r="A124" s="238"/>
      <c r="B124" s="54" t="s">
        <v>277</v>
      </c>
      <c r="C124" s="240" t="s">
        <v>278</v>
      </c>
      <c r="D124" s="250"/>
      <c r="E124" s="251"/>
      <c r="F124" s="132"/>
      <c r="G124" s="132"/>
      <c r="H124" s="132"/>
      <c r="I124" s="79"/>
      <c r="J124" s="198">
        <f>SUMIF(Journals!D$14:D$920,TrialBalance!P124,Journals!J$14:J$920)+SUMIF(Journals!E$14:E$920,TrialBalance!P124,Journals!J$14:J$920)</f>
        <v>0</v>
      </c>
      <c r="K124" s="253"/>
      <c r="L124" s="255">
        <f t="shared" si="16"/>
        <v>0</v>
      </c>
      <c r="M124" s="75"/>
      <c r="N124" s="48">
        <f t="shared" si="14"/>
        <v>0</v>
      </c>
      <c r="P124" s="140" t="str">
        <f t="shared" si="26"/>
        <v>3000/120Printing and stationary</v>
      </c>
      <c r="Q124" s="70"/>
      <c r="S124" s="71"/>
      <c r="T124" s="51"/>
      <c r="U124" s="31"/>
    </row>
    <row r="125" spans="1:21" x14ac:dyDescent="0.2">
      <c r="A125" s="238"/>
      <c r="B125" s="54" t="s">
        <v>279</v>
      </c>
      <c r="C125" s="240" t="s">
        <v>242</v>
      </c>
      <c r="D125" s="250"/>
      <c r="E125" s="251"/>
      <c r="F125" s="132"/>
      <c r="G125" s="132"/>
      <c r="H125" s="132"/>
      <c r="I125" s="79"/>
      <c r="J125" s="198">
        <f>SUMIF(Journals!D$14:D$920,TrialBalance!P125,Journals!J$14:J$920)+SUMIF(Journals!E$14:E$920,TrialBalance!P125,Journals!J$14:J$920)</f>
        <v>0</v>
      </c>
      <c r="K125" s="253"/>
      <c r="L125" s="255">
        <f t="shared" si="16"/>
        <v>0</v>
      </c>
      <c r="M125" s="75"/>
      <c r="N125" s="48">
        <f t="shared" si="14"/>
        <v>0</v>
      </c>
      <c r="P125" s="140" t="str">
        <f t="shared" si="26"/>
        <v>3000/130Refreshments</v>
      </c>
      <c r="Q125" s="70"/>
      <c r="S125" s="71"/>
      <c r="T125" s="51"/>
      <c r="U125" s="31"/>
    </row>
    <row r="126" spans="1:21" x14ac:dyDescent="0.2">
      <c r="A126" s="238"/>
      <c r="B126" s="54" t="s">
        <v>280</v>
      </c>
      <c r="C126" s="240" t="s">
        <v>59</v>
      </c>
      <c r="D126" s="250"/>
      <c r="E126" s="251"/>
      <c r="F126" s="132"/>
      <c r="G126" s="132"/>
      <c r="H126" s="132"/>
      <c r="I126" s="79"/>
      <c r="J126" s="198">
        <f>SUMIF(Journals!D$14:D$920,TrialBalance!P126,Journals!J$14:J$920)+SUMIF(Journals!E$14:E$920,TrialBalance!P126,Journals!J$14:J$920)</f>
        <v>0</v>
      </c>
      <c r="K126" s="253"/>
      <c r="L126" s="255">
        <f t="shared" si="16"/>
        <v>0</v>
      </c>
      <c r="M126" s="75"/>
      <c r="N126" s="48">
        <f t="shared" si="14"/>
        <v>0</v>
      </c>
      <c r="P126" s="140" t="str">
        <f t="shared" si="26"/>
        <v>3000/140Salaries</v>
      </c>
      <c r="Q126" s="70"/>
      <c r="S126" s="71"/>
      <c r="T126" s="51"/>
      <c r="U126" s="31"/>
    </row>
    <row r="127" spans="1:21" x14ac:dyDescent="0.2">
      <c r="A127" s="238"/>
      <c r="B127" s="90" t="s">
        <v>281</v>
      </c>
      <c r="C127" s="240" t="s">
        <v>63</v>
      </c>
      <c r="D127" s="250"/>
      <c r="E127" s="251"/>
      <c r="F127" s="132"/>
      <c r="G127" s="132"/>
      <c r="H127" s="132"/>
      <c r="I127" s="79"/>
      <c r="J127" s="198">
        <f>SUMIF(Journals!D$14:D$920,TrialBalance!P127,Journals!J$14:J$920)+SUMIF(Journals!E$14:E$920,TrialBalance!P127,Journals!J$14:J$920)</f>
        <v>0</v>
      </c>
      <c r="K127" s="253"/>
      <c r="L127" s="255">
        <f t="shared" si="16"/>
        <v>0</v>
      </c>
      <c r="M127" s="75"/>
      <c r="N127" s="48">
        <f t="shared" si="14"/>
        <v>0</v>
      </c>
      <c r="P127" s="140" t="str">
        <f t="shared" si="26"/>
        <v>3000/141Casual wages</v>
      </c>
      <c r="Q127" s="70"/>
      <c r="S127" s="71"/>
      <c r="T127" s="51"/>
      <c r="U127" s="31"/>
    </row>
    <row r="128" spans="1:21" x14ac:dyDescent="0.2">
      <c r="A128" s="238"/>
      <c r="B128" s="54" t="s">
        <v>282</v>
      </c>
      <c r="C128" s="240" t="s">
        <v>243</v>
      </c>
      <c r="D128" s="250"/>
      <c r="E128" s="251"/>
      <c r="F128" s="132"/>
      <c r="G128" s="132"/>
      <c r="H128" s="132"/>
      <c r="I128" s="79"/>
      <c r="J128" s="198">
        <f>SUMIF(Journals!D$14:D$920,TrialBalance!P128,Journals!J$14:J$920)+SUMIF(Journals!E$14:E$920,TrialBalance!P128,Journals!J$14:J$920)</f>
        <v>0</v>
      </c>
      <c r="K128" s="253"/>
      <c r="L128" s="255">
        <f t="shared" si="16"/>
        <v>0</v>
      </c>
      <c r="M128" s="75"/>
      <c r="N128" s="48">
        <f t="shared" si="14"/>
        <v>0</v>
      </c>
      <c r="P128" s="140" t="str">
        <f t="shared" si="26"/>
        <v>3000/150Security</v>
      </c>
      <c r="Q128" s="70"/>
      <c r="S128" s="71"/>
      <c r="T128" s="51"/>
      <c r="U128" s="31"/>
    </row>
    <row r="129" spans="1:21" x14ac:dyDescent="0.2">
      <c r="A129" s="238"/>
      <c r="B129" s="54" t="s">
        <v>283</v>
      </c>
      <c r="C129" s="242" t="s">
        <v>682</v>
      </c>
      <c r="D129" s="250"/>
      <c r="E129" s="251"/>
      <c r="F129" s="132"/>
      <c r="G129" s="132"/>
      <c r="H129" s="132"/>
      <c r="I129" s="79"/>
      <c r="J129" s="198">
        <f>SUMIF(Journals!D$14:D$920,TrialBalance!P129,Journals!J$14:J$920)+SUMIF(Journals!E$14:E$920,TrialBalance!P129,Journals!J$14:J$920)</f>
        <v>0</v>
      </c>
      <c r="K129" s="253"/>
      <c r="L129" s="255">
        <f t="shared" si="16"/>
        <v>0</v>
      </c>
      <c r="M129" s="75"/>
      <c r="N129" s="48">
        <f t="shared" si="14"/>
        <v>0</v>
      </c>
      <c r="P129" s="140" t="str">
        <f t="shared" si="26"/>
        <v>3000/160Subscriptions and membership fees</v>
      </c>
      <c r="Q129" s="70"/>
      <c r="S129" s="71"/>
      <c r="T129" s="51"/>
      <c r="U129" s="31"/>
    </row>
    <row r="130" spans="1:21" x14ac:dyDescent="0.2">
      <c r="A130" s="238"/>
      <c r="B130" s="54" t="s">
        <v>308</v>
      </c>
      <c r="C130" s="242" t="s">
        <v>717</v>
      </c>
      <c r="D130" s="250"/>
      <c r="E130" s="251"/>
      <c r="F130" s="132"/>
      <c r="G130" s="132"/>
      <c r="H130" s="132"/>
      <c r="I130" s="79"/>
      <c r="J130" s="198">
        <f>SUMIF(Journals!D$14:D$920,TrialBalance!P130,Journals!J$14:J$920)+SUMIF(Journals!E$14:E$920,TrialBalance!P130,Journals!J$14:J$920)</f>
        <v>0</v>
      </c>
      <c r="K130" s="253"/>
      <c r="L130" s="255">
        <f t="shared" si="16"/>
        <v>0</v>
      </c>
      <c r="M130" s="75"/>
      <c r="N130" s="48">
        <f t="shared" si="14"/>
        <v>0</v>
      </c>
      <c r="P130" s="140" t="str">
        <f t="shared" si="26"/>
        <v>3000/170Penalties and interest - SARS</v>
      </c>
      <c r="Q130" s="70"/>
      <c r="S130" s="71"/>
      <c r="T130" s="51"/>
      <c r="U130" s="31"/>
    </row>
    <row r="131" spans="1:21" x14ac:dyDescent="0.2">
      <c r="A131" s="238"/>
      <c r="B131" s="54" t="s">
        <v>254</v>
      </c>
      <c r="C131" s="243"/>
      <c r="D131" s="251"/>
      <c r="E131" s="251"/>
      <c r="F131" s="132"/>
      <c r="G131" s="132"/>
      <c r="H131" s="132"/>
      <c r="I131" s="79"/>
      <c r="J131" s="198">
        <f>SUMIF(Journals!D$14:D$920,TrialBalance!P131,Journals!J$14:J$920)+SUMIF(Journals!E$14:E$920,TrialBalance!P131,Journals!J$14:J$920)</f>
        <v>0</v>
      </c>
      <c r="K131" s="253"/>
      <c r="L131" s="255">
        <f t="shared" si="16"/>
        <v>0</v>
      </c>
      <c r="M131" s="75"/>
      <c r="N131" s="48">
        <f t="shared" si="14"/>
        <v>0</v>
      </c>
      <c r="P131" s="140" t="str">
        <f t="shared" si="26"/>
        <v>3000/180</v>
      </c>
      <c r="Q131" s="70"/>
      <c r="S131" s="71"/>
      <c r="T131" s="51"/>
      <c r="U131" s="31"/>
    </row>
    <row r="132" spans="1:21" x14ac:dyDescent="0.2">
      <c r="A132" s="238"/>
      <c r="B132" s="54" t="s">
        <v>255</v>
      </c>
      <c r="C132" s="243"/>
      <c r="D132" s="251"/>
      <c r="E132" s="251"/>
      <c r="F132" s="132"/>
      <c r="G132" s="132"/>
      <c r="H132" s="132"/>
      <c r="I132" s="79"/>
      <c r="J132" s="198">
        <f>SUMIF(Journals!D$14:D$920,TrialBalance!P132,Journals!J$14:J$920)+SUMIF(Journals!E$14:E$920,TrialBalance!P132,Journals!J$14:J$920)</f>
        <v>0</v>
      </c>
      <c r="K132" s="253"/>
      <c r="L132" s="255">
        <f t="shared" si="16"/>
        <v>0</v>
      </c>
      <c r="M132" s="75"/>
      <c r="N132" s="48">
        <f t="shared" si="14"/>
        <v>0</v>
      </c>
      <c r="P132" s="140" t="str">
        <f t="shared" si="26"/>
        <v>3000/190</v>
      </c>
      <c r="Q132" s="70"/>
      <c r="S132" s="71"/>
      <c r="T132" s="51"/>
      <c r="U132" s="31"/>
    </row>
    <row r="133" spans="1:21" x14ac:dyDescent="0.2">
      <c r="A133" s="238"/>
      <c r="B133" s="54" t="s">
        <v>256</v>
      </c>
      <c r="C133" s="243"/>
      <c r="D133" s="251"/>
      <c r="E133" s="251"/>
      <c r="F133" s="132"/>
      <c r="G133" s="132"/>
      <c r="H133" s="132"/>
      <c r="I133" s="79"/>
      <c r="J133" s="198">
        <f>SUMIF(Journals!D$14:D$920,TrialBalance!P133,Journals!J$14:J$920)+SUMIF(Journals!E$14:E$920,TrialBalance!P133,Journals!J$14:J$920)</f>
        <v>0</v>
      </c>
      <c r="K133" s="253"/>
      <c r="L133" s="255">
        <f t="shared" si="16"/>
        <v>0</v>
      </c>
      <c r="M133" s="75"/>
      <c r="N133" s="48">
        <f t="shared" si="14"/>
        <v>0</v>
      </c>
      <c r="P133" s="140" t="str">
        <f t="shared" si="26"/>
        <v>3000/200</v>
      </c>
      <c r="Q133" s="70"/>
      <c r="S133" s="71"/>
      <c r="T133" s="51"/>
      <c r="U133" s="31"/>
    </row>
    <row r="134" spans="1:21" x14ac:dyDescent="0.2">
      <c r="A134" s="238"/>
      <c r="B134" s="54" t="s">
        <v>257</v>
      </c>
      <c r="C134" s="243"/>
      <c r="D134" s="251"/>
      <c r="E134" s="251"/>
      <c r="F134" s="132"/>
      <c r="G134" s="132"/>
      <c r="H134" s="132"/>
      <c r="I134" s="79"/>
      <c r="J134" s="198">
        <f>SUMIF(Journals!D$14:D$920,TrialBalance!P134,Journals!J$14:J$920)+SUMIF(Journals!E$14:E$920,TrialBalance!P134,Journals!J$14:J$920)</f>
        <v>0</v>
      </c>
      <c r="K134" s="253"/>
      <c r="L134" s="255">
        <f t="shared" si="16"/>
        <v>0</v>
      </c>
      <c r="M134" s="75"/>
      <c r="N134" s="48">
        <f t="shared" si="14"/>
        <v>0</v>
      </c>
      <c r="P134" s="140" t="str">
        <f t="shared" si="26"/>
        <v>3000/210</v>
      </c>
      <c r="Q134" s="70"/>
      <c r="S134" s="71"/>
      <c r="T134" s="51"/>
      <c r="U134" s="31"/>
    </row>
    <row r="135" spans="1:21" x14ac:dyDescent="0.2">
      <c r="A135" s="238"/>
      <c r="B135" s="54" t="s">
        <v>258</v>
      </c>
      <c r="C135" s="243"/>
      <c r="D135" s="251"/>
      <c r="E135" s="251"/>
      <c r="F135" s="132"/>
      <c r="G135" s="132"/>
      <c r="H135" s="132"/>
      <c r="I135" s="79"/>
      <c r="J135" s="198">
        <f>SUMIF(Journals!D$14:D$920,TrialBalance!P135,Journals!J$14:J$920)+SUMIF(Journals!E$14:E$920,TrialBalance!P135,Journals!J$14:J$920)</f>
        <v>0</v>
      </c>
      <c r="K135" s="253"/>
      <c r="L135" s="255">
        <f t="shared" si="16"/>
        <v>0</v>
      </c>
      <c r="M135" s="75"/>
      <c r="N135" s="48">
        <f t="shared" si="14"/>
        <v>0</v>
      </c>
      <c r="P135" s="140" t="str">
        <f t="shared" si="26"/>
        <v>3000/220</v>
      </c>
      <c r="Q135" s="70"/>
      <c r="S135" s="71"/>
      <c r="T135" s="51"/>
      <c r="U135" s="31"/>
    </row>
    <row r="136" spans="1:21" x14ac:dyDescent="0.2">
      <c r="A136" s="238"/>
      <c r="B136" s="90" t="s">
        <v>502</v>
      </c>
      <c r="C136" s="243"/>
      <c r="D136" s="251"/>
      <c r="E136" s="251"/>
      <c r="F136" s="132"/>
      <c r="G136" s="132"/>
      <c r="H136" s="132"/>
      <c r="I136" s="79"/>
      <c r="J136" s="198">
        <f>SUMIF(Journals!D$14:D$920,TrialBalance!P136,Journals!J$14:J$920)+SUMIF(Journals!E$14:E$920,TrialBalance!P136,Journals!J$14:J$920)</f>
        <v>0</v>
      </c>
      <c r="K136" s="253"/>
      <c r="L136" s="255">
        <f t="shared" si="16"/>
        <v>0</v>
      </c>
      <c r="M136" s="75"/>
      <c r="N136" s="48">
        <f t="shared" si="14"/>
        <v>0</v>
      </c>
      <c r="P136" s="140" t="str">
        <f t="shared" si="26"/>
        <v>3000/230</v>
      </c>
      <c r="Q136" s="70"/>
      <c r="S136" s="71"/>
      <c r="T136" s="51"/>
      <c r="U136" s="31"/>
    </row>
    <row r="137" spans="1:21" x14ac:dyDescent="0.2">
      <c r="A137" s="238"/>
      <c r="B137" s="90" t="s">
        <v>503</v>
      </c>
      <c r="C137" s="243"/>
      <c r="D137" s="251"/>
      <c r="E137" s="251"/>
      <c r="F137" s="132"/>
      <c r="G137" s="132"/>
      <c r="H137" s="132"/>
      <c r="I137" s="79"/>
      <c r="J137" s="198">
        <f>SUMIF(Journals!D$14:D$920,TrialBalance!P137,Journals!J$14:J$920)+SUMIF(Journals!E$14:E$920,TrialBalance!P137,Journals!J$14:J$920)</f>
        <v>0</v>
      </c>
      <c r="K137" s="253"/>
      <c r="L137" s="255">
        <f t="shared" si="16"/>
        <v>0</v>
      </c>
      <c r="M137" s="75"/>
      <c r="N137" s="48">
        <f t="shared" si="14"/>
        <v>0</v>
      </c>
      <c r="P137" s="140" t="str">
        <f t="shared" si="26"/>
        <v>3000/240</v>
      </c>
      <c r="Q137" s="70"/>
      <c r="S137" s="71"/>
      <c r="T137" s="51"/>
      <c r="U137" s="31"/>
    </row>
    <row r="138" spans="1:21" x14ac:dyDescent="0.2">
      <c r="A138" s="238"/>
      <c r="B138" s="90" t="s">
        <v>504</v>
      </c>
      <c r="C138" s="243"/>
      <c r="D138" s="251"/>
      <c r="E138" s="251"/>
      <c r="F138" s="132"/>
      <c r="G138" s="132"/>
      <c r="H138" s="132"/>
      <c r="I138" s="79"/>
      <c r="J138" s="198">
        <f>SUMIF(Journals!D$14:D$920,TrialBalance!P138,Journals!J$14:J$920)+SUMIF(Journals!E$14:E$920,TrialBalance!P138,Journals!J$14:J$920)</f>
        <v>0</v>
      </c>
      <c r="K138" s="253"/>
      <c r="L138" s="255">
        <f t="shared" ref="L138:L206" si="27">ROUND(D138-E138+F138+G138+H138+J138+I138,0)</f>
        <v>0</v>
      </c>
      <c r="M138" s="75"/>
      <c r="N138" s="48">
        <f t="shared" si="14"/>
        <v>0</v>
      </c>
      <c r="P138" s="140" t="str">
        <f t="shared" si="26"/>
        <v>3000/250</v>
      </c>
      <c r="Q138" s="70"/>
      <c r="S138" s="71"/>
      <c r="T138" s="51"/>
      <c r="U138" s="31"/>
    </row>
    <row r="139" spans="1:21" x14ac:dyDescent="0.2">
      <c r="A139" s="238"/>
      <c r="B139" s="90" t="s">
        <v>505</v>
      </c>
      <c r="C139" s="243"/>
      <c r="D139" s="251"/>
      <c r="E139" s="251"/>
      <c r="F139" s="132"/>
      <c r="G139" s="132"/>
      <c r="H139" s="132"/>
      <c r="I139" s="79"/>
      <c r="J139" s="198">
        <f>SUMIF(Journals!D$14:D$920,TrialBalance!P139,Journals!J$14:J$920)+SUMIF(Journals!E$14:E$920,TrialBalance!P139,Journals!J$14:J$920)</f>
        <v>0</v>
      </c>
      <c r="K139" s="253"/>
      <c r="L139" s="255">
        <f t="shared" si="27"/>
        <v>0</v>
      </c>
      <c r="M139" s="75"/>
      <c r="N139" s="48">
        <f t="shared" si="14"/>
        <v>0</v>
      </c>
      <c r="P139" s="140" t="str">
        <f t="shared" si="26"/>
        <v>3000/260</v>
      </c>
      <c r="Q139" s="70"/>
      <c r="S139" s="71"/>
      <c r="T139" s="51"/>
      <c r="U139" s="31"/>
    </row>
    <row r="140" spans="1:21" x14ac:dyDescent="0.2">
      <c r="A140" s="238"/>
      <c r="B140" s="90" t="s">
        <v>506</v>
      </c>
      <c r="C140" s="241" t="s">
        <v>881</v>
      </c>
      <c r="D140" s="251"/>
      <c r="E140" s="251"/>
      <c r="F140" s="132"/>
      <c r="G140" s="132"/>
      <c r="H140" s="132"/>
      <c r="I140" s="79"/>
      <c r="J140" s="198">
        <f>SUMIF(Journals!D$14:D$920,TrialBalance!P140,Journals!J$14:J$920)+SUMIF(Journals!E$14:E$920,TrialBalance!P140,Journals!J$14:J$920)</f>
        <v>0</v>
      </c>
      <c r="K140" s="253"/>
      <c r="L140" s="255">
        <f t="shared" si="27"/>
        <v>0</v>
      </c>
      <c r="M140" s="75"/>
      <c r="N140" s="48">
        <f t="shared" si="14"/>
        <v>0</v>
      </c>
      <c r="P140" s="140" t="str">
        <f t="shared" si="26"/>
        <v>3000/270Amortisation of prepaid lease agreement</v>
      </c>
      <c r="Q140" s="70"/>
      <c r="S140" s="71"/>
      <c r="T140" s="51"/>
      <c r="U140" s="31"/>
    </row>
    <row r="141" spans="1:21" x14ac:dyDescent="0.2">
      <c r="A141" s="238"/>
      <c r="B141" s="90" t="s">
        <v>882</v>
      </c>
      <c r="C141" s="242" t="s">
        <v>883</v>
      </c>
      <c r="D141" s="251"/>
      <c r="E141" s="251"/>
      <c r="F141" s="132"/>
      <c r="G141" s="132"/>
      <c r="H141" s="132"/>
      <c r="I141" s="79"/>
      <c r="J141" s="198">
        <f>SUMIF(Journals!D$14:D$920,TrialBalance!P141,Journals!J$14:J$920)+SUMIF(Journals!E$14:E$920,TrialBalance!P141,Journals!J$14:J$920)</f>
        <v>0</v>
      </c>
      <c r="K141" s="253"/>
      <c r="L141" s="255">
        <f>ROUND(D141-E141+F141+G141+H141+J141+I141,0)</f>
        <v>0</v>
      </c>
      <c r="M141" s="75"/>
      <c r="N141" s="48">
        <f t="shared" ref="N141" si="28">ROUND(SUM(A141),0)</f>
        <v>0</v>
      </c>
      <c r="P141" s="140" t="str">
        <f t="shared" ref="P141" si="29">CONCATENATE(B141,C141)</f>
        <v>3000/280Amortisation of goodwill</v>
      </c>
      <c r="Q141" s="70"/>
      <c r="S141" s="71"/>
      <c r="T141" s="51"/>
      <c r="U141" s="31"/>
    </row>
    <row r="142" spans="1:21" x14ac:dyDescent="0.2">
      <c r="A142" s="238"/>
      <c r="B142" s="54" t="s">
        <v>284</v>
      </c>
      <c r="C142" s="239" t="s">
        <v>103</v>
      </c>
      <c r="D142" s="250"/>
      <c r="E142" s="251"/>
      <c r="F142" s="132"/>
      <c r="G142" s="132"/>
      <c r="H142" s="132"/>
      <c r="I142" s="79"/>
      <c r="J142" s="198">
        <f>SUMIF(Journals!D$14:D$920,TrialBalance!P142,Journals!J$14:J$920)+SUMIF(Journals!E$14:E$920,TrialBalance!P142,Journals!J$14:J$920)</f>
        <v>0</v>
      </c>
      <c r="K142" s="253"/>
      <c r="L142" s="255">
        <f t="shared" si="27"/>
        <v>0</v>
      </c>
      <c r="M142" s="75"/>
      <c r="N142" s="48">
        <f t="shared" ref="N142:N206" si="30">ROUND(SUM(A142),0)</f>
        <v>0</v>
      </c>
      <c r="P142" s="140" t="str">
        <f t="shared" ref="P142:P165" si="31">CONCATENATE(B142,C142)</f>
        <v>4700/000FINANCE COSTS</v>
      </c>
      <c r="Q142" s="70"/>
      <c r="S142" s="71"/>
      <c r="T142" s="51"/>
      <c r="U142" s="31"/>
    </row>
    <row r="143" spans="1:21" x14ac:dyDescent="0.2">
      <c r="A143" s="238"/>
      <c r="B143" s="54" t="s">
        <v>285</v>
      </c>
      <c r="C143" s="239" t="s">
        <v>575</v>
      </c>
      <c r="D143" s="250"/>
      <c r="E143" s="251"/>
      <c r="F143" s="132"/>
      <c r="G143" s="132"/>
      <c r="H143" s="132"/>
      <c r="I143" s="79"/>
      <c r="J143" s="198">
        <f>SUMIF(Journals!D$14:D$920,TrialBalance!P143,Journals!J$14:J$920)+SUMIF(Journals!E$14:E$920,TrialBalance!P143,Journals!J$14:J$920)</f>
        <v>0</v>
      </c>
      <c r="K143" s="253"/>
      <c r="L143" s="255">
        <f t="shared" si="27"/>
        <v>0</v>
      </c>
      <c r="M143" s="75"/>
      <c r="N143" s="48">
        <f t="shared" si="30"/>
        <v>0</v>
      </c>
      <c r="P143" s="140" t="str">
        <f t="shared" si="31"/>
        <v>4700/010Interest paid--------------------------------</v>
      </c>
      <c r="Q143" s="70"/>
      <c r="S143" s="71"/>
      <c r="T143" s="51"/>
      <c r="U143" s="31"/>
    </row>
    <row r="144" spans="1:21" x14ac:dyDescent="0.2">
      <c r="A144" s="238"/>
      <c r="B144" s="54" t="s">
        <v>287</v>
      </c>
      <c r="C144" s="243"/>
      <c r="D144" s="250"/>
      <c r="E144" s="251"/>
      <c r="F144" s="132"/>
      <c r="G144" s="132"/>
      <c r="H144" s="132"/>
      <c r="I144" s="79"/>
      <c r="J144" s="198">
        <f>SUMIF(Journals!D$14:D$920,TrialBalance!P144,Journals!J$14:J$920)+SUMIF(Journals!E$14:E$920,TrialBalance!P144,Journals!J$14:J$920)</f>
        <v>0</v>
      </c>
      <c r="K144" s="253"/>
      <c r="L144" s="255">
        <f t="shared" si="27"/>
        <v>0</v>
      </c>
      <c r="M144" s="75"/>
      <c r="N144" s="48">
        <f t="shared" si="30"/>
        <v>0</v>
      </c>
      <c r="P144" s="140" t="str">
        <f t="shared" si="31"/>
        <v>4700/011</v>
      </c>
      <c r="Q144" s="70"/>
      <c r="S144" s="71"/>
      <c r="T144" s="51"/>
      <c r="U144" s="31"/>
    </row>
    <row r="145" spans="1:21" x14ac:dyDescent="0.2">
      <c r="A145" s="238"/>
      <c r="B145" s="54" t="s">
        <v>288</v>
      </c>
      <c r="C145" s="243"/>
      <c r="D145" s="251"/>
      <c r="E145" s="251"/>
      <c r="F145" s="132"/>
      <c r="G145" s="132"/>
      <c r="H145" s="132"/>
      <c r="I145" s="79"/>
      <c r="J145" s="198">
        <f>SUMIF(Journals!D$14:D$920,TrialBalance!P145,Journals!J$14:J$920)+SUMIF(Journals!E$14:E$920,TrialBalance!P145,Journals!J$14:J$920)</f>
        <v>0</v>
      </c>
      <c r="K145" s="253"/>
      <c r="L145" s="255">
        <f t="shared" si="27"/>
        <v>0</v>
      </c>
      <c r="M145" s="75"/>
      <c r="N145" s="48">
        <f t="shared" si="30"/>
        <v>0</v>
      </c>
      <c r="P145" s="140" t="str">
        <f t="shared" si="31"/>
        <v>4700/012</v>
      </c>
      <c r="Q145" s="70"/>
      <c r="S145" s="71"/>
      <c r="T145" s="51"/>
      <c r="U145" s="31"/>
    </row>
    <row r="146" spans="1:21" x14ac:dyDescent="0.2">
      <c r="A146" s="238"/>
      <c r="B146" s="54" t="s">
        <v>289</v>
      </c>
      <c r="C146" s="243"/>
      <c r="D146" s="251"/>
      <c r="E146" s="251"/>
      <c r="F146" s="132"/>
      <c r="G146" s="132"/>
      <c r="H146" s="132"/>
      <c r="I146" s="79"/>
      <c r="J146" s="198">
        <f>SUMIF(Journals!D$14:D$920,TrialBalance!P146,Journals!J$14:J$920)+SUMIF(Journals!E$14:E$920,TrialBalance!P146,Journals!J$14:J$920)</f>
        <v>0</v>
      </c>
      <c r="K146" s="253"/>
      <c r="L146" s="255">
        <f t="shared" si="27"/>
        <v>0</v>
      </c>
      <c r="M146" s="75"/>
      <c r="N146" s="48">
        <f t="shared" si="30"/>
        <v>0</v>
      </c>
      <c r="P146" s="140" t="str">
        <f t="shared" si="31"/>
        <v>4700/013</v>
      </c>
      <c r="Q146" s="70"/>
      <c r="S146" s="71"/>
      <c r="T146" s="51"/>
      <c r="U146" s="31"/>
    </row>
    <row r="147" spans="1:21" x14ac:dyDescent="0.2">
      <c r="A147" s="238"/>
      <c r="B147" s="54" t="s">
        <v>290</v>
      </c>
      <c r="C147" s="243"/>
      <c r="D147" s="251"/>
      <c r="E147" s="251"/>
      <c r="F147" s="132"/>
      <c r="G147" s="132"/>
      <c r="H147" s="132"/>
      <c r="I147" s="79"/>
      <c r="J147" s="198">
        <f>SUMIF(Journals!D$14:D$920,TrialBalance!P147,Journals!J$14:J$920)+SUMIF(Journals!E$14:E$920,TrialBalance!P147,Journals!J$14:J$920)</f>
        <v>0</v>
      </c>
      <c r="K147" s="253"/>
      <c r="L147" s="255">
        <f t="shared" ref="L147:L149" si="32">ROUND(D147-E147+F147+G147+H147+J147+I147,0)</f>
        <v>0</v>
      </c>
      <c r="M147" s="75"/>
      <c r="N147" s="48">
        <f t="shared" si="30"/>
        <v>0</v>
      </c>
      <c r="P147" s="140" t="str">
        <f t="shared" si="31"/>
        <v>4700/014</v>
      </c>
      <c r="Q147" s="70"/>
      <c r="S147" s="71"/>
      <c r="T147" s="51"/>
      <c r="U147" s="31"/>
    </row>
    <row r="148" spans="1:21" x14ac:dyDescent="0.2">
      <c r="A148" s="238"/>
      <c r="B148" s="54" t="s">
        <v>481</v>
      </c>
      <c r="C148" s="243"/>
      <c r="D148" s="251"/>
      <c r="E148" s="251"/>
      <c r="F148" s="132"/>
      <c r="G148" s="132"/>
      <c r="H148" s="132"/>
      <c r="I148" s="79"/>
      <c r="J148" s="198">
        <f>SUMIF(Journals!D$14:D$920,TrialBalance!P148,Journals!J$14:J$920)+SUMIF(Journals!E$14:E$920,TrialBalance!P148,Journals!J$14:J$920)</f>
        <v>0</v>
      </c>
      <c r="K148" s="253"/>
      <c r="L148" s="255">
        <f t="shared" si="32"/>
        <v>0</v>
      </c>
      <c r="M148" s="75"/>
      <c r="N148" s="48">
        <f t="shared" si="30"/>
        <v>0</v>
      </c>
      <c r="P148" s="140" t="str">
        <f t="shared" si="31"/>
        <v>4700/015</v>
      </c>
      <c r="Q148" s="70"/>
      <c r="S148" s="71"/>
      <c r="T148" s="51"/>
      <c r="U148" s="31"/>
    </row>
    <row r="149" spans="1:21" x14ac:dyDescent="0.2">
      <c r="A149" s="238"/>
      <c r="B149" s="54" t="s">
        <v>488</v>
      </c>
      <c r="C149" s="243"/>
      <c r="D149" s="251"/>
      <c r="E149" s="251"/>
      <c r="F149" s="132"/>
      <c r="G149" s="132"/>
      <c r="H149" s="132"/>
      <c r="I149" s="79"/>
      <c r="J149" s="198">
        <f>SUMIF(Journals!D$14:D$920,TrialBalance!P149,Journals!J$14:J$920)+SUMIF(Journals!E$14:E$920,TrialBalance!P149,Journals!J$14:J$920)</f>
        <v>0</v>
      </c>
      <c r="K149" s="253"/>
      <c r="L149" s="255">
        <f t="shared" si="32"/>
        <v>0</v>
      </c>
      <c r="M149" s="75"/>
      <c r="N149" s="48">
        <f t="shared" si="30"/>
        <v>0</v>
      </c>
      <c r="P149" s="140" t="str">
        <f t="shared" si="31"/>
        <v>4700/016</v>
      </c>
      <c r="Q149" s="70"/>
      <c r="S149" s="71"/>
      <c r="T149" s="51"/>
      <c r="U149" s="31"/>
    </row>
    <row r="150" spans="1:21" x14ac:dyDescent="0.2">
      <c r="A150" s="238"/>
      <c r="B150" s="90" t="s">
        <v>537</v>
      </c>
      <c r="C150" s="243"/>
      <c r="D150" s="251"/>
      <c r="E150" s="251"/>
      <c r="F150" s="132"/>
      <c r="G150" s="132"/>
      <c r="H150" s="132"/>
      <c r="I150" s="79"/>
      <c r="J150" s="198">
        <f>SUMIF(Journals!D$14:D$920,TrialBalance!P150,Journals!J$14:J$920)+SUMIF(Journals!E$14:E$920,TrialBalance!P150,Journals!J$14:J$920)</f>
        <v>0</v>
      </c>
      <c r="K150" s="253"/>
      <c r="L150" s="255">
        <f t="shared" si="27"/>
        <v>0</v>
      </c>
      <c r="M150" s="75"/>
      <c r="N150" s="48">
        <f t="shared" si="30"/>
        <v>0</v>
      </c>
      <c r="P150" s="140" t="str">
        <f t="shared" si="31"/>
        <v>4700/017</v>
      </c>
      <c r="Q150" s="70"/>
      <c r="S150" s="71"/>
      <c r="T150" s="51"/>
      <c r="U150" s="31"/>
    </row>
    <row r="151" spans="1:21" x14ac:dyDescent="0.2">
      <c r="A151" s="238"/>
      <c r="B151" s="90" t="s">
        <v>616</v>
      </c>
      <c r="C151" s="243"/>
      <c r="D151" s="251"/>
      <c r="E151" s="251"/>
      <c r="F151" s="132"/>
      <c r="G151" s="132"/>
      <c r="H151" s="132"/>
      <c r="I151" s="79"/>
      <c r="J151" s="198">
        <f>SUMIF(Journals!D$14:D$920,TrialBalance!P151,Journals!J$14:J$920)+SUMIF(Journals!E$14:E$920,TrialBalance!P151,Journals!J$14:J$920)</f>
        <v>0</v>
      </c>
      <c r="K151" s="253"/>
      <c r="L151" s="255">
        <f t="shared" si="27"/>
        <v>0</v>
      </c>
      <c r="M151" s="75"/>
      <c r="N151" s="48">
        <f t="shared" si="30"/>
        <v>0</v>
      </c>
      <c r="P151" s="140" t="str">
        <f t="shared" si="31"/>
        <v>4700/018</v>
      </c>
      <c r="Q151" s="70"/>
      <c r="S151" s="71"/>
      <c r="T151" s="51"/>
      <c r="U151" s="31"/>
    </row>
    <row r="152" spans="1:21" x14ac:dyDescent="0.2">
      <c r="A152" s="238"/>
      <c r="B152" s="90" t="s">
        <v>617</v>
      </c>
      <c r="C152" s="243"/>
      <c r="D152" s="251"/>
      <c r="E152" s="251"/>
      <c r="F152" s="132"/>
      <c r="G152" s="132"/>
      <c r="H152" s="132"/>
      <c r="I152" s="79"/>
      <c r="J152" s="198">
        <f>SUMIF(Journals!D$14:D$920,TrialBalance!P152,Journals!J$14:J$920)+SUMIF(Journals!E$14:E$920,TrialBalance!P152,Journals!J$14:J$920)</f>
        <v>0</v>
      </c>
      <c r="K152" s="253"/>
      <c r="L152" s="255">
        <f t="shared" si="27"/>
        <v>0</v>
      </c>
      <c r="M152" s="75"/>
      <c r="N152" s="48">
        <f t="shared" si="30"/>
        <v>0</v>
      </c>
      <c r="P152" s="140" t="str">
        <f t="shared" si="31"/>
        <v>4700/019</v>
      </c>
      <c r="Q152" s="70"/>
      <c r="S152" s="71"/>
      <c r="T152" s="51"/>
      <c r="U152" s="31"/>
    </row>
    <row r="153" spans="1:21" x14ac:dyDescent="0.2">
      <c r="A153" s="238"/>
      <c r="B153" s="90" t="s">
        <v>291</v>
      </c>
      <c r="C153" s="243"/>
      <c r="D153" s="250"/>
      <c r="E153" s="251"/>
      <c r="F153" s="132"/>
      <c r="G153" s="132"/>
      <c r="H153" s="132"/>
      <c r="I153" s="79"/>
      <c r="J153" s="198">
        <f>SUMIF(Journals!D$14:D$920,TrialBalance!P153,Journals!J$14:J$920)+SUMIF(Journals!E$14:E$920,TrialBalance!P153,Journals!J$14:J$920)</f>
        <v>0</v>
      </c>
      <c r="K153" s="253"/>
      <c r="L153" s="255">
        <f t="shared" si="27"/>
        <v>0</v>
      </c>
      <c r="M153" s="75"/>
      <c r="N153" s="48">
        <f t="shared" si="30"/>
        <v>0</v>
      </c>
      <c r="P153" s="140" t="str">
        <f t="shared" si="31"/>
        <v>4700/020</v>
      </c>
      <c r="Q153" s="70"/>
      <c r="S153" s="71"/>
      <c r="T153" s="51"/>
      <c r="U153" s="31"/>
    </row>
    <row r="154" spans="1:21" x14ac:dyDescent="0.2">
      <c r="A154" s="238"/>
      <c r="B154" s="90" t="s">
        <v>618</v>
      </c>
      <c r="C154" s="240" t="str">
        <f>IF(Criteria!H13=0,"Finance leases",IF(Criteria!H14=0,"Finance leases",CONCATENATE("Finance leases - ",Criteria!H13)))</f>
        <v>Finance leases - Financial instruments</v>
      </c>
      <c r="D154" s="250"/>
      <c r="E154" s="251"/>
      <c r="F154" s="132"/>
      <c r="G154" s="132"/>
      <c r="H154" s="132"/>
      <c r="I154" s="79"/>
      <c r="J154" s="198">
        <f>SUMIF(Journals!D$14:D$920,TrialBalance!P154,Journals!J$14:J$920)+SUMIF(Journals!E$14:E$920,TrialBalance!P154,Journals!J$14:J$920)</f>
        <v>0</v>
      </c>
      <c r="K154" s="253"/>
      <c r="L154" s="255">
        <f t="shared" si="27"/>
        <v>0</v>
      </c>
      <c r="M154" s="75"/>
      <c r="N154" s="48">
        <f t="shared" si="30"/>
        <v>0</v>
      </c>
      <c r="P154" s="140" t="str">
        <f t="shared" si="31"/>
        <v>4700/021Finance leases - Financial instruments</v>
      </c>
      <c r="Q154" s="70"/>
      <c r="S154" s="71"/>
      <c r="T154" s="51"/>
      <c r="U154" s="31"/>
    </row>
    <row r="155" spans="1:21" x14ac:dyDescent="0.2">
      <c r="A155" s="238"/>
      <c r="B155" s="54" t="s">
        <v>421</v>
      </c>
      <c r="C155" s="239" t="s">
        <v>326</v>
      </c>
      <c r="D155" s="251"/>
      <c r="E155" s="251"/>
      <c r="F155" s="132"/>
      <c r="G155" s="132"/>
      <c r="H155" s="132"/>
      <c r="I155" s="79"/>
      <c r="J155" s="198">
        <f>SUMIF(Journals!D$14:D$920,TrialBalance!P155,Journals!J$14:J$920)+SUMIF(Journals!E$14:E$920,TrialBalance!P155,Journals!J$14:J$920)</f>
        <v>0</v>
      </c>
      <c r="K155" s="253"/>
      <c r="L155" s="255">
        <f t="shared" si="27"/>
        <v>0</v>
      </c>
      <c r="M155" s="75"/>
      <c r="N155" s="48">
        <f t="shared" si="30"/>
        <v>0</v>
      </c>
      <c r="P155" s="140" t="str">
        <f t="shared" si="31"/>
        <v>4750/000OTHER</v>
      </c>
      <c r="Q155" s="70"/>
      <c r="S155" s="71"/>
      <c r="T155" s="51"/>
      <c r="U155" s="31"/>
    </row>
    <row r="156" spans="1:21" x14ac:dyDescent="0.2">
      <c r="A156" s="238"/>
      <c r="B156" s="54" t="s">
        <v>422</v>
      </c>
      <c r="C156" s="241" t="s">
        <v>921</v>
      </c>
      <c r="D156" s="250"/>
      <c r="E156" s="251"/>
      <c r="F156" s="132"/>
      <c r="G156" s="132"/>
      <c r="H156" s="132"/>
      <c r="I156" s="79"/>
      <c r="J156" s="198">
        <f>SUMIF(Journals!D$14:D$920,TrialBalance!P156,Journals!J$14:J$920)+SUMIF(Journals!E$14:E$920,TrialBalance!P156,Journals!J$14:J$920)</f>
        <v>0</v>
      </c>
      <c r="K156" s="253"/>
      <c r="L156" s="255">
        <f t="shared" si="27"/>
        <v>0</v>
      </c>
      <c r="M156" s="75"/>
      <c r="N156" s="48">
        <f t="shared" si="30"/>
        <v>0</v>
      </c>
      <c r="P156" s="140" t="str">
        <f t="shared" si="31"/>
        <v>4750/010Impairment losses</v>
      </c>
      <c r="Q156" s="70"/>
      <c r="S156" s="71"/>
      <c r="T156" s="51"/>
      <c r="U156" s="31"/>
    </row>
    <row r="157" spans="1:21" x14ac:dyDescent="0.2">
      <c r="A157" s="238"/>
      <c r="B157" s="54" t="s">
        <v>292</v>
      </c>
      <c r="C157" s="239" t="s">
        <v>293</v>
      </c>
      <c r="D157" s="250"/>
      <c r="E157" s="251"/>
      <c r="F157" s="132"/>
      <c r="G157" s="132"/>
      <c r="H157" s="132"/>
      <c r="I157" s="79"/>
      <c r="J157" s="198">
        <f>SUMIF(Journals!D$14:D$920,TrialBalance!P157,Journals!J$14:J$920)+SUMIF(Journals!E$14:E$920,TrialBalance!P157,Journals!J$14:J$920)</f>
        <v>0</v>
      </c>
      <c r="K157" s="253"/>
      <c r="L157" s="255">
        <f t="shared" si="27"/>
        <v>0</v>
      </c>
      <c r="M157" s="75"/>
      <c r="N157" s="48">
        <f t="shared" si="30"/>
        <v>0</v>
      </c>
      <c r="P157" s="140" t="str">
        <f t="shared" si="31"/>
        <v>4800/000NORMAL TAXATION</v>
      </c>
      <c r="Q157" s="70"/>
      <c r="S157" s="71"/>
      <c r="T157" s="51"/>
      <c r="U157" s="31"/>
    </row>
    <row r="158" spans="1:21" x14ac:dyDescent="0.2">
      <c r="A158" s="238"/>
      <c r="B158" s="54" t="s">
        <v>294</v>
      </c>
      <c r="C158" s="240" t="s">
        <v>295</v>
      </c>
      <c r="D158" s="250"/>
      <c r="E158" s="251"/>
      <c r="F158" s="132">
        <f>TrialBalanceA!I158</f>
        <v>0</v>
      </c>
      <c r="G158" s="132">
        <f>TrialBalanceB!I158</f>
        <v>0</v>
      </c>
      <c r="H158" s="132">
        <f>TrialBalanceC!I158</f>
        <v>0</v>
      </c>
      <c r="I158" s="79"/>
      <c r="J158" s="198">
        <f>SUMIF(Journals!D$14:D$920,TrialBalance!P158,Journals!J$14:J$920)+SUMIF(Journals!E$14:E$920,TrialBalance!P158,Journals!J$14:J$920)</f>
        <v>0</v>
      </c>
      <c r="K158" s="253"/>
      <c r="L158" s="255">
        <f t="shared" si="27"/>
        <v>0</v>
      </c>
      <c r="M158" s="75"/>
      <c r="N158" s="48">
        <f t="shared" si="30"/>
        <v>0</v>
      </c>
      <c r="P158" s="140" t="str">
        <f t="shared" si="31"/>
        <v>4800/001Tax provided this year</v>
      </c>
      <c r="Q158" s="70"/>
      <c r="S158" s="71"/>
      <c r="T158" s="51"/>
      <c r="U158" s="31"/>
    </row>
    <row r="159" spans="1:21" x14ac:dyDescent="0.2">
      <c r="A159" s="238"/>
      <c r="B159" s="54" t="s">
        <v>296</v>
      </c>
      <c r="C159" s="240" t="s">
        <v>297</v>
      </c>
      <c r="D159" s="250"/>
      <c r="E159" s="251"/>
      <c r="F159" s="132">
        <f>TrialBalanceA!I159</f>
        <v>0</v>
      </c>
      <c r="G159" s="132">
        <f>TrialBalanceB!I159</f>
        <v>0</v>
      </c>
      <c r="H159" s="132">
        <f>TrialBalanceC!I159</f>
        <v>0</v>
      </c>
      <c r="I159" s="79"/>
      <c r="J159" s="198">
        <f>SUMIF(Journals!D$14:D$920,TrialBalance!P159,Journals!J$14:J$920)+SUMIF(Journals!E$14:E$920,TrialBalance!P159,Journals!J$14:J$920)</f>
        <v>0</v>
      </c>
      <c r="K159" s="253"/>
      <c r="L159" s="255">
        <f t="shared" si="27"/>
        <v>0</v>
      </c>
      <c r="M159" s="75"/>
      <c r="N159" s="48">
        <f t="shared" si="30"/>
        <v>0</v>
      </c>
      <c r="P159" s="140" t="str">
        <f t="shared" si="31"/>
        <v>4800/002Tax adjustment previous year</v>
      </c>
      <c r="Q159" s="70"/>
      <c r="S159" s="71"/>
      <c r="T159" s="51"/>
      <c r="U159" s="31"/>
    </row>
    <row r="160" spans="1:21" x14ac:dyDescent="0.2">
      <c r="A160" s="238"/>
      <c r="B160" s="54" t="s">
        <v>177</v>
      </c>
      <c r="C160" s="239" t="s">
        <v>178</v>
      </c>
      <c r="D160" s="250"/>
      <c r="E160" s="251"/>
      <c r="F160" s="132"/>
      <c r="G160" s="132"/>
      <c r="H160" s="132"/>
      <c r="I160" s="79"/>
      <c r="J160" s="198">
        <f>SUMIF(Journals!D$14:D$920,TrialBalance!P160,Journals!J$14:J$920)+SUMIF(Journals!E$14:E$920,TrialBalance!P160,Journals!J$14:J$920)</f>
        <v>0</v>
      </c>
      <c r="K160" s="253"/>
      <c r="L160" s="255">
        <f t="shared" si="27"/>
        <v>0</v>
      </c>
      <c r="M160" s="75"/>
      <c r="N160" s="48">
        <f t="shared" si="30"/>
        <v>0</v>
      </c>
      <c r="P160" s="140" t="str">
        <f t="shared" si="31"/>
        <v>4820/000DEFERRED TAX</v>
      </c>
      <c r="Q160" s="70"/>
      <c r="S160" s="71"/>
      <c r="T160" s="51"/>
      <c r="U160" s="31"/>
    </row>
    <row r="161" spans="1:21" x14ac:dyDescent="0.2">
      <c r="A161" s="238"/>
      <c r="B161" s="54" t="s">
        <v>179</v>
      </c>
      <c r="C161" s="240" t="s">
        <v>180</v>
      </c>
      <c r="D161" s="250"/>
      <c r="E161" s="251"/>
      <c r="F161" s="132">
        <f>TrialBalanceA!I161</f>
        <v>0</v>
      </c>
      <c r="G161" s="132">
        <f>TrialBalanceB!I161</f>
        <v>0</v>
      </c>
      <c r="H161" s="132">
        <f>TrialBalanceC!I161</f>
        <v>0</v>
      </c>
      <c r="I161" s="79"/>
      <c r="J161" s="198">
        <f>SUMIF(Journals!D$14:D$920,TrialBalance!P161,Journals!J$14:J$920)+SUMIF(Journals!E$14:E$920,TrialBalance!P161,Journals!J$14:J$920)</f>
        <v>0</v>
      </c>
      <c r="K161" s="253"/>
      <c r="L161" s="255">
        <f t="shared" si="27"/>
        <v>0</v>
      </c>
      <c r="M161" s="75"/>
      <c r="N161" s="48">
        <f t="shared" si="30"/>
        <v>0</v>
      </c>
      <c r="P161" s="140" t="str">
        <f t="shared" si="31"/>
        <v>4820/001Deferred tax this year</v>
      </c>
      <c r="Q161" s="70"/>
      <c r="S161" s="71"/>
      <c r="T161" s="51"/>
      <c r="U161" s="31"/>
    </row>
    <row r="162" spans="1:21" x14ac:dyDescent="0.2">
      <c r="A162" s="238"/>
      <c r="B162" s="90" t="s">
        <v>181</v>
      </c>
      <c r="C162" s="242" t="s">
        <v>954</v>
      </c>
      <c r="D162" s="250"/>
      <c r="E162" s="251"/>
      <c r="F162" s="132">
        <f>TrialBalanceA!I162</f>
        <v>0</v>
      </c>
      <c r="G162" s="132">
        <f>TrialBalanceB!I162</f>
        <v>0</v>
      </c>
      <c r="H162" s="132">
        <f>TrialBalanceC!I162</f>
        <v>0</v>
      </c>
      <c r="I162" s="79"/>
      <c r="J162" s="198">
        <f>SUMIF(Journals!D$14:D$920,TrialBalance!P162,Journals!J$14:J$920)+SUMIF(Journals!E$14:E$920,TrialBalance!P162,Journals!J$14:J$920)</f>
        <v>0</v>
      </c>
      <c r="K162" s="253"/>
      <c r="L162" s="255">
        <f t="shared" ref="L162" si="33">ROUND(D162-E162+F162+G162+H162+J162+I162,0)</f>
        <v>0</v>
      </c>
      <c r="M162" s="75"/>
      <c r="N162" s="48">
        <f t="shared" ref="N162" si="34">ROUND(SUM(A162),0)</f>
        <v>0</v>
      </c>
      <c r="P162" s="140" t="str">
        <f t="shared" ref="P162" si="35">CONCATENATE(B162,C162)</f>
        <v>4820/002Deferred tax adjustment on income tax rate change</v>
      </c>
      <c r="Q162" s="70"/>
      <c r="S162" s="71"/>
      <c r="T162" s="51"/>
      <c r="U162" s="31"/>
    </row>
    <row r="163" spans="1:21" x14ac:dyDescent="0.2">
      <c r="A163" s="238"/>
      <c r="B163" s="90" t="s">
        <v>955</v>
      </c>
      <c r="C163" s="240" t="s">
        <v>182</v>
      </c>
      <c r="D163" s="250"/>
      <c r="E163" s="251"/>
      <c r="F163" s="132">
        <f>TrialBalanceA!I163</f>
        <v>0</v>
      </c>
      <c r="G163" s="132">
        <f>TrialBalanceB!I163</f>
        <v>0</v>
      </c>
      <c r="H163" s="132">
        <f>TrialBalanceC!I163</f>
        <v>0</v>
      </c>
      <c r="I163" s="79"/>
      <c r="J163" s="198">
        <f>SUMIF(Journals!D$14:D$920,TrialBalance!P163,Journals!J$14:J$920)+SUMIF(Journals!E$14:E$920,TrialBalance!P163,Journals!J$14:J$920)</f>
        <v>0</v>
      </c>
      <c r="K163" s="253"/>
      <c r="L163" s="255">
        <f t="shared" si="27"/>
        <v>0</v>
      </c>
      <c r="M163" s="75"/>
      <c r="N163" s="48">
        <f t="shared" si="30"/>
        <v>0</v>
      </c>
      <c r="P163" s="140" t="str">
        <f t="shared" si="31"/>
        <v>4820/003Deferred tax adjustment previous year</v>
      </c>
      <c r="Q163" s="70"/>
      <c r="S163" s="71"/>
      <c r="T163" s="51"/>
      <c r="U163" s="31"/>
    </row>
    <row r="164" spans="1:21" x14ac:dyDescent="0.2">
      <c r="A164" s="238"/>
      <c r="B164" s="54" t="s">
        <v>183</v>
      </c>
      <c r="C164" s="242" t="s">
        <v>457</v>
      </c>
      <c r="D164" s="250"/>
      <c r="E164" s="251"/>
      <c r="F164" s="132">
        <f>TrialBalanceA!I164</f>
        <v>0</v>
      </c>
      <c r="G164" s="132">
        <f>TrialBalanceB!I164</f>
        <v>0</v>
      </c>
      <c r="H164" s="132">
        <f>TrialBalanceC!I164</f>
        <v>0</v>
      </c>
      <c r="I164" s="79"/>
      <c r="J164" s="198">
        <f>SUMIF(Journals!D$14:D$920,TrialBalance!P164,Journals!J$14:J$920)+SUMIF(Journals!E$14:E$920,TrialBalance!P164,Journals!J$14:J$920)</f>
        <v>0</v>
      </c>
      <c r="K164" s="253"/>
      <c r="L164" s="255">
        <f t="shared" si="27"/>
        <v>0</v>
      </c>
      <c r="M164" s="75"/>
      <c r="N164" s="48">
        <f t="shared" si="30"/>
        <v>0</v>
      </c>
      <c r="P164" s="140" t="str">
        <f t="shared" si="31"/>
        <v>4850/000Dividends declared</v>
      </c>
      <c r="Q164" s="70"/>
      <c r="S164" s="71"/>
      <c r="T164" s="51"/>
      <c r="U164" s="31"/>
    </row>
    <row r="165" spans="1:21" x14ac:dyDescent="0.2">
      <c r="A165" s="238"/>
      <c r="B165" s="54" t="s">
        <v>184</v>
      </c>
      <c r="C165" s="240" t="s">
        <v>209</v>
      </c>
      <c r="D165" s="250"/>
      <c r="E165" s="251"/>
      <c r="F165" s="132">
        <f>TrialBalanceA!I165</f>
        <v>0</v>
      </c>
      <c r="G165" s="132">
        <f>TrialBalanceB!I165</f>
        <v>0</v>
      </c>
      <c r="H165" s="132">
        <f>TrialBalanceC!I165</f>
        <v>0</v>
      </c>
      <c r="I165" s="79"/>
      <c r="J165" s="198">
        <f>SUMIF(Journals!D$14:D$920,TrialBalance!P165,Journals!J$14:J$920)+SUMIF(Journals!E$14:E$920,TrialBalance!P165,Journals!J$14:J$920)</f>
        <v>0</v>
      </c>
      <c r="K165" s="253"/>
      <c r="L165" s="255">
        <f t="shared" si="27"/>
        <v>0</v>
      </c>
      <c r="M165" s="75"/>
      <c r="N165" s="48">
        <f t="shared" si="30"/>
        <v>0</v>
      </c>
      <c r="P165" s="140" t="str">
        <f t="shared" si="31"/>
        <v>4860/000Dividends paid</v>
      </c>
      <c r="Q165" s="70"/>
      <c r="S165" s="71"/>
      <c r="T165" s="51"/>
      <c r="U165" s="31"/>
    </row>
    <row r="166" spans="1:21" x14ac:dyDescent="0.2">
      <c r="A166" s="238"/>
      <c r="B166" s="54" t="s">
        <v>212</v>
      </c>
      <c r="C166" s="240"/>
      <c r="D166" s="250"/>
      <c r="E166" s="250"/>
      <c r="F166" s="133"/>
      <c r="G166" s="133"/>
      <c r="H166" s="133"/>
      <c r="I166" s="79"/>
      <c r="J166" s="198"/>
      <c r="K166" s="253"/>
      <c r="L166" s="255">
        <f t="shared" si="27"/>
        <v>0</v>
      </c>
      <c r="M166" s="75"/>
      <c r="N166" s="48">
        <f t="shared" si="30"/>
        <v>0</v>
      </c>
      <c r="P166" s="140">
        <v>0</v>
      </c>
      <c r="Q166" s="70"/>
      <c r="S166" s="71"/>
      <c r="T166" s="51"/>
      <c r="U166" s="31"/>
    </row>
    <row r="167" spans="1:21" x14ac:dyDescent="0.2">
      <c r="A167" s="238"/>
      <c r="B167" s="54" t="s">
        <v>212</v>
      </c>
      <c r="C167" s="240" t="s">
        <v>212</v>
      </c>
      <c r="D167" s="250"/>
      <c r="E167" s="251"/>
      <c r="F167" s="132"/>
      <c r="G167" s="132"/>
      <c r="H167" s="132"/>
      <c r="I167" s="80"/>
      <c r="J167" s="198"/>
      <c r="K167" s="253"/>
      <c r="L167" s="255">
        <f t="shared" si="27"/>
        <v>0</v>
      </c>
      <c r="M167" s="75"/>
      <c r="N167" s="48">
        <f t="shared" si="30"/>
        <v>0</v>
      </c>
      <c r="P167" s="140">
        <v>0</v>
      </c>
      <c r="Q167" s="70"/>
      <c r="S167" s="71"/>
      <c r="T167" s="71"/>
      <c r="U167" s="31"/>
    </row>
    <row r="168" spans="1:21" x14ac:dyDescent="0.2">
      <c r="A168" s="238"/>
      <c r="B168" s="54" t="s">
        <v>212</v>
      </c>
      <c r="C168" s="240"/>
      <c r="D168" s="251"/>
      <c r="E168" s="251"/>
      <c r="F168" s="132"/>
      <c r="G168" s="132"/>
      <c r="H168" s="132"/>
      <c r="I168" s="79"/>
      <c r="J168" s="198"/>
      <c r="K168" s="253"/>
      <c r="L168" s="255">
        <f t="shared" si="27"/>
        <v>0</v>
      </c>
      <c r="M168" s="75"/>
      <c r="N168" s="48">
        <f t="shared" si="30"/>
        <v>0</v>
      </c>
      <c r="P168" s="140">
        <v>0</v>
      </c>
      <c r="Q168" s="70"/>
      <c r="S168" s="71"/>
      <c r="T168" s="51"/>
      <c r="U168" s="31"/>
    </row>
    <row r="169" spans="1:21" x14ac:dyDescent="0.2">
      <c r="A169" s="238"/>
      <c r="B169" s="54" t="s">
        <v>471</v>
      </c>
      <c r="C169" s="239" t="s">
        <v>461</v>
      </c>
      <c r="D169" s="251"/>
      <c r="E169" s="251"/>
      <c r="F169" s="132"/>
      <c r="G169" s="132"/>
      <c r="H169" s="132"/>
      <c r="I169" s="79"/>
      <c r="J169" s="198">
        <f>SUMIF(Journals!D$14:D$920,TrialBalance!P169,Journals!J$14:J$920)+SUMIF(Journals!E$14:E$920,TrialBalance!P169,Journals!J$14:J$920)</f>
        <v>0</v>
      </c>
      <c r="K169" s="253"/>
      <c r="L169" s="255">
        <f t="shared" si="27"/>
        <v>0</v>
      </c>
      <c r="M169" s="75"/>
      <c r="N169" s="48">
        <f t="shared" si="30"/>
        <v>0</v>
      </c>
      <c r="P169" s="140" t="str">
        <f t="shared" ref="P169:P200" si="36">CONCATENATE(B169,C169)</f>
        <v>5100/000SHARE CAPITAL</v>
      </c>
      <c r="Q169" s="70"/>
      <c r="S169" s="71"/>
      <c r="T169" s="51"/>
      <c r="U169" s="31"/>
    </row>
    <row r="170" spans="1:21" x14ac:dyDescent="0.2">
      <c r="A170" s="238"/>
      <c r="B170" s="54" t="s">
        <v>472</v>
      </c>
      <c r="C170" s="242" t="s">
        <v>720</v>
      </c>
      <c r="D170" s="251"/>
      <c r="E170" s="251"/>
      <c r="F170" s="132"/>
      <c r="G170" s="132"/>
      <c r="H170" s="132"/>
      <c r="I170" s="79">
        <f>SUM(N170:N171)</f>
        <v>0</v>
      </c>
      <c r="J170" s="198">
        <f>SUMIF(Journals!D$14:D$920,TrialBalance!P170,Journals!J$14:J$920)+SUMIF(Journals!E$14:E$920,TrialBalance!P170,Journals!J$14:J$920)</f>
        <v>0</v>
      </c>
      <c r="K170" s="253"/>
      <c r="L170" s="255">
        <f t="shared" si="27"/>
        <v>0</v>
      </c>
      <c r="M170" s="75"/>
      <c r="N170" s="48">
        <f t="shared" si="30"/>
        <v>0</v>
      </c>
      <c r="P170" s="140" t="str">
        <f t="shared" si="36"/>
        <v>5100/001Share capital - balance b/fwd</v>
      </c>
      <c r="Q170" s="70"/>
      <c r="R170" s="31"/>
      <c r="S170" s="71"/>
      <c r="T170" s="51"/>
      <c r="U170" s="31"/>
    </row>
    <row r="171" spans="1:21" x14ac:dyDescent="0.2">
      <c r="A171" s="238"/>
      <c r="B171" s="54" t="s">
        <v>473</v>
      </c>
      <c r="C171" s="242" t="s">
        <v>721</v>
      </c>
      <c r="D171" s="251"/>
      <c r="E171" s="251"/>
      <c r="F171" s="132">
        <f>TrialBalanceA!I171</f>
        <v>0</v>
      </c>
      <c r="G171" s="132">
        <f>TrialBalanceB!I171</f>
        <v>0</v>
      </c>
      <c r="H171" s="132">
        <f>TrialBalanceC!I171</f>
        <v>0</v>
      </c>
      <c r="I171" s="79"/>
      <c r="J171" s="198">
        <f>SUMIF(Journals!D$14:D$920,TrialBalance!P171,Journals!J$14:J$920)+SUMIF(Journals!E$14:E$920,TrialBalance!P171,Journals!J$14:J$920)</f>
        <v>0</v>
      </c>
      <c r="K171" s="253"/>
      <c r="L171" s="255">
        <f t="shared" si="27"/>
        <v>0</v>
      </c>
      <c r="M171" s="75"/>
      <c r="N171" s="48">
        <f t="shared" si="30"/>
        <v>0</v>
      </c>
      <c r="P171" s="140" t="str">
        <f t="shared" si="36"/>
        <v>5100/002Share capital - additions</v>
      </c>
      <c r="Q171" s="70"/>
      <c r="S171" s="71"/>
      <c r="T171" s="51"/>
      <c r="U171" s="31"/>
    </row>
    <row r="172" spans="1:21" x14ac:dyDescent="0.2">
      <c r="A172" s="238"/>
      <c r="B172" s="86" t="s">
        <v>474</v>
      </c>
      <c r="C172" s="239" t="s">
        <v>465</v>
      </c>
      <c r="D172" s="251"/>
      <c r="E172" s="251"/>
      <c r="F172" s="132"/>
      <c r="G172" s="132"/>
      <c r="H172" s="132"/>
      <c r="I172" s="79"/>
      <c r="J172" s="198">
        <f>SUMIF(Journals!D$14:D$920,TrialBalance!P172,Journals!J$14:J$920)+SUMIF(Journals!E$14:E$920,TrialBalance!P172,Journals!J$14:J$920)</f>
        <v>0</v>
      </c>
      <c r="K172" s="253"/>
      <c r="L172" s="255">
        <f t="shared" si="27"/>
        <v>0</v>
      </c>
      <c r="M172" s="75"/>
      <c r="N172" s="48">
        <f t="shared" si="30"/>
        <v>0</v>
      </c>
      <c r="P172" s="140" t="str">
        <f t="shared" si="36"/>
        <v>5110/000SHARE PREMIUM</v>
      </c>
      <c r="Q172" s="70"/>
      <c r="S172" s="71"/>
      <c r="T172" s="51"/>
      <c r="U172" s="31"/>
    </row>
    <row r="173" spans="1:21" x14ac:dyDescent="0.2">
      <c r="A173" s="238"/>
      <c r="B173" s="86" t="s">
        <v>475</v>
      </c>
      <c r="C173" s="242" t="s">
        <v>722</v>
      </c>
      <c r="D173" s="251"/>
      <c r="E173" s="251"/>
      <c r="F173" s="132"/>
      <c r="G173" s="132"/>
      <c r="H173" s="132"/>
      <c r="I173" s="79">
        <f>SUM(N173:N175)</f>
        <v>0</v>
      </c>
      <c r="J173" s="198">
        <f>SUMIF(Journals!D$14:D$920,TrialBalance!P173,Journals!J$14:J$920)+SUMIF(Journals!E$14:E$920,TrialBalance!P173,Journals!J$14:J$920)</f>
        <v>0</v>
      </c>
      <c r="K173" s="253"/>
      <c r="L173" s="255">
        <f t="shared" si="27"/>
        <v>0</v>
      </c>
      <c r="M173" s="75"/>
      <c r="N173" s="48">
        <f t="shared" si="30"/>
        <v>0</v>
      </c>
      <c r="P173" s="140" t="str">
        <f t="shared" si="36"/>
        <v>5110/001Share premium - balance b/fwd</v>
      </c>
      <c r="Q173" s="70"/>
      <c r="S173" s="71"/>
      <c r="T173" s="51"/>
      <c r="U173" s="31"/>
    </row>
    <row r="174" spans="1:21" x14ac:dyDescent="0.2">
      <c r="A174" s="238"/>
      <c r="B174" s="86" t="s">
        <v>476</v>
      </c>
      <c r="C174" s="242" t="s">
        <v>723</v>
      </c>
      <c r="D174" s="251"/>
      <c r="E174" s="251"/>
      <c r="F174" s="132">
        <f>TrialBalanceA!I174</f>
        <v>0</v>
      </c>
      <c r="G174" s="132">
        <f>TrialBalanceB!I174</f>
        <v>0</v>
      </c>
      <c r="H174" s="132">
        <f>TrialBalanceC!I174</f>
        <v>0</v>
      </c>
      <c r="I174" s="79"/>
      <c r="J174" s="198">
        <f>SUMIF(Journals!D$14:D$920,TrialBalance!P174,Journals!J$14:J$920)+SUMIF(Journals!E$14:E$920,TrialBalance!P174,Journals!J$14:J$920)</f>
        <v>0</v>
      </c>
      <c r="K174" s="253"/>
      <c r="L174" s="255">
        <f t="shared" si="27"/>
        <v>0</v>
      </c>
      <c r="M174" s="75"/>
      <c r="N174" s="48">
        <f t="shared" si="30"/>
        <v>0</v>
      </c>
      <c r="P174" s="140" t="str">
        <f t="shared" si="36"/>
        <v>5110/002Share premium - additions</v>
      </c>
      <c r="Q174" s="70"/>
      <c r="S174" s="71"/>
      <c r="T174" s="51"/>
      <c r="U174" s="31"/>
    </row>
    <row r="175" spans="1:21" x14ac:dyDescent="0.2">
      <c r="A175" s="238"/>
      <c r="B175" s="86" t="s">
        <v>477</v>
      </c>
      <c r="C175" s="248" t="s">
        <v>478</v>
      </c>
      <c r="D175" s="250"/>
      <c r="E175" s="251"/>
      <c r="F175" s="132">
        <f>TrialBalanceA!I175</f>
        <v>0</v>
      </c>
      <c r="G175" s="132">
        <f>TrialBalanceB!I175</f>
        <v>0</v>
      </c>
      <c r="H175" s="132">
        <f>TrialBalanceC!I175</f>
        <v>0</v>
      </c>
      <c r="I175" s="79"/>
      <c r="J175" s="198">
        <f>SUMIF(Journals!D$14:D$920,TrialBalance!P175,Journals!J$14:J$920)+SUMIF(Journals!E$14:E$920,TrialBalance!P175,Journals!J$14:J$920)</f>
        <v>0</v>
      </c>
      <c r="K175" s="253"/>
      <c r="L175" s="255">
        <f t="shared" si="27"/>
        <v>0</v>
      </c>
      <c r="M175" s="75"/>
      <c r="N175" s="48">
        <f t="shared" si="30"/>
        <v>0</v>
      </c>
      <c r="P175" s="140" t="str">
        <f t="shared" si="36"/>
        <v>5110/003Share premium - transfer</v>
      </c>
      <c r="Q175" s="70"/>
      <c r="S175" s="71"/>
      <c r="T175" s="51"/>
      <c r="U175" s="31"/>
    </row>
    <row r="176" spans="1:21" x14ac:dyDescent="0.2">
      <c r="A176" s="238"/>
      <c r="B176" s="54" t="s">
        <v>431</v>
      </c>
      <c r="C176" s="239" t="s">
        <v>850</v>
      </c>
      <c r="D176" s="250"/>
      <c r="E176" s="251"/>
      <c r="F176" s="132"/>
      <c r="G176" s="132"/>
      <c r="H176" s="132"/>
      <c r="I176" s="79"/>
      <c r="J176" s="198">
        <f>SUMIF(Journals!D$14:D$920,TrialBalance!P176,Journals!J$14:J$920)+SUMIF(Journals!E$14:E$920,TrialBalance!P176,Journals!J$14:J$920)</f>
        <v>0</v>
      </c>
      <c r="K176" s="253"/>
      <c r="L176" s="255">
        <f t="shared" si="27"/>
        <v>0</v>
      </c>
      <c r="M176" s="75"/>
      <c r="N176" s="48">
        <f t="shared" si="30"/>
        <v>0</v>
      </c>
      <c r="P176" s="140" t="str">
        <f t="shared" si="36"/>
        <v>5120/000REVALUATION RESERVE</v>
      </c>
      <c r="Q176" s="70"/>
      <c r="S176" s="71"/>
      <c r="T176" s="51"/>
      <c r="U176" s="31"/>
    </row>
    <row r="177" spans="1:21" x14ac:dyDescent="0.2">
      <c r="A177" s="238"/>
      <c r="B177" s="54" t="s">
        <v>432</v>
      </c>
      <c r="C177" s="242" t="s">
        <v>851</v>
      </c>
      <c r="D177" s="250"/>
      <c r="E177" s="251"/>
      <c r="F177" s="132"/>
      <c r="G177" s="132"/>
      <c r="H177" s="132"/>
      <c r="I177" s="79">
        <f>SUM(N177:N179)</f>
        <v>0</v>
      </c>
      <c r="J177" s="198">
        <f>SUMIF(Journals!D$14:D$920,TrialBalance!P177,Journals!J$14:J$920)+SUMIF(Journals!E$14:E$920,TrialBalance!P177,Journals!J$14:J$920)</f>
        <v>0</v>
      </c>
      <c r="K177" s="253"/>
      <c r="L177" s="255">
        <f t="shared" si="27"/>
        <v>0</v>
      </c>
      <c r="M177" s="75"/>
      <c r="N177" s="48">
        <f t="shared" si="30"/>
        <v>0</v>
      </c>
      <c r="P177" s="140" t="str">
        <f t="shared" si="36"/>
        <v>5120/001Revaluation reserve - balance b/fwd</v>
      </c>
      <c r="Q177" s="70"/>
      <c r="S177" s="71"/>
      <c r="T177" s="51"/>
      <c r="U177" s="31"/>
    </row>
    <row r="178" spans="1:21" x14ac:dyDescent="0.2">
      <c r="A178" s="238"/>
      <c r="B178" s="54" t="s">
        <v>433</v>
      </c>
      <c r="C178" s="242" t="s">
        <v>852</v>
      </c>
      <c r="D178" s="250"/>
      <c r="E178" s="251"/>
      <c r="F178" s="132">
        <f>TrialBalanceA!I178</f>
        <v>0</v>
      </c>
      <c r="G178" s="132">
        <f>TrialBalanceB!I178</f>
        <v>0</v>
      </c>
      <c r="H178" s="132">
        <f>TrialBalanceC!I178</f>
        <v>0</v>
      </c>
      <c r="I178" s="79"/>
      <c r="J178" s="198">
        <f>SUMIF(Journals!D$14:D$920,TrialBalance!P178,Journals!J$14:J$920)+SUMIF(Journals!E$14:E$920,TrialBalance!P178,Journals!J$14:J$920)</f>
        <v>0</v>
      </c>
      <c r="K178" s="253"/>
      <c r="L178" s="255">
        <f t="shared" si="27"/>
        <v>0</v>
      </c>
      <c r="M178" s="75"/>
      <c r="N178" s="48">
        <f t="shared" si="30"/>
        <v>0</v>
      </c>
      <c r="P178" s="140" t="str">
        <f t="shared" si="36"/>
        <v>5120/002Revaluation reserve - additions</v>
      </c>
      <c r="Q178" s="70"/>
      <c r="S178" s="71"/>
      <c r="T178" s="51"/>
      <c r="U178" s="31"/>
    </row>
    <row r="179" spans="1:21" x14ac:dyDescent="0.2">
      <c r="A179" s="238"/>
      <c r="B179" s="54" t="s">
        <v>434</v>
      </c>
      <c r="C179" s="242" t="s">
        <v>853</v>
      </c>
      <c r="D179" s="250"/>
      <c r="E179" s="251"/>
      <c r="F179" s="132">
        <f>TrialBalanceA!I179</f>
        <v>0</v>
      </c>
      <c r="G179" s="132">
        <f>TrialBalanceB!I179</f>
        <v>0</v>
      </c>
      <c r="H179" s="132">
        <f>TrialBalanceC!I179</f>
        <v>0</v>
      </c>
      <c r="I179" s="79"/>
      <c r="J179" s="198">
        <f>SUMIF(Journals!D$14:D$920,TrialBalance!P179,Journals!J$14:J$920)+SUMIF(Journals!E$14:E$920,TrialBalance!P179,Journals!J$14:J$920)</f>
        <v>0</v>
      </c>
      <c r="K179" s="253"/>
      <c r="L179" s="255">
        <f t="shared" si="27"/>
        <v>0</v>
      </c>
      <c r="M179" s="75"/>
      <c r="N179" s="48">
        <f t="shared" si="30"/>
        <v>0</v>
      </c>
      <c r="P179" s="140" t="str">
        <f t="shared" si="36"/>
        <v>5120/003Revaluation reserve - transfer</v>
      </c>
      <c r="Q179" s="70"/>
      <c r="S179" s="71"/>
      <c r="T179" s="51"/>
      <c r="U179" s="31"/>
    </row>
    <row r="180" spans="1:21" x14ac:dyDescent="0.2">
      <c r="A180" s="238"/>
      <c r="B180" s="54" t="s">
        <v>79</v>
      </c>
      <c r="C180" s="239" t="s">
        <v>232</v>
      </c>
      <c r="D180" s="250"/>
      <c r="E180" s="251"/>
      <c r="F180" s="132"/>
      <c r="G180" s="132"/>
      <c r="H180" s="132"/>
      <c r="I180" s="79"/>
      <c r="J180" s="198">
        <f>SUMIF(Journals!D$14:D$920,TrialBalance!P180,Journals!J$14:J$920)+SUMIF(Journals!E$14:E$920,TrialBalance!P180,Journals!J$14:J$920)</f>
        <v>0</v>
      </c>
      <c r="K180" s="253"/>
      <c r="L180" s="255">
        <f t="shared" si="27"/>
        <v>0</v>
      </c>
      <c r="M180" s="75"/>
      <c r="N180" s="48">
        <f t="shared" si="30"/>
        <v>0</v>
      </c>
      <c r="P180" s="140" t="str">
        <f t="shared" si="36"/>
        <v>5130/000OTHER RESERVES</v>
      </c>
      <c r="Q180" s="70"/>
      <c r="S180" s="71"/>
      <c r="T180" s="51"/>
      <c r="U180" s="31"/>
    </row>
    <row r="181" spans="1:21" x14ac:dyDescent="0.2">
      <c r="A181" s="238"/>
      <c r="B181" s="54" t="s">
        <v>233</v>
      </c>
      <c r="C181" s="242" t="s">
        <v>724</v>
      </c>
      <c r="D181" s="250"/>
      <c r="E181" s="251"/>
      <c r="F181" s="132"/>
      <c r="G181" s="132"/>
      <c r="H181" s="132"/>
      <c r="I181" s="79">
        <f>SUM(N181:N183)</f>
        <v>0</v>
      </c>
      <c r="J181" s="198">
        <f>SUMIF(Journals!D$14:D$920,TrialBalance!P181,Journals!J$14:J$920)+SUMIF(Journals!E$14:E$920,TrialBalance!P181,Journals!J$14:J$920)</f>
        <v>0</v>
      </c>
      <c r="K181" s="253"/>
      <c r="L181" s="255">
        <f t="shared" si="27"/>
        <v>0</v>
      </c>
      <c r="M181" s="75"/>
      <c r="N181" s="48">
        <f t="shared" si="30"/>
        <v>0</v>
      </c>
      <c r="P181" s="140" t="str">
        <f t="shared" si="36"/>
        <v>5130/001Other reserves - balance b/fwd</v>
      </c>
      <c r="Q181" s="70"/>
      <c r="S181" s="71"/>
      <c r="T181" s="51"/>
      <c r="U181" s="31"/>
    </row>
    <row r="182" spans="1:21" x14ac:dyDescent="0.2">
      <c r="A182" s="238"/>
      <c r="B182" s="54" t="s">
        <v>234</v>
      </c>
      <c r="C182" s="242" t="s">
        <v>725</v>
      </c>
      <c r="D182" s="250"/>
      <c r="E182" s="251"/>
      <c r="F182" s="132">
        <f>TrialBalanceA!I182</f>
        <v>0</v>
      </c>
      <c r="G182" s="132">
        <f>TrialBalanceB!I182</f>
        <v>0</v>
      </c>
      <c r="H182" s="132">
        <f>TrialBalanceC!I182</f>
        <v>0</v>
      </c>
      <c r="I182" s="79"/>
      <c r="J182" s="198">
        <f>SUMIF(Journals!D$14:D$920,TrialBalance!P182,Journals!J$14:J$920)+SUMIF(Journals!E$14:E$920,TrialBalance!P182,Journals!J$14:J$920)</f>
        <v>0</v>
      </c>
      <c r="K182" s="253"/>
      <c r="L182" s="255">
        <f t="shared" si="27"/>
        <v>0</v>
      </c>
      <c r="M182" s="75"/>
      <c r="N182" s="48">
        <f t="shared" si="30"/>
        <v>0</v>
      </c>
      <c r="P182" s="140" t="str">
        <f t="shared" si="36"/>
        <v>5130/002Other reserves - additions</v>
      </c>
      <c r="Q182" s="70"/>
      <c r="S182" s="71"/>
      <c r="T182" s="51"/>
      <c r="U182" s="31"/>
    </row>
    <row r="183" spans="1:21" x14ac:dyDescent="0.2">
      <c r="A183" s="238"/>
      <c r="B183" s="54" t="s">
        <v>306</v>
      </c>
      <c r="C183" s="240" t="s">
        <v>359</v>
      </c>
      <c r="D183" s="250"/>
      <c r="E183" s="251"/>
      <c r="F183" s="132">
        <f>TrialBalanceA!I183</f>
        <v>0</v>
      </c>
      <c r="G183" s="132">
        <f>TrialBalanceB!I183</f>
        <v>0</v>
      </c>
      <c r="H183" s="132">
        <f>TrialBalanceC!I183</f>
        <v>0</v>
      </c>
      <c r="I183" s="79"/>
      <c r="J183" s="198">
        <f>SUMIF(Journals!D$14:D$920,TrialBalance!P183,Journals!J$14:J$920)+SUMIF(Journals!E$14:E$920,TrialBalance!P183,Journals!J$14:J$920)</f>
        <v>0</v>
      </c>
      <c r="K183" s="253"/>
      <c r="L183" s="255">
        <f t="shared" si="27"/>
        <v>0</v>
      </c>
      <c r="M183" s="75"/>
      <c r="N183" s="48">
        <f t="shared" si="30"/>
        <v>0</v>
      </c>
      <c r="P183" s="140" t="str">
        <f t="shared" si="36"/>
        <v>5130/003Other reserves - transfer</v>
      </c>
      <c r="Q183" s="70"/>
      <c r="S183" s="71"/>
      <c r="T183" s="51"/>
      <c r="U183" s="31"/>
    </row>
    <row r="184" spans="1:21" x14ac:dyDescent="0.2">
      <c r="A184" s="238"/>
      <c r="B184" s="54" t="s">
        <v>360</v>
      </c>
      <c r="C184" s="239" t="s">
        <v>726</v>
      </c>
      <c r="D184" s="251"/>
      <c r="E184" s="251"/>
      <c r="F184" s="132"/>
      <c r="G184" s="132"/>
      <c r="H184" s="132"/>
      <c r="I184" s="79">
        <f>N184+SUM(N5:N165)</f>
        <v>0</v>
      </c>
      <c r="J184" s="198">
        <f>SUMIF(Journals!D$14:D$920,TrialBalance!P184,Journals!J$14:J$920)+SUMIF(Journals!E$14:E$920,TrialBalance!P184,Journals!J$14:J$920)</f>
        <v>0</v>
      </c>
      <c r="K184" s="253"/>
      <c r="L184" s="255">
        <f t="shared" si="27"/>
        <v>0</v>
      </c>
      <c r="M184" s="75"/>
      <c r="N184" s="48">
        <f t="shared" si="30"/>
        <v>0</v>
      </c>
      <c r="P184" s="140" t="str">
        <f t="shared" si="36"/>
        <v>5200/000(Retained income) / Accumulated loss</v>
      </c>
      <c r="Q184" s="72"/>
      <c r="R184" s="31"/>
      <c r="S184" s="71"/>
      <c r="T184" s="51"/>
      <c r="U184" s="31"/>
    </row>
    <row r="185" spans="1:21" x14ac:dyDescent="0.2">
      <c r="A185" s="238"/>
      <c r="B185" s="54" t="s">
        <v>116</v>
      </c>
      <c r="C185" s="239" t="s">
        <v>117</v>
      </c>
      <c r="D185" s="251"/>
      <c r="E185" s="251"/>
      <c r="F185" s="132"/>
      <c r="G185" s="132"/>
      <c r="H185" s="132"/>
      <c r="I185" s="79"/>
      <c r="J185" s="198">
        <f>SUMIF(Journals!D$14:D$920,TrialBalance!P185,Journals!J$14:J$920)+SUMIF(Journals!E$14:E$920,TrialBalance!P185,Journals!J$14:J$920)</f>
        <v>0</v>
      </c>
      <c r="K185" s="254" t="s">
        <v>547</v>
      </c>
      <c r="L185" s="255">
        <f t="shared" si="27"/>
        <v>0</v>
      </c>
      <c r="M185" s="75"/>
      <c r="N185" s="48">
        <f t="shared" si="30"/>
        <v>0</v>
      </c>
      <c r="P185" s="140" t="str">
        <f t="shared" si="36"/>
        <v>5500/000LONG TERM  INTEREST LIABILITIES</v>
      </c>
      <c r="Q185" s="70"/>
      <c r="R185" s="31"/>
      <c r="S185" s="71"/>
      <c r="T185" s="51"/>
      <c r="U185" s="31"/>
    </row>
    <row r="186" spans="1:21" x14ac:dyDescent="0.2">
      <c r="A186" s="238"/>
      <c r="B186" s="54" t="s">
        <v>118</v>
      </c>
      <c r="C186" s="243"/>
      <c r="D186" s="251"/>
      <c r="E186" s="251"/>
      <c r="F186" s="132">
        <f>TrialBalanceA!I186-TrialBalanceA!K186</f>
        <v>0</v>
      </c>
      <c r="G186" s="132">
        <f>TrialBalanceB!I186-TrialBalanceB!K186</f>
        <v>0</v>
      </c>
      <c r="H186" s="132">
        <f>TrialBalanceC!I186-TrialBalanceC!K186</f>
        <v>0</v>
      </c>
      <c r="I186" s="79">
        <f>N186</f>
        <v>0</v>
      </c>
      <c r="J186" s="198">
        <f>SUMIF(Journals!D$14:D$920,TrialBalance!P186,Journals!J$14:J$920)+SUMIF(Journals!E$14:E$920,TrialBalance!P186,Journals!J$14:J$920)</f>
        <v>0</v>
      </c>
      <c r="K186" s="254"/>
      <c r="L186" s="255">
        <f t="shared" si="27"/>
        <v>0</v>
      </c>
      <c r="M186" s="75"/>
      <c r="N186" s="48">
        <f t="shared" si="30"/>
        <v>0</v>
      </c>
      <c r="P186" s="140" t="str">
        <f t="shared" si="36"/>
        <v>5500/001</v>
      </c>
      <c r="Q186" s="70"/>
      <c r="R186" s="31"/>
      <c r="S186" s="71"/>
      <c r="T186" s="51"/>
      <c r="U186" s="31"/>
    </row>
    <row r="187" spans="1:21" x14ac:dyDescent="0.2">
      <c r="A187" s="238"/>
      <c r="B187" s="54" t="s">
        <v>119</v>
      </c>
      <c r="C187" s="249"/>
      <c r="D187" s="251"/>
      <c r="E187" s="251"/>
      <c r="F187" s="132">
        <f>TrialBalanceA!I187-TrialBalanceA!K187</f>
        <v>0</v>
      </c>
      <c r="G187" s="132">
        <f>TrialBalanceB!I187-TrialBalanceB!K187</f>
        <v>0</v>
      </c>
      <c r="H187" s="132">
        <f>TrialBalanceC!I187-TrialBalanceC!K187</f>
        <v>0</v>
      </c>
      <c r="I187" s="79">
        <f>N187</f>
        <v>0</v>
      </c>
      <c r="J187" s="198">
        <f>SUMIF(Journals!D$14:D$920,TrialBalance!P187,Journals!J$14:J$920)+SUMIF(Journals!E$14:E$920,TrialBalance!P187,Journals!J$14:J$920)</f>
        <v>0</v>
      </c>
      <c r="K187" s="253"/>
      <c r="L187" s="255">
        <f t="shared" si="27"/>
        <v>0</v>
      </c>
      <c r="M187" s="75"/>
      <c r="N187" s="48">
        <f t="shared" si="30"/>
        <v>0</v>
      </c>
      <c r="P187" s="140" t="str">
        <f t="shared" si="36"/>
        <v>5500/002</v>
      </c>
      <c r="Q187" s="70"/>
      <c r="R187" s="31"/>
      <c r="S187" s="71"/>
      <c r="T187" s="51"/>
      <c r="U187" s="31"/>
    </row>
    <row r="188" spans="1:21" x14ac:dyDescent="0.2">
      <c r="A188" s="238"/>
      <c r="B188" s="54" t="s">
        <v>120</v>
      </c>
      <c r="C188" s="249"/>
      <c r="D188" s="250"/>
      <c r="E188" s="250"/>
      <c r="F188" s="132">
        <f>TrialBalanceA!I188-TrialBalanceA!K188</f>
        <v>0</v>
      </c>
      <c r="G188" s="132">
        <f>TrialBalanceB!I188-TrialBalanceB!K188</f>
        <v>0</v>
      </c>
      <c r="H188" s="132">
        <f>TrialBalanceC!I188-TrialBalanceC!K188</f>
        <v>0</v>
      </c>
      <c r="I188" s="79">
        <f>N188</f>
        <v>0</v>
      </c>
      <c r="J188" s="198">
        <f>SUMIF(Journals!D$14:D$920,TrialBalance!P188,Journals!J$14:J$920)+SUMIF(Journals!E$14:E$920,TrialBalance!P188,Journals!J$14:J$920)</f>
        <v>0</v>
      </c>
      <c r="K188" s="253"/>
      <c r="L188" s="255">
        <f t="shared" si="27"/>
        <v>0</v>
      </c>
      <c r="M188" s="75"/>
      <c r="N188" s="48">
        <f t="shared" si="30"/>
        <v>0</v>
      </c>
      <c r="P188" s="140" t="str">
        <f t="shared" si="36"/>
        <v>5500/003</v>
      </c>
      <c r="Q188" s="70"/>
      <c r="R188" s="31"/>
      <c r="S188" s="71"/>
      <c r="T188" s="51"/>
      <c r="U188" s="31"/>
    </row>
    <row r="189" spans="1:21" x14ac:dyDescent="0.2">
      <c r="A189" s="238"/>
      <c r="B189" s="54" t="s">
        <v>121</v>
      </c>
      <c r="C189" s="249"/>
      <c r="D189" s="250"/>
      <c r="E189" s="250"/>
      <c r="F189" s="132">
        <f>TrialBalanceA!I189-TrialBalanceA!K189</f>
        <v>0</v>
      </c>
      <c r="G189" s="132">
        <f>TrialBalanceB!I189-TrialBalanceB!K189</f>
        <v>0</v>
      </c>
      <c r="H189" s="132">
        <f>TrialBalanceC!I189-TrialBalanceC!K189</f>
        <v>0</v>
      </c>
      <c r="I189" s="79">
        <f>N189</f>
        <v>0</v>
      </c>
      <c r="J189" s="198">
        <f>SUMIF(Journals!D$14:D$920,TrialBalance!P189,Journals!J$14:J$920)+SUMIF(Journals!E$14:E$920,TrialBalance!P189,Journals!J$14:J$920)</f>
        <v>0</v>
      </c>
      <c r="K189" s="253"/>
      <c r="L189" s="255">
        <f t="shared" si="27"/>
        <v>0</v>
      </c>
      <c r="M189" s="75"/>
      <c r="N189" s="48">
        <f t="shared" si="30"/>
        <v>0</v>
      </c>
      <c r="P189" s="140" t="str">
        <f t="shared" si="36"/>
        <v>5500/004</v>
      </c>
      <c r="Q189" s="70"/>
      <c r="R189" s="31"/>
      <c r="S189" s="71"/>
      <c r="T189" s="51"/>
      <c r="U189" s="31"/>
    </row>
    <row r="190" spans="1:21" x14ac:dyDescent="0.2">
      <c r="A190" s="238"/>
      <c r="B190" s="54" t="s">
        <v>122</v>
      </c>
      <c r="C190" s="249"/>
      <c r="D190" s="250"/>
      <c r="E190" s="250"/>
      <c r="F190" s="132">
        <f>TrialBalanceA!I190-TrialBalanceA!K190</f>
        <v>0</v>
      </c>
      <c r="G190" s="132">
        <f>TrialBalanceB!I190-TrialBalanceB!K190</f>
        <v>0</v>
      </c>
      <c r="H190" s="132">
        <f>TrialBalanceC!I190-TrialBalanceC!K190</f>
        <v>0</v>
      </c>
      <c r="I190" s="79">
        <f>N190</f>
        <v>0</v>
      </c>
      <c r="J190" s="198">
        <f>SUMIF(Journals!D$14:D$920,TrialBalance!P190,Journals!J$14:J$920)+SUMIF(Journals!E$14:E$920,TrialBalance!P190,Journals!J$14:J$920)</f>
        <v>0</v>
      </c>
      <c r="K190" s="253"/>
      <c r="L190" s="255">
        <f t="shared" si="27"/>
        <v>0</v>
      </c>
      <c r="M190" s="75"/>
      <c r="N190" s="48">
        <f t="shared" si="30"/>
        <v>0</v>
      </c>
      <c r="P190" s="140" t="str">
        <f t="shared" si="36"/>
        <v>5500/005</v>
      </c>
      <c r="Q190" s="70"/>
      <c r="R190" s="31"/>
      <c r="S190" s="71"/>
      <c r="T190" s="51"/>
      <c r="U190" s="31"/>
    </row>
    <row r="191" spans="1:21" x14ac:dyDescent="0.2">
      <c r="A191" s="238"/>
      <c r="B191" s="90" t="s">
        <v>563</v>
      </c>
      <c r="C191" s="249"/>
      <c r="D191" s="250"/>
      <c r="E191" s="250"/>
      <c r="F191" s="132">
        <f>TrialBalanceA!I191-TrialBalanceA!K191</f>
        <v>0</v>
      </c>
      <c r="G191" s="132">
        <f>TrialBalanceB!I191-TrialBalanceB!K191</f>
        <v>0</v>
      </c>
      <c r="H191" s="132">
        <f>TrialBalanceC!I191-TrialBalanceC!K191</f>
        <v>0</v>
      </c>
      <c r="I191" s="79">
        <f t="shared" ref="I191:I202" si="37">N191</f>
        <v>0</v>
      </c>
      <c r="J191" s="198">
        <f>SUMIF(Journals!D$14:D$920,TrialBalance!P191,Journals!J$14:J$920)+SUMIF(Journals!E$14:E$920,TrialBalance!P191,Journals!J$14:J$920)</f>
        <v>0</v>
      </c>
      <c r="K191" s="253"/>
      <c r="L191" s="255">
        <f t="shared" si="27"/>
        <v>0</v>
      </c>
      <c r="M191" s="75"/>
      <c r="N191" s="48">
        <f t="shared" si="30"/>
        <v>0</v>
      </c>
      <c r="P191" s="140" t="str">
        <f t="shared" si="36"/>
        <v>5500/006</v>
      </c>
      <c r="Q191" s="70"/>
      <c r="R191" s="31"/>
      <c r="S191" s="71"/>
      <c r="T191" s="51"/>
      <c r="U191" s="31"/>
    </row>
    <row r="192" spans="1:21" x14ac:dyDescent="0.2">
      <c r="A192" s="238"/>
      <c r="B192" s="90" t="s">
        <v>564</v>
      </c>
      <c r="C192" s="249"/>
      <c r="D192" s="250"/>
      <c r="E192" s="250"/>
      <c r="F192" s="132">
        <f>TrialBalanceA!I192-TrialBalanceA!K192</f>
        <v>0</v>
      </c>
      <c r="G192" s="132">
        <f>TrialBalanceB!I192-TrialBalanceB!K192</f>
        <v>0</v>
      </c>
      <c r="H192" s="132">
        <f>TrialBalanceC!I192-TrialBalanceC!K192</f>
        <v>0</v>
      </c>
      <c r="I192" s="79">
        <f t="shared" si="37"/>
        <v>0</v>
      </c>
      <c r="J192" s="198">
        <f>SUMIF(Journals!D$14:D$920,TrialBalance!P192,Journals!J$14:J$920)+SUMIF(Journals!E$14:E$920,TrialBalance!P192,Journals!J$14:J$920)</f>
        <v>0</v>
      </c>
      <c r="K192" s="253"/>
      <c r="L192" s="255">
        <f t="shared" si="27"/>
        <v>0</v>
      </c>
      <c r="M192" s="75"/>
      <c r="N192" s="48">
        <f t="shared" si="30"/>
        <v>0</v>
      </c>
      <c r="P192" s="140" t="str">
        <f t="shared" si="36"/>
        <v>5500/007</v>
      </c>
      <c r="Q192" s="70"/>
      <c r="R192" s="31"/>
      <c r="S192" s="71"/>
      <c r="T192" s="51"/>
      <c r="U192" s="31"/>
    </row>
    <row r="193" spans="1:21" x14ac:dyDescent="0.2">
      <c r="A193" s="238"/>
      <c r="B193" s="90" t="s">
        <v>565</v>
      </c>
      <c r="C193" s="249"/>
      <c r="D193" s="250"/>
      <c r="E193" s="250"/>
      <c r="F193" s="132">
        <f>TrialBalanceA!I193-TrialBalanceA!K193</f>
        <v>0</v>
      </c>
      <c r="G193" s="132">
        <f>TrialBalanceB!I193-TrialBalanceB!K193</f>
        <v>0</v>
      </c>
      <c r="H193" s="132">
        <f>TrialBalanceC!I193-TrialBalanceC!K193</f>
        <v>0</v>
      </c>
      <c r="I193" s="79">
        <f t="shared" si="37"/>
        <v>0</v>
      </c>
      <c r="J193" s="198">
        <f>SUMIF(Journals!D$14:D$920,TrialBalance!P193,Journals!J$14:J$920)+SUMIF(Journals!E$14:E$920,TrialBalance!P193,Journals!J$14:J$920)</f>
        <v>0</v>
      </c>
      <c r="K193" s="253"/>
      <c r="L193" s="255">
        <f t="shared" si="27"/>
        <v>0</v>
      </c>
      <c r="M193" s="75"/>
      <c r="N193" s="48">
        <f t="shared" si="30"/>
        <v>0</v>
      </c>
      <c r="P193" s="140" t="str">
        <f t="shared" si="36"/>
        <v>5500/008</v>
      </c>
      <c r="Q193" s="70"/>
      <c r="R193" s="31"/>
      <c r="S193" s="71"/>
      <c r="T193" s="51"/>
      <c r="U193" s="31"/>
    </row>
    <row r="194" spans="1:21" x14ac:dyDescent="0.2">
      <c r="A194" s="238"/>
      <c r="B194" s="90" t="s">
        <v>566</v>
      </c>
      <c r="C194" s="249"/>
      <c r="D194" s="250"/>
      <c r="E194" s="250"/>
      <c r="F194" s="132">
        <f>TrialBalanceA!I194-TrialBalanceA!K194</f>
        <v>0</v>
      </c>
      <c r="G194" s="132">
        <f>TrialBalanceB!I194-TrialBalanceB!K194</f>
        <v>0</v>
      </c>
      <c r="H194" s="132">
        <f>TrialBalanceC!I194-TrialBalanceC!K194</f>
        <v>0</v>
      </c>
      <c r="I194" s="79">
        <f t="shared" si="37"/>
        <v>0</v>
      </c>
      <c r="J194" s="198">
        <f>SUMIF(Journals!D$14:D$920,TrialBalance!P194,Journals!J$14:J$920)+SUMIF(Journals!E$14:E$920,TrialBalance!P194,Journals!J$14:J$920)</f>
        <v>0</v>
      </c>
      <c r="K194" s="253"/>
      <c r="L194" s="255">
        <f t="shared" si="27"/>
        <v>0</v>
      </c>
      <c r="M194" s="75"/>
      <c r="N194" s="48">
        <f t="shared" si="30"/>
        <v>0</v>
      </c>
      <c r="P194" s="140" t="str">
        <f t="shared" si="36"/>
        <v>5500/009</v>
      </c>
      <c r="Q194" s="70"/>
      <c r="R194" s="31"/>
      <c r="S194" s="71"/>
      <c r="T194" s="51"/>
      <c r="U194" s="31"/>
    </row>
    <row r="195" spans="1:21" x14ac:dyDescent="0.2">
      <c r="A195" s="238"/>
      <c r="B195" s="90" t="s">
        <v>567</v>
      </c>
      <c r="C195" s="249"/>
      <c r="D195" s="250"/>
      <c r="E195" s="250"/>
      <c r="F195" s="132">
        <f>TrialBalanceA!I195-TrialBalanceA!K195</f>
        <v>0</v>
      </c>
      <c r="G195" s="132">
        <f>TrialBalanceB!I195-TrialBalanceB!K195</f>
        <v>0</v>
      </c>
      <c r="H195" s="132">
        <f>TrialBalanceC!I195-TrialBalanceC!K195</f>
        <v>0</v>
      </c>
      <c r="I195" s="79">
        <f t="shared" si="37"/>
        <v>0</v>
      </c>
      <c r="J195" s="198">
        <f>SUMIF(Journals!D$14:D$920,TrialBalance!P195,Journals!J$14:J$920)+SUMIF(Journals!E$14:E$920,TrialBalance!P195,Journals!J$14:J$920)</f>
        <v>0</v>
      </c>
      <c r="K195" s="253"/>
      <c r="L195" s="255">
        <f t="shared" si="27"/>
        <v>0</v>
      </c>
      <c r="M195" s="75"/>
      <c r="N195" s="48">
        <f t="shared" si="30"/>
        <v>0</v>
      </c>
      <c r="P195" s="140" t="str">
        <f t="shared" si="36"/>
        <v>5500/010</v>
      </c>
      <c r="Q195" s="70"/>
      <c r="R195" s="31"/>
      <c r="S195" s="71"/>
      <c r="T195" s="51"/>
      <c r="U195" s="31"/>
    </row>
    <row r="196" spans="1:21" x14ac:dyDescent="0.2">
      <c r="A196" s="238"/>
      <c r="B196" s="90" t="s">
        <v>568</v>
      </c>
      <c r="C196" s="249"/>
      <c r="D196" s="250"/>
      <c r="E196" s="250"/>
      <c r="F196" s="132">
        <f>TrialBalanceA!I196-TrialBalanceA!K196</f>
        <v>0</v>
      </c>
      <c r="G196" s="132">
        <f>TrialBalanceB!I196-TrialBalanceB!K196</f>
        <v>0</v>
      </c>
      <c r="H196" s="132">
        <f>TrialBalanceC!I196-TrialBalanceC!K196</f>
        <v>0</v>
      </c>
      <c r="I196" s="79">
        <f t="shared" ref="I196:I200" si="38">N196</f>
        <v>0</v>
      </c>
      <c r="J196" s="198">
        <f>SUMIF(Journals!D$14:D$920,TrialBalance!P196,Journals!J$14:J$920)+SUMIF(Journals!E$14:E$920,TrialBalance!P196,Journals!J$14:J$920)</f>
        <v>0</v>
      </c>
      <c r="K196" s="253"/>
      <c r="L196" s="255">
        <f t="shared" si="27"/>
        <v>0</v>
      </c>
      <c r="M196" s="75"/>
      <c r="N196" s="48">
        <f t="shared" si="30"/>
        <v>0</v>
      </c>
      <c r="P196" s="140" t="str">
        <f t="shared" si="36"/>
        <v>5500/011</v>
      </c>
      <c r="Q196" s="70"/>
      <c r="R196" s="31"/>
      <c r="S196" s="71"/>
      <c r="T196" s="51"/>
      <c r="U196" s="31"/>
    </row>
    <row r="197" spans="1:21" x14ac:dyDescent="0.2">
      <c r="A197" s="238"/>
      <c r="B197" s="90" t="s">
        <v>569</v>
      </c>
      <c r="C197" s="249"/>
      <c r="D197" s="250"/>
      <c r="E197" s="250"/>
      <c r="F197" s="132">
        <f>TrialBalanceA!I197-TrialBalanceA!K197</f>
        <v>0</v>
      </c>
      <c r="G197" s="132">
        <f>TrialBalanceB!I197-TrialBalanceB!K197</f>
        <v>0</v>
      </c>
      <c r="H197" s="132">
        <f>TrialBalanceC!I197-TrialBalanceC!K197</f>
        <v>0</v>
      </c>
      <c r="I197" s="79">
        <f t="shared" ref="I197:I198" si="39">N197</f>
        <v>0</v>
      </c>
      <c r="J197" s="198">
        <f>SUMIF(Journals!D$14:D$920,TrialBalance!P197,Journals!J$14:J$920)+SUMIF(Journals!E$14:E$920,TrialBalance!P197,Journals!J$14:J$920)</f>
        <v>0</v>
      </c>
      <c r="K197" s="253"/>
      <c r="L197" s="255">
        <f t="shared" ref="L197:L198" si="40">ROUND(D197-E197+F197+G197+H197+J197+I197,0)</f>
        <v>0</v>
      </c>
      <c r="M197" s="75"/>
      <c r="N197" s="48">
        <f t="shared" si="30"/>
        <v>0</v>
      </c>
      <c r="P197" s="140" t="str">
        <f t="shared" si="36"/>
        <v>5500/012</v>
      </c>
      <c r="Q197" s="70"/>
      <c r="R197" s="31"/>
      <c r="S197" s="71"/>
      <c r="T197" s="51"/>
      <c r="U197" s="31"/>
    </row>
    <row r="198" spans="1:21" x14ac:dyDescent="0.2">
      <c r="A198" s="238"/>
      <c r="B198" s="90" t="s">
        <v>570</v>
      </c>
      <c r="C198" s="249"/>
      <c r="D198" s="250"/>
      <c r="E198" s="250"/>
      <c r="F198" s="132">
        <f>TrialBalanceA!I198-TrialBalanceA!K198</f>
        <v>0</v>
      </c>
      <c r="G198" s="132">
        <f>TrialBalanceB!I198-TrialBalanceB!K198</f>
        <v>0</v>
      </c>
      <c r="H198" s="132">
        <f>TrialBalanceC!I198-TrialBalanceC!K198</f>
        <v>0</v>
      </c>
      <c r="I198" s="79">
        <f t="shared" si="39"/>
        <v>0</v>
      </c>
      <c r="J198" s="198">
        <f>SUMIF(Journals!D$14:D$920,TrialBalance!P198,Journals!J$14:J$920)+SUMIF(Journals!E$14:E$920,TrialBalance!P198,Journals!J$14:J$920)</f>
        <v>0</v>
      </c>
      <c r="K198" s="253"/>
      <c r="L198" s="255">
        <f t="shared" si="40"/>
        <v>0</v>
      </c>
      <c r="M198" s="75"/>
      <c r="N198" s="48">
        <f t="shared" si="30"/>
        <v>0</v>
      </c>
      <c r="P198" s="140" t="str">
        <f t="shared" si="36"/>
        <v>5500/013</v>
      </c>
      <c r="Q198" s="70"/>
      <c r="R198" s="31"/>
      <c r="S198" s="71"/>
      <c r="T198" s="51"/>
      <c r="U198" s="31"/>
    </row>
    <row r="199" spans="1:21" x14ac:dyDescent="0.2">
      <c r="A199" s="238"/>
      <c r="B199" s="90" t="s">
        <v>619</v>
      </c>
      <c r="C199" s="249"/>
      <c r="D199" s="250"/>
      <c r="E199" s="250"/>
      <c r="F199" s="132">
        <f>TrialBalanceA!I199-TrialBalanceA!K199</f>
        <v>0</v>
      </c>
      <c r="G199" s="132">
        <f>TrialBalanceB!I199-TrialBalanceB!K199</f>
        <v>0</v>
      </c>
      <c r="H199" s="132">
        <f>TrialBalanceC!I199-TrialBalanceC!K199</f>
        <v>0</v>
      </c>
      <c r="I199" s="79">
        <f t="shared" si="38"/>
        <v>0</v>
      </c>
      <c r="J199" s="198">
        <f>SUMIF(Journals!D$14:D$920,TrialBalance!P199,Journals!J$14:J$920)+SUMIF(Journals!E$14:E$920,TrialBalance!P199,Journals!J$14:J$920)</f>
        <v>0</v>
      </c>
      <c r="K199" s="253"/>
      <c r="L199" s="255">
        <f t="shared" si="27"/>
        <v>0</v>
      </c>
      <c r="M199" s="75"/>
      <c r="N199" s="48">
        <f t="shared" si="30"/>
        <v>0</v>
      </c>
      <c r="P199" s="140" t="str">
        <f t="shared" si="36"/>
        <v>5500/014</v>
      </c>
      <c r="Q199" s="70"/>
      <c r="R199" s="31"/>
      <c r="S199" s="71"/>
      <c r="T199" s="51"/>
      <c r="U199" s="31"/>
    </row>
    <row r="200" spans="1:21" x14ac:dyDescent="0.2">
      <c r="A200" s="238"/>
      <c r="B200" s="90" t="s">
        <v>620</v>
      </c>
      <c r="C200" s="249"/>
      <c r="D200" s="250"/>
      <c r="E200" s="250"/>
      <c r="F200" s="132">
        <f>TrialBalanceA!I200-TrialBalanceA!K200</f>
        <v>0</v>
      </c>
      <c r="G200" s="132">
        <f>TrialBalanceB!I200-TrialBalanceB!K200</f>
        <v>0</v>
      </c>
      <c r="H200" s="132">
        <f>TrialBalanceC!I200-TrialBalanceC!K200</f>
        <v>0</v>
      </c>
      <c r="I200" s="79">
        <f t="shared" si="38"/>
        <v>0</v>
      </c>
      <c r="J200" s="198">
        <f>SUMIF(Journals!D$14:D$920,TrialBalance!P200,Journals!J$14:J$920)+SUMIF(Journals!E$14:E$920,TrialBalance!P200,Journals!J$14:J$920)</f>
        <v>0</v>
      </c>
      <c r="K200" s="253"/>
      <c r="L200" s="255">
        <f t="shared" si="27"/>
        <v>0</v>
      </c>
      <c r="M200" s="75"/>
      <c r="N200" s="48">
        <f t="shared" si="30"/>
        <v>0</v>
      </c>
      <c r="P200" s="140" t="str">
        <f t="shared" si="36"/>
        <v>5500/015</v>
      </c>
      <c r="Q200" s="70"/>
      <c r="R200" s="31"/>
      <c r="S200" s="71"/>
      <c r="T200" s="51"/>
      <c r="U200" s="31"/>
    </row>
    <row r="201" spans="1:21" x14ac:dyDescent="0.2">
      <c r="A201" s="238"/>
      <c r="B201" s="54" t="s">
        <v>123</v>
      </c>
      <c r="C201" s="240" t="s">
        <v>237</v>
      </c>
      <c r="D201" s="250"/>
      <c r="E201" s="251"/>
      <c r="F201" s="132"/>
      <c r="G201" s="132"/>
      <c r="H201" s="132"/>
      <c r="I201" s="79">
        <f t="shared" si="37"/>
        <v>0</v>
      </c>
      <c r="J201" s="198">
        <f>SUMIF(Journals!D$14:D$920,TrialBalance!P201,Journals!J$14:J$920)+SUMIF(Journals!E$14:E$920,TrialBalance!P201,Journals!J$14:J$920)</f>
        <v>0</v>
      </c>
      <c r="K201" s="253"/>
      <c r="L201" s="255">
        <f t="shared" si="27"/>
        <v>0</v>
      </c>
      <c r="M201" s="75"/>
      <c r="N201" s="48">
        <f t="shared" si="30"/>
        <v>0</v>
      </c>
      <c r="P201" s="140" t="str">
        <f t="shared" ref="P201:P236" si="41">CONCATENATE(B201,C201)</f>
        <v>5520/000Short term portion of long term loans</v>
      </c>
      <c r="Q201" s="70"/>
      <c r="R201" s="31"/>
      <c r="S201" s="71"/>
      <c r="T201" s="51"/>
      <c r="U201" s="31"/>
    </row>
    <row r="202" spans="1:21" x14ac:dyDescent="0.2">
      <c r="A202" s="238"/>
      <c r="B202" s="54" t="s">
        <v>125</v>
      </c>
      <c r="C202" s="239" t="s">
        <v>126</v>
      </c>
      <c r="D202" s="250"/>
      <c r="E202" s="251"/>
      <c r="F202" s="132"/>
      <c r="G202" s="132"/>
      <c r="H202" s="132"/>
      <c r="I202" s="79">
        <f t="shared" si="37"/>
        <v>0</v>
      </c>
      <c r="J202" s="198">
        <f>SUMIF(Journals!D$14:D$920,TrialBalance!P202,Journals!J$14:J$920)+SUMIF(Journals!E$14:E$920,TrialBalance!P202,Journals!J$14:J$920)</f>
        <v>0</v>
      </c>
      <c r="K202" s="254" t="s">
        <v>547</v>
      </c>
      <c r="L202" s="255">
        <f t="shared" si="27"/>
        <v>0</v>
      </c>
      <c r="M202" s="75"/>
      <c r="N202" s="48">
        <f t="shared" si="30"/>
        <v>0</v>
      </c>
      <c r="P202" s="140" t="str">
        <f t="shared" si="41"/>
        <v>5550/000LONG TERM INTEREST FREE LOANS</v>
      </c>
      <c r="Q202" s="70"/>
      <c r="R202" s="31"/>
      <c r="S202" s="71"/>
      <c r="T202" s="51"/>
      <c r="U202" s="31"/>
    </row>
    <row r="203" spans="1:21" x14ac:dyDescent="0.2">
      <c r="A203" s="238"/>
      <c r="B203" s="54" t="s">
        <v>127</v>
      </c>
      <c r="C203" s="249"/>
      <c r="D203" s="251"/>
      <c r="E203" s="251"/>
      <c r="F203" s="132">
        <f>TrialBalanceA!I203-TrialBalanceA!K203</f>
        <v>0</v>
      </c>
      <c r="G203" s="132">
        <f>TrialBalanceB!I203-TrialBalanceB!K203</f>
        <v>0</v>
      </c>
      <c r="H203" s="132">
        <f>TrialBalanceC!I203-TrialBalanceC!K203</f>
        <v>0</v>
      </c>
      <c r="I203" s="79">
        <f t="shared" ref="I203:I216" si="42">N203</f>
        <v>0</v>
      </c>
      <c r="J203" s="198">
        <f>SUMIF(Journals!D$14:D$920,TrialBalance!P203,Journals!J$14:J$920)+SUMIF(Journals!E$14:E$920,TrialBalance!P203,Journals!J$14:J$920)</f>
        <v>0</v>
      </c>
      <c r="K203" s="254"/>
      <c r="L203" s="255">
        <f t="shared" si="27"/>
        <v>0</v>
      </c>
      <c r="M203" s="75"/>
      <c r="N203" s="48">
        <f t="shared" si="30"/>
        <v>0</v>
      </c>
      <c r="P203" s="140" t="str">
        <f t="shared" si="41"/>
        <v>5550/001</v>
      </c>
      <c r="Q203" s="72"/>
      <c r="R203" s="31"/>
      <c r="S203" s="71"/>
      <c r="T203" s="51"/>
      <c r="U203" s="31"/>
    </row>
    <row r="204" spans="1:21" x14ac:dyDescent="0.2">
      <c r="A204" s="238"/>
      <c r="B204" s="54" t="s">
        <v>128</v>
      </c>
      <c r="C204" s="249"/>
      <c r="D204" s="251"/>
      <c r="E204" s="251"/>
      <c r="F204" s="132">
        <f>TrialBalanceA!I204-TrialBalanceA!K204</f>
        <v>0</v>
      </c>
      <c r="G204" s="132">
        <f>TrialBalanceB!I204-TrialBalanceB!K204</f>
        <v>0</v>
      </c>
      <c r="H204" s="132">
        <f>TrialBalanceC!I204-TrialBalanceC!K204</f>
        <v>0</v>
      </c>
      <c r="I204" s="79">
        <f t="shared" si="42"/>
        <v>0</v>
      </c>
      <c r="J204" s="198">
        <f>SUMIF(Journals!D$14:D$920,TrialBalance!P204,Journals!J$14:J$920)+SUMIF(Journals!E$14:E$920,TrialBalance!P204,Journals!J$14:J$920)</f>
        <v>0</v>
      </c>
      <c r="K204" s="254"/>
      <c r="L204" s="255">
        <f>ROUND(D204-E204+F204+G204+H204+J204+I204,0)</f>
        <v>0</v>
      </c>
      <c r="M204" s="75"/>
      <c r="N204" s="48">
        <f t="shared" si="30"/>
        <v>0</v>
      </c>
      <c r="P204" s="140" t="str">
        <f t="shared" si="41"/>
        <v>5550/002</v>
      </c>
      <c r="Q204" s="72"/>
      <c r="R204" s="31"/>
      <c r="S204" s="71"/>
      <c r="T204" s="51"/>
      <c r="U204" s="31"/>
    </row>
    <row r="205" spans="1:21" x14ac:dyDescent="0.2">
      <c r="A205" s="238"/>
      <c r="B205" s="54" t="s">
        <v>129</v>
      </c>
      <c r="C205" s="249"/>
      <c r="D205" s="250"/>
      <c r="E205" s="251"/>
      <c r="F205" s="132">
        <f>TrialBalanceA!I205-TrialBalanceA!K205</f>
        <v>0</v>
      </c>
      <c r="G205" s="132">
        <f>TrialBalanceB!I205-TrialBalanceB!K205</f>
        <v>0</v>
      </c>
      <c r="H205" s="132">
        <f>TrialBalanceC!I205-TrialBalanceC!K205</f>
        <v>0</v>
      </c>
      <c r="I205" s="79">
        <f t="shared" si="42"/>
        <v>0</v>
      </c>
      <c r="J205" s="198">
        <f>SUMIF(Journals!D$14:D$920,TrialBalance!P205,Journals!J$14:J$920)+SUMIF(Journals!E$14:E$920,TrialBalance!P205,Journals!J$14:J$920)</f>
        <v>0</v>
      </c>
      <c r="K205" s="253"/>
      <c r="L205" s="255">
        <f t="shared" si="27"/>
        <v>0</v>
      </c>
      <c r="M205" s="75"/>
      <c r="N205" s="48">
        <f t="shared" si="30"/>
        <v>0</v>
      </c>
      <c r="P205" s="140" t="str">
        <f t="shared" si="41"/>
        <v>5550/003</v>
      </c>
      <c r="Q205" s="72"/>
      <c r="R205" s="31"/>
      <c r="S205" s="71"/>
      <c r="T205" s="51"/>
      <c r="U205" s="31"/>
    </row>
    <row r="206" spans="1:21" x14ac:dyDescent="0.2">
      <c r="A206" s="238"/>
      <c r="B206" s="54" t="s">
        <v>130</v>
      </c>
      <c r="C206" s="249"/>
      <c r="D206" s="250"/>
      <c r="E206" s="251"/>
      <c r="F206" s="132">
        <f>TrialBalanceA!I206-TrialBalanceA!K206</f>
        <v>0</v>
      </c>
      <c r="G206" s="132">
        <f>TrialBalanceB!I206-TrialBalanceB!K206</f>
        <v>0</v>
      </c>
      <c r="H206" s="132">
        <f>TrialBalanceC!I206-TrialBalanceC!K206</f>
        <v>0</v>
      </c>
      <c r="I206" s="79">
        <f t="shared" si="42"/>
        <v>0</v>
      </c>
      <c r="J206" s="198">
        <f>SUMIF(Journals!D$14:D$920,TrialBalance!P206,Journals!J$14:J$920)+SUMIF(Journals!E$14:E$920,TrialBalance!P206,Journals!J$14:J$920)</f>
        <v>0</v>
      </c>
      <c r="K206" s="253"/>
      <c r="L206" s="255">
        <f t="shared" si="27"/>
        <v>0</v>
      </c>
      <c r="M206" s="75"/>
      <c r="N206" s="48">
        <f t="shared" si="30"/>
        <v>0</v>
      </c>
      <c r="P206" s="140" t="str">
        <f t="shared" si="41"/>
        <v>5550/004</v>
      </c>
      <c r="Q206" s="70"/>
      <c r="R206" s="31"/>
      <c r="S206" s="71"/>
      <c r="T206" s="51"/>
      <c r="U206" s="31"/>
    </row>
    <row r="207" spans="1:21" x14ac:dyDescent="0.2">
      <c r="A207" s="238"/>
      <c r="B207" s="54" t="s">
        <v>131</v>
      </c>
      <c r="C207" s="249"/>
      <c r="D207" s="250"/>
      <c r="E207" s="251"/>
      <c r="F207" s="132">
        <f>TrialBalanceA!I207-TrialBalanceA!K207</f>
        <v>0</v>
      </c>
      <c r="G207" s="132">
        <f>TrialBalanceB!I207-TrialBalanceB!K207</f>
        <v>0</v>
      </c>
      <c r="H207" s="132">
        <f>TrialBalanceC!I207-TrialBalanceC!K207</f>
        <v>0</v>
      </c>
      <c r="I207" s="79">
        <f t="shared" si="42"/>
        <v>0</v>
      </c>
      <c r="J207" s="198">
        <f>SUMIF(Journals!D$14:D$920,TrialBalance!P207,Journals!J$14:J$920)+SUMIF(Journals!E$14:E$920,TrialBalance!P207,Journals!J$14:J$920)</f>
        <v>0</v>
      </c>
      <c r="K207" s="253"/>
      <c r="L207" s="255">
        <f t="shared" ref="L207:L278" si="43">ROUND(D207-E207+F207+G207+H207+J207+I207,0)</f>
        <v>0</v>
      </c>
      <c r="M207" s="75"/>
      <c r="N207" s="48">
        <f t="shared" ref="N207:N282" si="44">ROUND(SUM(A207),0)</f>
        <v>0</v>
      </c>
      <c r="P207" s="140" t="str">
        <f t="shared" si="41"/>
        <v>5550/005</v>
      </c>
      <c r="Q207" s="70"/>
      <c r="R207" s="31"/>
      <c r="S207" s="71"/>
      <c r="T207" s="51"/>
      <c r="U207" s="31"/>
    </row>
    <row r="208" spans="1:21" x14ac:dyDescent="0.2">
      <c r="A208" s="238"/>
      <c r="B208" s="90" t="s">
        <v>590</v>
      </c>
      <c r="C208" s="249"/>
      <c r="D208" s="250"/>
      <c r="E208" s="251"/>
      <c r="F208" s="132">
        <f>TrialBalanceA!I208-TrialBalanceA!K208</f>
        <v>0</v>
      </c>
      <c r="G208" s="132">
        <f>TrialBalanceB!I208-TrialBalanceB!K208</f>
        <v>0</v>
      </c>
      <c r="H208" s="132">
        <f>TrialBalanceC!I208-TrialBalanceC!K208</f>
        <v>0</v>
      </c>
      <c r="I208" s="79">
        <f t="shared" ref="I208:I211" si="45">N208</f>
        <v>0</v>
      </c>
      <c r="J208" s="198">
        <f>SUMIF(Journals!D$14:D$920,TrialBalance!P208,Journals!J$14:J$920)+SUMIF(Journals!E$14:E$920,TrialBalance!P208,Journals!J$14:J$920)</f>
        <v>0</v>
      </c>
      <c r="K208" s="253"/>
      <c r="L208" s="255">
        <f t="shared" si="43"/>
        <v>0</v>
      </c>
      <c r="M208" s="75"/>
      <c r="N208" s="48">
        <f t="shared" si="44"/>
        <v>0</v>
      </c>
      <c r="P208" s="140" t="str">
        <f t="shared" si="41"/>
        <v>5550/006</v>
      </c>
      <c r="Q208" s="70"/>
      <c r="R208" s="31"/>
      <c r="S208" s="71"/>
      <c r="T208" s="51"/>
      <c r="U208" s="31"/>
    </row>
    <row r="209" spans="1:21" x14ac:dyDescent="0.2">
      <c r="A209" s="238"/>
      <c r="B209" s="90" t="s">
        <v>591</v>
      </c>
      <c r="C209" s="249"/>
      <c r="D209" s="250"/>
      <c r="E209" s="251"/>
      <c r="F209" s="132">
        <f>TrialBalanceA!I209-TrialBalanceA!K209</f>
        <v>0</v>
      </c>
      <c r="G209" s="132">
        <f>TrialBalanceB!I209-TrialBalanceB!K209</f>
        <v>0</v>
      </c>
      <c r="H209" s="132">
        <f>TrialBalanceC!I209-TrialBalanceC!K209</f>
        <v>0</v>
      </c>
      <c r="I209" s="79">
        <f t="shared" si="45"/>
        <v>0</v>
      </c>
      <c r="J209" s="198">
        <f>SUMIF(Journals!D$14:D$920,TrialBalance!P209,Journals!J$14:J$920)+SUMIF(Journals!E$14:E$920,TrialBalance!P209,Journals!J$14:J$920)</f>
        <v>0</v>
      </c>
      <c r="K209" s="253"/>
      <c r="L209" s="255">
        <f t="shared" si="43"/>
        <v>0</v>
      </c>
      <c r="M209" s="75"/>
      <c r="N209" s="48">
        <f t="shared" si="44"/>
        <v>0</v>
      </c>
      <c r="P209" s="140" t="str">
        <f t="shared" si="41"/>
        <v>5550/007</v>
      </c>
      <c r="Q209" s="70"/>
      <c r="R209" s="31"/>
      <c r="S209" s="71"/>
      <c r="T209" s="51"/>
      <c r="U209" s="31"/>
    </row>
    <row r="210" spans="1:21" x14ac:dyDescent="0.2">
      <c r="A210" s="238"/>
      <c r="B210" s="90" t="s">
        <v>592</v>
      </c>
      <c r="C210" s="249"/>
      <c r="D210" s="250"/>
      <c r="E210" s="251"/>
      <c r="F210" s="132">
        <f>TrialBalanceA!I210-TrialBalanceA!K210</f>
        <v>0</v>
      </c>
      <c r="G210" s="132">
        <f>TrialBalanceB!I210-TrialBalanceB!K210</f>
        <v>0</v>
      </c>
      <c r="H210" s="132">
        <f>TrialBalanceC!I210-TrialBalanceC!K210</f>
        <v>0</v>
      </c>
      <c r="I210" s="79">
        <f t="shared" si="45"/>
        <v>0</v>
      </c>
      <c r="J210" s="198">
        <f>SUMIF(Journals!D$14:D$920,TrialBalance!P210,Journals!J$14:J$920)+SUMIF(Journals!E$14:E$920,TrialBalance!P210,Journals!J$14:J$920)</f>
        <v>0</v>
      </c>
      <c r="K210" s="253"/>
      <c r="L210" s="255">
        <f t="shared" si="43"/>
        <v>0</v>
      </c>
      <c r="M210" s="75"/>
      <c r="N210" s="48">
        <f t="shared" si="44"/>
        <v>0</v>
      </c>
      <c r="P210" s="140" t="str">
        <f t="shared" si="41"/>
        <v>5550/008</v>
      </c>
      <c r="Q210" s="70"/>
      <c r="R210" s="31"/>
      <c r="S210" s="71"/>
      <c r="T210" s="51"/>
      <c r="U210" s="31"/>
    </row>
    <row r="211" spans="1:21" x14ac:dyDescent="0.2">
      <c r="A211" s="238"/>
      <c r="B211" s="90" t="s">
        <v>593</v>
      </c>
      <c r="C211" s="249"/>
      <c r="D211" s="250"/>
      <c r="E211" s="251"/>
      <c r="F211" s="132">
        <f>TrialBalanceA!I211-TrialBalanceA!K211</f>
        <v>0</v>
      </c>
      <c r="G211" s="132">
        <f>TrialBalanceB!I211-TrialBalanceB!K211</f>
        <v>0</v>
      </c>
      <c r="H211" s="132">
        <f>TrialBalanceC!I211-TrialBalanceC!K211</f>
        <v>0</v>
      </c>
      <c r="I211" s="79">
        <f t="shared" si="45"/>
        <v>0</v>
      </c>
      <c r="J211" s="198">
        <f>SUMIF(Journals!D$14:D$920,TrialBalance!P211,Journals!J$14:J$920)+SUMIF(Journals!E$14:E$920,TrialBalance!P211,Journals!J$14:J$920)</f>
        <v>0</v>
      </c>
      <c r="K211" s="253"/>
      <c r="L211" s="255">
        <f t="shared" si="43"/>
        <v>0</v>
      </c>
      <c r="M211" s="75"/>
      <c r="N211" s="48">
        <f t="shared" si="44"/>
        <v>0</v>
      </c>
      <c r="P211" s="140" t="str">
        <f t="shared" si="41"/>
        <v>5550/009</v>
      </c>
      <c r="Q211" s="70"/>
      <c r="R211" s="31"/>
      <c r="S211" s="71"/>
      <c r="T211" s="51"/>
      <c r="U211" s="31"/>
    </row>
    <row r="212" spans="1:21" x14ac:dyDescent="0.2">
      <c r="A212" s="238"/>
      <c r="B212" s="90" t="s">
        <v>613</v>
      </c>
      <c r="C212" s="249"/>
      <c r="D212" s="251"/>
      <c r="E212" s="251"/>
      <c r="F212" s="132">
        <f>TrialBalanceA!I212-TrialBalanceA!K212</f>
        <v>0</v>
      </c>
      <c r="G212" s="132">
        <f>TrialBalanceB!I212-TrialBalanceB!K212</f>
        <v>0</v>
      </c>
      <c r="H212" s="132">
        <f>TrialBalanceC!I212-TrialBalanceC!K212</f>
        <v>0</v>
      </c>
      <c r="I212" s="79">
        <f t="shared" si="42"/>
        <v>0</v>
      </c>
      <c r="J212" s="198">
        <f>SUMIF(Journals!D$14:D$920,TrialBalance!P212,Journals!J$14:J$920)+SUMIF(Journals!E$14:E$920,TrialBalance!P212,Journals!J$14:J$920)</f>
        <v>0</v>
      </c>
      <c r="K212" s="253"/>
      <c r="L212" s="255">
        <f>ROUND(D212-E212+F212+G212+H212+J212+I212,0)</f>
        <v>0</v>
      </c>
      <c r="M212" s="75"/>
      <c r="N212" s="48">
        <f t="shared" si="44"/>
        <v>0</v>
      </c>
      <c r="P212" s="140" t="str">
        <f t="shared" si="41"/>
        <v>5550/010</v>
      </c>
      <c r="Q212" s="70"/>
      <c r="R212" s="31"/>
      <c r="S212" s="71"/>
      <c r="T212" s="51">
        <f>L205+L216</f>
        <v>0</v>
      </c>
      <c r="U212" s="31"/>
    </row>
    <row r="213" spans="1:21" x14ac:dyDescent="0.2">
      <c r="A213" s="238"/>
      <c r="B213" s="90" t="s">
        <v>626</v>
      </c>
      <c r="C213" s="249"/>
      <c r="D213" s="251"/>
      <c r="E213" s="251"/>
      <c r="F213" s="132">
        <f>TrialBalanceA!I213-TrialBalanceA!K213</f>
        <v>0</v>
      </c>
      <c r="G213" s="132">
        <f>TrialBalanceB!I213-TrialBalanceB!K213</f>
        <v>0</v>
      </c>
      <c r="H213" s="132">
        <f>TrialBalanceC!I213-TrialBalanceC!K213</f>
        <v>0</v>
      </c>
      <c r="I213" s="79">
        <f t="shared" si="42"/>
        <v>0</v>
      </c>
      <c r="J213" s="198">
        <f>SUMIF(Journals!D$14:D$920,TrialBalance!P213,Journals!J$14:J$920)+SUMIF(Journals!E$14:E$920,TrialBalance!P213,Journals!J$14:J$920)</f>
        <v>0</v>
      </c>
      <c r="K213" s="253"/>
      <c r="L213" s="255">
        <f>ROUND(D213-E213+F213+G213+H213+J213+I213,0)</f>
        <v>0</v>
      </c>
      <c r="M213" s="75"/>
      <c r="N213" s="48">
        <f t="shared" si="44"/>
        <v>0</v>
      </c>
      <c r="P213" s="140" t="str">
        <f t="shared" si="41"/>
        <v>5550/011</v>
      </c>
      <c r="Q213" s="70"/>
      <c r="R213" s="31"/>
      <c r="S213" s="71"/>
      <c r="T213" s="51"/>
      <c r="U213" s="31"/>
    </row>
    <row r="214" spans="1:21" x14ac:dyDescent="0.2">
      <c r="A214" s="238"/>
      <c r="B214" s="90" t="s">
        <v>627</v>
      </c>
      <c r="C214" s="249"/>
      <c r="D214" s="251"/>
      <c r="E214" s="251"/>
      <c r="F214" s="132">
        <f>TrialBalanceA!I214-TrialBalanceA!K214</f>
        <v>0</v>
      </c>
      <c r="G214" s="132">
        <f>TrialBalanceB!I214-TrialBalanceB!K214</f>
        <v>0</v>
      </c>
      <c r="H214" s="132">
        <f>TrialBalanceC!I214-TrialBalanceC!K214</f>
        <v>0</v>
      </c>
      <c r="I214" s="79">
        <f t="shared" si="42"/>
        <v>0</v>
      </c>
      <c r="J214" s="198">
        <f>SUMIF(Journals!D$14:D$920,TrialBalance!P214,Journals!J$14:J$920)+SUMIF(Journals!E$14:E$920,TrialBalance!P214,Journals!J$14:J$920)</f>
        <v>0</v>
      </c>
      <c r="K214" s="253"/>
      <c r="L214" s="255">
        <f t="shared" si="43"/>
        <v>0</v>
      </c>
      <c r="M214" s="75"/>
      <c r="N214" s="48">
        <f t="shared" si="44"/>
        <v>0</v>
      </c>
      <c r="P214" s="140" t="str">
        <f t="shared" si="41"/>
        <v>5550/012</v>
      </c>
      <c r="Q214" s="70"/>
      <c r="R214" s="31"/>
      <c r="S214" s="71"/>
      <c r="T214" s="51"/>
      <c r="U214" s="31"/>
    </row>
    <row r="215" spans="1:21" x14ac:dyDescent="0.2">
      <c r="A215" s="238"/>
      <c r="B215" s="90" t="s">
        <v>628</v>
      </c>
      <c r="C215" s="249"/>
      <c r="D215" s="251"/>
      <c r="E215" s="251"/>
      <c r="F215" s="132">
        <f>TrialBalanceA!I215-TrialBalanceA!K215</f>
        <v>0</v>
      </c>
      <c r="G215" s="132">
        <f>TrialBalanceB!I215-TrialBalanceB!K215</f>
        <v>0</v>
      </c>
      <c r="H215" s="132">
        <f>TrialBalanceC!I215-TrialBalanceC!K215</f>
        <v>0</v>
      </c>
      <c r="I215" s="79">
        <f t="shared" si="42"/>
        <v>0</v>
      </c>
      <c r="J215" s="198">
        <f>SUMIF(Journals!D$14:D$920,TrialBalance!P215,Journals!J$14:J$920)+SUMIF(Journals!E$14:E$920,TrialBalance!P215,Journals!J$14:J$920)</f>
        <v>0</v>
      </c>
      <c r="K215" s="253"/>
      <c r="L215" s="255">
        <f t="shared" si="43"/>
        <v>0</v>
      </c>
      <c r="M215" s="75"/>
      <c r="N215" s="48">
        <f t="shared" si="44"/>
        <v>0</v>
      </c>
      <c r="P215" s="140" t="str">
        <f t="shared" si="41"/>
        <v>5550/013</v>
      </c>
      <c r="Q215" s="70"/>
      <c r="R215" s="31"/>
      <c r="S215" s="71"/>
      <c r="T215" s="51"/>
      <c r="U215" s="31"/>
    </row>
    <row r="216" spans="1:21" x14ac:dyDescent="0.2">
      <c r="A216" s="238"/>
      <c r="B216" s="90" t="s">
        <v>629</v>
      </c>
      <c r="C216" s="249"/>
      <c r="D216" s="251"/>
      <c r="E216" s="251"/>
      <c r="F216" s="132">
        <f>TrialBalanceA!I216-TrialBalanceA!K216</f>
        <v>0</v>
      </c>
      <c r="G216" s="132">
        <f>TrialBalanceB!I216-TrialBalanceB!K216</f>
        <v>0</v>
      </c>
      <c r="H216" s="132">
        <f>TrialBalanceC!I216-TrialBalanceC!K216</f>
        <v>0</v>
      </c>
      <c r="I216" s="79">
        <f t="shared" si="42"/>
        <v>0</v>
      </c>
      <c r="J216" s="198">
        <f>SUMIF(Journals!D$14:D$920,TrialBalance!P216,Journals!J$14:J$920)+SUMIF(Journals!E$14:E$920,TrialBalance!P216,Journals!J$14:J$920)</f>
        <v>0</v>
      </c>
      <c r="K216" s="253"/>
      <c r="L216" s="255">
        <f t="shared" si="43"/>
        <v>0</v>
      </c>
      <c r="M216" s="75"/>
      <c r="N216" s="48">
        <f t="shared" si="44"/>
        <v>0</v>
      </c>
      <c r="P216" s="140" t="str">
        <f t="shared" si="41"/>
        <v>5550/014</v>
      </c>
      <c r="Q216" s="70"/>
      <c r="R216" s="31"/>
      <c r="S216" s="71"/>
      <c r="T216" s="51"/>
      <c r="U216" s="31"/>
    </row>
    <row r="217" spans="1:21" x14ac:dyDescent="0.2">
      <c r="A217" s="238"/>
      <c r="B217" s="90" t="s">
        <v>630</v>
      </c>
      <c r="C217" s="249"/>
      <c r="D217" s="251"/>
      <c r="E217" s="251"/>
      <c r="F217" s="132">
        <f>TrialBalanceA!I217-TrialBalanceA!K217</f>
        <v>0</v>
      </c>
      <c r="G217" s="132">
        <f>TrialBalanceB!I217-TrialBalanceB!K217</f>
        <v>0</v>
      </c>
      <c r="H217" s="132">
        <f>TrialBalanceC!I217-TrialBalanceC!K217</f>
        <v>0</v>
      </c>
      <c r="I217" s="79">
        <f>N217</f>
        <v>0</v>
      </c>
      <c r="J217" s="198">
        <f>SUMIF(Journals!D$14:D$920,TrialBalance!P217,Journals!J$14:J$920)+SUMIF(Journals!E$14:E$920,TrialBalance!P217,Journals!J$14:J$920)</f>
        <v>0</v>
      </c>
      <c r="K217" s="253"/>
      <c r="L217" s="255">
        <f t="shared" si="43"/>
        <v>0</v>
      </c>
      <c r="M217" s="75"/>
      <c r="N217" s="48">
        <f t="shared" si="44"/>
        <v>0</v>
      </c>
      <c r="P217" s="140" t="str">
        <f t="shared" si="41"/>
        <v>5550/015</v>
      </c>
      <c r="Q217" s="70"/>
      <c r="R217" s="31"/>
      <c r="S217" s="71"/>
      <c r="T217" s="51"/>
      <c r="U217" s="31"/>
    </row>
    <row r="218" spans="1:21" x14ac:dyDescent="0.2">
      <c r="A218" s="238"/>
      <c r="B218" s="90" t="s">
        <v>631</v>
      </c>
      <c r="C218" s="249"/>
      <c r="D218" s="251"/>
      <c r="E218" s="251"/>
      <c r="F218" s="132">
        <f>TrialBalanceA!I218-TrialBalanceA!K218</f>
        <v>0</v>
      </c>
      <c r="G218" s="132">
        <f>TrialBalanceB!I218-TrialBalanceB!K218</f>
        <v>0</v>
      </c>
      <c r="H218" s="132">
        <f>TrialBalanceC!I218-TrialBalanceC!K218</f>
        <v>0</v>
      </c>
      <c r="I218" s="79">
        <f>N218</f>
        <v>0</v>
      </c>
      <c r="J218" s="198">
        <f>SUMIF(Journals!D$14:D$920,TrialBalance!P218,Journals!J$14:J$920)+SUMIF(Journals!E$14:E$920,TrialBalance!P218,Journals!J$14:J$920)</f>
        <v>0</v>
      </c>
      <c r="K218" s="253"/>
      <c r="L218" s="255">
        <f t="shared" si="43"/>
        <v>0</v>
      </c>
      <c r="M218" s="75"/>
      <c r="N218" s="48">
        <f t="shared" si="44"/>
        <v>0</v>
      </c>
      <c r="P218" s="140" t="str">
        <f t="shared" si="41"/>
        <v>5550/016</v>
      </c>
      <c r="Q218" s="70"/>
      <c r="R218" s="31"/>
      <c r="S218" s="71"/>
      <c r="T218" s="51"/>
      <c r="U218" s="31"/>
    </row>
    <row r="219" spans="1:21" x14ac:dyDescent="0.2">
      <c r="A219" s="238"/>
      <c r="B219" s="90" t="s">
        <v>632</v>
      </c>
      <c r="C219" s="249"/>
      <c r="D219" s="251"/>
      <c r="E219" s="251"/>
      <c r="F219" s="132">
        <f>TrialBalanceA!I219-TrialBalanceA!K219</f>
        <v>0</v>
      </c>
      <c r="G219" s="132">
        <f>TrialBalanceB!I219-TrialBalanceB!K219</f>
        <v>0</v>
      </c>
      <c r="H219" s="132">
        <f>TrialBalanceC!I219-TrialBalanceC!K219</f>
        <v>0</v>
      </c>
      <c r="I219" s="79">
        <f>N219</f>
        <v>0</v>
      </c>
      <c r="J219" s="198">
        <f>SUMIF(Journals!D$14:D$920,TrialBalance!P219,Journals!J$14:J$920)+SUMIF(Journals!E$14:E$920,TrialBalance!P219,Journals!J$14:J$920)</f>
        <v>0</v>
      </c>
      <c r="K219" s="253"/>
      <c r="L219" s="255">
        <f t="shared" si="43"/>
        <v>0</v>
      </c>
      <c r="M219" s="75"/>
      <c r="N219" s="48">
        <f t="shared" si="44"/>
        <v>0</v>
      </c>
      <c r="P219" s="140" t="str">
        <f t="shared" si="41"/>
        <v>5550/017</v>
      </c>
      <c r="Q219" s="70"/>
      <c r="R219" s="31"/>
      <c r="S219" s="71"/>
      <c r="T219" s="51"/>
      <c r="U219" s="31"/>
    </row>
    <row r="220" spans="1:21" x14ac:dyDescent="0.2">
      <c r="A220" s="238"/>
      <c r="B220" s="54" t="s">
        <v>132</v>
      </c>
      <c r="C220" s="239" t="s">
        <v>178</v>
      </c>
      <c r="D220" s="250"/>
      <c r="E220" s="251"/>
      <c r="F220" s="132"/>
      <c r="G220" s="132"/>
      <c r="H220" s="132"/>
      <c r="I220" s="79"/>
      <c r="J220" s="198">
        <f>SUMIF(Journals!D$14:D$920,TrialBalance!P220,Journals!J$14:J$920)+SUMIF(Journals!E$14:E$920,TrialBalance!P220,Journals!J$14:J$920)</f>
        <v>0</v>
      </c>
      <c r="K220" s="254" t="s">
        <v>547</v>
      </c>
      <c r="L220" s="255">
        <f t="shared" si="43"/>
        <v>0</v>
      </c>
      <c r="M220" s="75"/>
      <c r="N220" s="48">
        <f t="shared" si="44"/>
        <v>0</v>
      </c>
      <c r="P220" s="140" t="str">
        <f t="shared" si="41"/>
        <v>5700/000DEFERRED TAX</v>
      </c>
      <c r="Q220" s="70"/>
      <c r="R220" s="31"/>
      <c r="S220" s="71"/>
      <c r="T220" s="51"/>
      <c r="U220" s="31"/>
    </row>
    <row r="221" spans="1:21" x14ac:dyDescent="0.2">
      <c r="A221" s="341"/>
      <c r="B221" s="54" t="s">
        <v>133</v>
      </c>
      <c r="C221" s="242" t="s">
        <v>498</v>
      </c>
      <c r="D221" s="250"/>
      <c r="E221" s="251"/>
      <c r="F221" s="132"/>
      <c r="G221" s="132"/>
      <c r="H221" s="132"/>
      <c r="I221" s="79">
        <f>N221+N223+N225+N227</f>
        <v>0</v>
      </c>
      <c r="J221" s="198">
        <f>SUMIF(Journals!D$14:D$920,TrialBalance!P221,Journals!J$14:J$920)+SUMIF(Journals!E$14:E$920,TrialBalance!P221,Journals!J$14:J$920)</f>
        <v>0</v>
      </c>
      <c r="K221" s="253"/>
      <c r="L221" s="255">
        <f t="shared" si="43"/>
        <v>0</v>
      </c>
      <c r="M221" s="75"/>
      <c r="N221" s="48">
        <f t="shared" si="44"/>
        <v>0</v>
      </c>
      <c r="P221" s="140" t="str">
        <f t="shared" si="41"/>
        <v>5700/010Deferred tax balance  depreciation b/fwd</v>
      </c>
      <c r="Q221" s="70"/>
      <c r="R221" s="31"/>
      <c r="S221" s="71"/>
      <c r="T221" s="51"/>
      <c r="U221" s="31"/>
    </row>
    <row r="222" spans="1:21" x14ac:dyDescent="0.2">
      <c r="A222" s="341"/>
      <c r="B222" s="90" t="s">
        <v>594</v>
      </c>
      <c r="C222" s="242" t="s">
        <v>499</v>
      </c>
      <c r="D222" s="250"/>
      <c r="E222" s="251"/>
      <c r="F222" s="132"/>
      <c r="G222" s="132"/>
      <c r="H222" s="132"/>
      <c r="I222" s="79">
        <f>N222+N224+N226+N228</f>
        <v>0</v>
      </c>
      <c r="J222" s="198">
        <f>SUMIF(Journals!D$14:D$920,TrialBalance!P222,Journals!J$14:J$920)+SUMIF(Journals!E$14:E$920,TrialBalance!P222,Journals!J$14:J$920)</f>
        <v>0</v>
      </c>
      <c r="K222" s="253"/>
      <c r="L222" s="255">
        <f t="shared" si="43"/>
        <v>0</v>
      </c>
      <c r="M222" s="75"/>
      <c r="N222" s="48">
        <f t="shared" si="44"/>
        <v>0</v>
      </c>
      <c r="P222" s="140" t="str">
        <f t="shared" si="41"/>
        <v>5700/020Deferred tax balance  tax loss b/fwd</v>
      </c>
      <c r="Q222" s="70"/>
      <c r="R222" s="31"/>
      <c r="S222" s="71"/>
      <c r="T222" s="51"/>
      <c r="U222" s="31"/>
    </row>
    <row r="223" spans="1:21" x14ac:dyDescent="0.2">
      <c r="A223" s="341"/>
      <c r="B223" s="90" t="s">
        <v>950</v>
      </c>
      <c r="C223" s="242" t="s">
        <v>951</v>
      </c>
      <c r="D223" s="250"/>
      <c r="E223" s="251"/>
      <c r="F223" s="132">
        <f>TrialBalanceA!I223</f>
        <v>0</v>
      </c>
      <c r="G223" s="132">
        <f>TrialBalanceB!I223</f>
        <v>0</v>
      </c>
      <c r="H223" s="132">
        <f>TrialBalanceC!I223</f>
        <v>0</v>
      </c>
      <c r="I223" s="79"/>
      <c r="J223" s="198">
        <f>SUMIF(Journals!D$14:D$920,TrialBalance!P223,Journals!J$14:J$920)+SUMIF(Journals!E$14:E$920,TrialBalance!P223,Journals!J$14:J$920)</f>
        <v>0</v>
      </c>
      <c r="K223" s="253"/>
      <c r="L223" s="255">
        <f t="shared" ref="L223:L224" si="46">ROUND(D223-E223+F223+G223+H223+J223+I223,0)</f>
        <v>0</v>
      </c>
      <c r="M223" s="75"/>
      <c r="N223" s="48">
        <f t="shared" ref="N223:N224" si="47">ROUND(SUM(A223),0)</f>
        <v>0</v>
      </c>
      <c r="P223" s="140" t="str">
        <f t="shared" ref="P223:P224" si="48">CONCATENATE(B223,C223)</f>
        <v>5700/021Opening balance depreciation tax rate change</v>
      </c>
      <c r="Q223" s="70"/>
      <c r="R223" s="31"/>
      <c r="S223" s="71"/>
      <c r="T223" s="51"/>
      <c r="U223" s="31"/>
    </row>
    <row r="224" spans="1:21" x14ac:dyDescent="0.2">
      <c r="A224" s="341"/>
      <c r="B224" s="90" t="s">
        <v>952</v>
      </c>
      <c r="C224" s="242" t="s">
        <v>953</v>
      </c>
      <c r="D224" s="250"/>
      <c r="E224" s="251"/>
      <c r="F224" s="132">
        <f>TrialBalanceA!I224</f>
        <v>0</v>
      </c>
      <c r="G224" s="132">
        <f>TrialBalanceB!I224</f>
        <v>0</v>
      </c>
      <c r="H224" s="132">
        <f>TrialBalanceC!I224</f>
        <v>0</v>
      </c>
      <c r="I224" s="79"/>
      <c r="J224" s="198">
        <f>SUMIF(Journals!D$14:D$920,TrialBalance!P224,Journals!J$14:J$920)+SUMIF(Journals!E$14:E$920,TrialBalance!P224,Journals!J$14:J$920)</f>
        <v>0</v>
      </c>
      <c r="K224" s="253"/>
      <c r="L224" s="255">
        <f t="shared" si="46"/>
        <v>0</v>
      </c>
      <c r="M224" s="75"/>
      <c r="N224" s="48">
        <f t="shared" si="47"/>
        <v>0</v>
      </c>
      <c r="P224" s="140" t="str">
        <f t="shared" si="48"/>
        <v>5700/022Opening balance tax loss tax rate change</v>
      </c>
      <c r="Q224" s="70"/>
      <c r="R224" s="31"/>
      <c r="S224" s="71"/>
      <c r="T224" s="51"/>
      <c r="U224" s="31"/>
    </row>
    <row r="225" spans="1:21" x14ac:dyDescent="0.2">
      <c r="A225" s="342"/>
      <c r="B225" s="90" t="s">
        <v>595</v>
      </c>
      <c r="C225" s="240" t="s">
        <v>134</v>
      </c>
      <c r="D225" s="250"/>
      <c r="E225" s="251"/>
      <c r="F225" s="132">
        <f>TrialBalanceA!I225</f>
        <v>0</v>
      </c>
      <c r="G225" s="132">
        <f>TrialBalanceB!I225</f>
        <v>0</v>
      </c>
      <c r="H225" s="132">
        <f>TrialBalanceC!I225</f>
        <v>0</v>
      </c>
      <c r="I225" s="79"/>
      <c r="J225" s="198">
        <f>SUMIF(Journals!D$14:D$920,TrialBalance!P225,Journals!J$14:J$920)+SUMIF(Journals!E$14:E$920,TrialBalance!P225,Journals!J$14:J$920)</f>
        <v>0</v>
      </c>
      <c r="K225" s="253"/>
      <c r="L225" s="255">
        <f t="shared" si="43"/>
        <v>0</v>
      </c>
      <c r="M225" s="75"/>
      <c r="N225" s="48">
        <f t="shared" si="44"/>
        <v>0</v>
      </c>
      <c r="P225" s="140" t="str">
        <f t="shared" si="41"/>
        <v>5700/030Deferred tax on depreciation for year</v>
      </c>
      <c r="Q225" s="70"/>
      <c r="R225" s="31"/>
      <c r="S225" s="71"/>
      <c r="T225" s="51"/>
      <c r="U225" s="31"/>
    </row>
    <row r="226" spans="1:21" x14ac:dyDescent="0.2">
      <c r="A226" s="342"/>
      <c r="B226" s="90" t="s">
        <v>596</v>
      </c>
      <c r="C226" s="240" t="s">
        <v>135</v>
      </c>
      <c r="D226" s="250"/>
      <c r="E226" s="251"/>
      <c r="F226" s="132">
        <f>TrialBalanceA!I226</f>
        <v>0</v>
      </c>
      <c r="G226" s="132">
        <f>TrialBalanceB!I226</f>
        <v>0</v>
      </c>
      <c r="H226" s="132">
        <f>TrialBalanceC!I226</f>
        <v>0</v>
      </c>
      <c r="I226" s="79"/>
      <c r="J226" s="198">
        <f>SUMIF(Journals!D$14:D$920,TrialBalance!P226,Journals!J$14:J$920)+SUMIF(Journals!E$14:E$920,TrialBalance!P226,Journals!J$14:J$920)</f>
        <v>0</v>
      </c>
      <c r="K226" s="253"/>
      <c r="L226" s="255">
        <f t="shared" si="43"/>
        <v>0</v>
      </c>
      <c r="M226" s="75"/>
      <c r="N226" s="48">
        <f t="shared" si="44"/>
        <v>0</v>
      </c>
      <c r="P226" s="140" t="str">
        <f t="shared" si="41"/>
        <v>5700/040Deferred tax on tax loss for year</v>
      </c>
      <c r="Q226" s="70"/>
      <c r="R226" s="31"/>
      <c r="S226" s="71"/>
      <c r="T226" s="51"/>
      <c r="U226" s="31"/>
    </row>
    <row r="227" spans="1:21" x14ac:dyDescent="0.2">
      <c r="A227" s="342"/>
      <c r="B227" s="90" t="s">
        <v>597</v>
      </c>
      <c r="C227" s="242" t="s">
        <v>576</v>
      </c>
      <c r="D227" s="250"/>
      <c r="E227" s="251"/>
      <c r="F227" s="132">
        <f>TrialBalanceA!I227</f>
        <v>0</v>
      </c>
      <c r="G227" s="132">
        <f>TrialBalanceB!I227</f>
        <v>0</v>
      </c>
      <c r="H227" s="132">
        <f>TrialBalanceC!I227</f>
        <v>0</v>
      </c>
      <c r="I227" s="79"/>
      <c r="J227" s="198">
        <f>SUMIF(Journals!D$14:D$920,TrialBalance!P227,Journals!J$14:J$920)+SUMIF(Journals!E$14:E$920,TrialBalance!P227,Journals!J$14:J$920)</f>
        <v>0</v>
      </c>
      <c r="K227" s="253"/>
      <c r="L227" s="255">
        <f t="shared" si="43"/>
        <v>0</v>
      </c>
      <c r="M227" s="75"/>
      <c r="N227" s="48">
        <f t="shared" si="44"/>
        <v>0</v>
      </c>
      <c r="P227" s="140" t="str">
        <f t="shared" si="41"/>
        <v>5700/050Def tax adj  depreciation previous year</v>
      </c>
      <c r="Q227" s="70"/>
      <c r="R227" s="31"/>
      <c r="S227" s="71"/>
      <c r="T227" s="51"/>
      <c r="U227" s="31"/>
    </row>
    <row r="228" spans="1:21" x14ac:dyDescent="0.2">
      <c r="A228" s="342"/>
      <c r="B228" s="90" t="s">
        <v>598</v>
      </c>
      <c r="C228" s="242" t="s">
        <v>577</v>
      </c>
      <c r="D228" s="250"/>
      <c r="E228" s="251"/>
      <c r="F228" s="132">
        <f>TrialBalanceA!I228</f>
        <v>0</v>
      </c>
      <c r="G228" s="132">
        <f>TrialBalanceB!I228</f>
        <v>0</v>
      </c>
      <c r="H228" s="132">
        <f>TrialBalanceC!I228</f>
        <v>0</v>
      </c>
      <c r="I228" s="79"/>
      <c r="J228" s="198">
        <f>SUMIF(Journals!D$14:D$920,TrialBalance!P228,Journals!J$14:J$920)+SUMIF(Journals!E$14:E$920,TrialBalance!P228,Journals!J$14:J$920)</f>
        <v>0</v>
      </c>
      <c r="K228" s="253"/>
      <c r="L228" s="255">
        <f t="shared" si="43"/>
        <v>0</v>
      </c>
      <c r="M228" s="75"/>
      <c r="N228" s="48">
        <f t="shared" si="44"/>
        <v>0</v>
      </c>
      <c r="P228" s="140" t="str">
        <f t="shared" si="41"/>
        <v>5700/060Def tax adj tax loss previous year</v>
      </c>
      <c r="Q228" s="70"/>
      <c r="R228" s="31"/>
      <c r="S228" s="71"/>
      <c r="T228" s="51"/>
      <c r="U228" s="31"/>
    </row>
    <row r="229" spans="1:21" x14ac:dyDescent="0.2">
      <c r="A229" s="341"/>
      <c r="B229" s="54" t="s">
        <v>136</v>
      </c>
      <c r="C229" s="239" t="s">
        <v>980</v>
      </c>
      <c r="D229" s="250"/>
      <c r="E229" s="251"/>
      <c r="F229" s="132"/>
      <c r="G229" s="132"/>
      <c r="H229" s="132"/>
      <c r="I229" s="79"/>
      <c r="J229" s="198">
        <f>SUMIF(Journals!D$14:D$920,TrialBalance!P229,Journals!J$14:J$920)+SUMIF(Journals!E$14:E$920,TrialBalance!P229,Journals!J$14:J$920)</f>
        <v>0</v>
      </c>
      <c r="K229" s="254" t="s">
        <v>547</v>
      </c>
      <c r="L229" s="255">
        <f t="shared" si="43"/>
        <v>0</v>
      </c>
      <c r="M229" s="75"/>
      <c r="N229" s="48">
        <f t="shared" si="44"/>
        <v>0</v>
      </c>
      <c r="P229" s="140" t="str">
        <f t="shared" si="41"/>
        <v>6100/000PROPERTY - COST</v>
      </c>
      <c r="Q229" s="70"/>
      <c r="R229" s="31"/>
      <c r="S229" s="71"/>
      <c r="T229" s="51"/>
      <c r="U229" s="31"/>
    </row>
    <row r="230" spans="1:21" x14ac:dyDescent="0.2">
      <c r="A230" s="341"/>
      <c r="B230" s="54" t="s">
        <v>137</v>
      </c>
      <c r="C230" s="242" t="s">
        <v>975</v>
      </c>
      <c r="D230" s="250"/>
      <c r="E230" s="251"/>
      <c r="F230" s="132"/>
      <c r="G230" s="132"/>
      <c r="H230" s="132"/>
      <c r="I230" s="79">
        <f>SUM(N230:N234)</f>
        <v>0</v>
      </c>
      <c r="J230" s="198">
        <f>SUMIF(Journals!D$14:D$920,TrialBalance!P230,Journals!J$14:J$920)+SUMIF(Journals!E$14:E$920,TrialBalance!P230,Journals!J$14:J$920)</f>
        <v>0</v>
      </c>
      <c r="K230" s="253"/>
      <c r="L230" s="255">
        <f t="shared" si="43"/>
        <v>0</v>
      </c>
      <c r="M230" s="75"/>
      <c r="N230" s="48">
        <f t="shared" si="44"/>
        <v>0</v>
      </c>
      <c r="P230" s="140" t="str">
        <f t="shared" si="41"/>
        <v>6100/001Property - cost b/fwd</v>
      </c>
      <c r="Q230" s="70"/>
      <c r="R230" s="31"/>
      <c r="S230" s="71"/>
      <c r="T230" s="51"/>
      <c r="U230" s="31"/>
    </row>
    <row r="231" spans="1:21" x14ac:dyDescent="0.2">
      <c r="A231" s="341"/>
      <c r="B231" s="54" t="s">
        <v>138</v>
      </c>
      <c r="C231" s="242" t="s">
        <v>976</v>
      </c>
      <c r="D231" s="250"/>
      <c r="E231" s="250"/>
      <c r="F231" s="132">
        <f>TrialBalanceA!I231</f>
        <v>0</v>
      </c>
      <c r="G231" s="132">
        <f>TrialBalanceB!I231</f>
        <v>0</v>
      </c>
      <c r="H231" s="132">
        <f>TrialBalanceC!I231</f>
        <v>0</v>
      </c>
      <c r="I231" s="79"/>
      <c r="J231" s="198">
        <f>SUMIF(Journals!D$14:D$920,TrialBalance!P231,Journals!J$14:J$920)+SUMIF(Journals!E$14:E$920,TrialBalance!P231,Journals!J$14:J$920)</f>
        <v>0</v>
      </c>
      <c r="K231" s="253"/>
      <c r="L231" s="255">
        <f t="shared" si="43"/>
        <v>0</v>
      </c>
      <c r="M231" s="75"/>
      <c r="N231" s="48">
        <f t="shared" si="44"/>
        <v>0</v>
      </c>
      <c r="P231" s="140" t="str">
        <f t="shared" si="41"/>
        <v>6100/002Property - additions</v>
      </c>
      <c r="Q231" s="70"/>
      <c r="R231" s="31"/>
      <c r="S231" s="71"/>
      <c r="T231" s="51"/>
      <c r="U231" s="31"/>
    </row>
    <row r="232" spans="1:21" x14ac:dyDescent="0.2">
      <c r="A232" s="341"/>
      <c r="B232" s="54" t="s">
        <v>139</v>
      </c>
      <c r="C232" s="242" t="s">
        <v>977</v>
      </c>
      <c r="D232" s="250"/>
      <c r="E232" s="251"/>
      <c r="F232" s="132">
        <f>TrialBalanceA!I232</f>
        <v>0</v>
      </c>
      <c r="G232" s="132">
        <f>TrialBalanceB!I232</f>
        <v>0</v>
      </c>
      <c r="H232" s="132">
        <f>TrialBalanceC!I232</f>
        <v>0</v>
      </c>
      <c r="I232" s="79"/>
      <c r="J232" s="198">
        <f>SUMIF(Journals!D$14:D$920,TrialBalance!P232,Journals!J$14:J$920)+SUMIF(Journals!E$14:E$920,TrialBalance!P232,Journals!J$14:J$920)</f>
        <v>0</v>
      </c>
      <c r="K232" s="253"/>
      <c r="L232" s="255">
        <f t="shared" si="43"/>
        <v>0</v>
      </c>
      <c r="M232" s="75"/>
      <c r="N232" s="48">
        <f t="shared" si="44"/>
        <v>0</v>
      </c>
      <c r="P232" s="140" t="str">
        <f t="shared" si="41"/>
        <v>6100/003Property - cost of sales</v>
      </c>
      <c r="Q232" s="70"/>
      <c r="R232" s="31"/>
      <c r="S232" s="71"/>
      <c r="T232" s="51"/>
      <c r="U232" s="31"/>
    </row>
    <row r="233" spans="1:21" x14ac:dyDescent="0.2">
      <c r="A233" s="341"/>
      <c r="B233" s="90" t="s">
        <v>871</v>
      </c>
      <c r="C233" s="242" t="s">
        <v>978</v>
      </c>
      <c r="D233" s="250"/>
      <c r="E233" s="251"/>
      <c r="F233" s="132">
        <f>TrialBalanceA!I233</f>
        <v>0</v>
      </c>
      <c r="G233" s="132">
        <f>TrialBalanceB!I233</f>
        <v>0</v>
      </c>
      <c r="H233" s="132">
        <f>TrialBalanceC!I233</f>
        <v>0</v>
      </c>
      <c r="I233" s="79"/>
      <c r="J233" s="198">
        <f>SUMIF(Journals!D$14:D$920,TrialBalance!P233,Journals!J$14:J$920)+SUMIF(Journals!E$14:E$920,TrialBalance!P233,Journals!J$14:J$920)</f>
        <v>0</v>
      </c>
      <c r="K233" s="253"/>
      <c r="L233" s="255">
        <f t="shared" ref="L233" si="49">ROUND(D233-E233+F233+G233+H233+J233+I233,0)</f>
        <v>0</v>
      </c>
      <c r="M233" s="75"/>
      <c r="N233" s="48">
        <f t="shared" ref="N233" si="50">ROUND(SUM(A233),0)</f>
        <v>0</v>
      </c>
      <c r="P233" s="140" t="str">
        <f t="shared" ref="P233" si="51">CONCATENATE(B233,C233)</f>
        <v>6100/004Property - transfer to investment property</v>
      </c>
      <c r="Q233" s="70"/>
      <c r="R233" s="31"/>
      <c r="S233" s="71"/>
      <c r="T233" s="51"/>
      <c r="U233" s="31"/>
    </row>
    <row r="234" spans="1:21" x14ac:dyDescent="0.2">
      <c r="A234" s="341"/>
      <c r="B234" s="90" t="s">
        <v>939</v>
      </c>
      <c r="C234" s="242" t="s">
        <v>979</v>
      </c>
      <c r="D234" s="250"/>
      <c r="E234" s="251"/>
      <c r="F234" s="132">
        <f>TrialBalanceA!I234</f>
        <v>0</v>
      </c>
      <c r="G234" s="132">
        <f>TrialBalanceB!I234</f>
        <v>0</v>
      </c>
      <c r="H234" s="132">
        <f>TrialBalanceC!I234</f>
        <v>0</v>
      </c>
      <c r="I234" s="79"/>
      <c r="J234" s="198">
        <f>SUMIF(Journals!D$14:D$920,TrialBalance!P234,Journals!J$14:J$920)+SUMIF(Journals!E$14:E$920,TrialBalance!P234,Journals!J$14:J$920)</f>
        <v>0</v>
      </c>
      <c r="K234" s="253"/>
      <c r="L234" s="255">
        <f t="shared" ref="L234" si="52">ROUND(D234-E234+F234+G234+H234+J234+I234,0)</f>
        <v>0</v>
      </c>
      <c r="M234" s="75"/>
      <c r="N234" s="48">
        <f t="shared" ref="N234" si="53">ROUND(SUM(A234),0)</f>
        <v>0</v>
      </c>
      <c r="P234" s="140" t="str">
        <f t="shared" ref="P234" si="54">CONCATENATE(B234,C234)</f>
        <v>6100/005Property - transfer from investment property</v>
      </c>
      <c r="Q234" s="70"/>
      <c r="R234" s="31"/>
      <c r="S234" s="71"/>
      <c r="T234" s="51"/>
      <c r="U234" s="31"/>
    </row>
    <row r="235" spans="1:21" x14ac:dyDescent="0.2">
      <c r="A235" s="341"/>
      <c r="B235" s="54" t="s">
        <v>259</v>
      </c>
      <c r="C235" s="239" t="s">
        <v>981</v>
      </c>
      <c r="D235" s="250"/>
      <c r="E235" s="251"/>
      <c r="F235" s="132"/>
      <c r="G235" s="132"/>
      <c r="H235" s="132"/>
      <c r="I235" s="79"/>
      <c r="J235" s="198">
        <f>SUMIF(Journals!D$14:D$920,TrialBalance!P235,Journals!J$14:J$920)+SUMIF(Journals!E$14:E$920,TrialBalance!P235,Journals!J$14:J$920)</f>
        <v>0</v>
      </c>
      <c r="K235" s="253"/>
      <c r="L235" s="255">
        <f t="shared" si="43"/>
        <v>0</v>
      </c>
      <c r="M235" s="75"/>
      <c r="N235" s="48">
        <f t="shared" si="44"/>
        <v>0</v>
      </c>
      <c r="P235" s="140" t="str">
        <f t="shared" si="41"/>
        <v>6100/020PROPERTY - ACC DEPR</v>
      </c>
      <c r="Q235" s="70"/>
      <c r="R235" s="31"/>
      <c r="S235" s="71"/>
      <c r="T235" s="51"/>
      <c r="U235" s="31"/>
    </row>
    <row r="236" spans="1:21" x14ac:dyDescent="0.2">
      <c r="A236" s="341"/>
      <c r="B236" s="54" t="s">
        <v>260</v>
      </c>
      <c r="C236" s="242" t="s">
        <v>982</v>
      </c>
      <c r="D236" s="250"/>
      <c r="E236" s="251"/>
      <c r="F236" s="132"/>
      <c r="G236" s="132"/>
      <c r="H236" s="132"/>
      <c r="I236" s="79">
        <f>SUM(N236:N239)</f>
        <v>0</v>
      </c>
      <c r="J236" s="198">
        <f>SUMIF(Journals!D$14:D$920,TrialBalance!P236,Journals!J$14:J$920)+SUMIF(Journals!E$14:E$920,TrialBalance!P236,Journals!J$14:J$920)</f>
        <v>0</v>
      </c>
      <c r="K236" s="253"/>
      <c r="L236" s="255">
        <f t="shared" si="43"/>
        <v>0</v>
      </c>
      <c r="M236" s="75"/>
      <c r="N236" s="48">
        <f t="shared" si="44"/>
        <v>0</v>
      </c>
      <c r="P236" s="140" t="str">
        <f t="shared" si="41"/>
        <v>6100/021Property - acc depr b/fwd</v>
      </c>
      <c r="Q236" s="70"/>
      <c r="R236" s="31"/>
      <c r="S236" s="71"/>
      <c r="T236" s="51"/>
      <c r="U236" s="31"/>
    </row>
    <row r="237" spans="1:21" x14ac:dyDescent="0.2">
      <c r="A237" s="341"/>
      <c r="B237" s="54" t="s">
        <v>261</v>
      </c>
      <c r="C237" s="242" t="s">
        <v>983</v>
      </c>
      <c r="D237" s="250"/>
      <c r="E237" s="251"/>
      <c r="F237" s="132">
        <f>TrialBalanceA!I237</f>
        <v>0</v>
      </c>
      <c r="G237" s="132">
        <f>TrialBalanceB!I237</f>
        <v>0</v>
      </c>
      <c r="H237" s="132">
        <f>TrialBalanceC!I237</f>
        <v>0</v>
      </c>
      <c r="I237" s="79"/>
      <c r="J237" s="198">
        <f>SUMIF(Journals!D$14:D$920,TrialBalance!P237,Journals!J$14:J$920)+SUMIF(Journals!E$14:E$920,TrialBalance!P237,Journals!J$14:J$920)</f>
        <v>0</v>
      </c>
      <c r="K237" s="253"/>
      <c r="L237" s="255">
        <f t="shared" si="43"/>
        <v>0</v>
      </c>
      <c r="M237" s="75"/>
      <c r="N237" s="48">
        <f t="shared" si="44"/>
        <v>0</v>
      </c>
      <c r="P237" s="140" t="str">
        <f t="shared" ref="P237:P276" si="55">CONCATENATE(B237,C237)</f>
        <v>6100/022Property - depr this year</v>
      </c>
      <c r="Q237" s="70"/>
      <c r="R237" s="31"/>
      <c r="S237" s="71"/>
      <c r="T237" s="51"/>
      <c r="U237" s="31"/>
    </row>
    <row r="238" spans="1:21" x14ac:dyDescent="0.2">
      <c r="A238" s="341"/>
      <c r="B238" s="54" t="s">
        <v>263</v>
      </c>
      <c r="C238" s="242" t="s">
        <v>984</v>
      </c>
      <c r="D238" s="250"/>
      <c r="E238" s="251"/>
      <c r="F238" s="132">
        <f>TrialBalanceA!I238</f>
        <v>0</v>
      </c>
      <c r="G238" s="132">
        <f>TrialBalanceB!I238</f>
        <v>0</v>
      </c>
      <c r="H238" s="132">
        <f>TrialBalanceC!I238</f>
        <v>0</v>
      </c>
      <c r="I238" s="79"/>
      <c r="J238" s="198">
        <f>SUMIF(Journals!D$14:D$920,TrialBalance!P238,Journals!J$14:J$920)+SUMIF(Journals!E$14:E$920,TrialBalance!P238,Journals!J$14:J$920)</f>
        <v>0</v>
      </c>
      <c r="K238" s="253"/>
      <c r="L238" s="255">
        <f t="shared" si="43"/>
        <v>0</v>
      </c>
      <c r="M238" s="75"/>
      <c r="N238" s="48">
        <f t="shared" si="44"/>
        <v>0</v>
      </c>
      <c r="P238" s="140" t="str">
        <f t="shared" si="55"/>
        <v>6100/023Property - acc depr on sales</v>
      </c>
      <c r="Q238" s="70"/>
      <c r="R238" s="31"/>
      <c r="S238" s="71"/>
      <c r="T238" s="51"/>
      <c r="U238" s="31"/>
    </row>
    <row r="239" spans="1:21" x14ac:dyDescent="0.2">
      <c r="A239" s="341"/>
      <c r="B239" s="90" t="s">
        <v>931</v>
      </c>
      <c r="C239" s="242" t="s">
        <v>985</v>
      </c>
      <c r="D239" s="250"/>
      <c r="E239" s="251"/>
      <c r="F239" s="132">
        <f>TrialBalanceA!I239</f>
        <v>0</v>
      </c>
      <c r="G239" s="132">
        <f>TrialBalanceB!I239</f>
        <v>0</v>
      </c>
      <c r="H239" s="132">
        <f>TrialBalanceC!I239</f>
        <v>0</v>
      </c>
      <c r="I239" s="79"/>
      <c r="J239" s="198">
        <f>SUMIF(Journals!D$14:D$920,TrialBalance!P239,Journals!J$14:J$920)+SUMIF(Journals!E$14:E$920,TrialBalance!P239,Journals!J$14:J$920)</f>
        <v>0</v>
      </c>
      <c r="K239" s="253"/>
      <c r="L239" s="255">
        <f t="shared" ref="L239" si="56">ROUND(D239-E239+F239+G239+H239+J239+I239,0)</f>
        <v>0</v>
      </c>
      <c r="M239" s="75"/>
      <c r="N239" s="48">
        <f t="shared" ref="N239" si="57">ROUND(SUM(A239),0)</f>
        <v>0</v>
      </c>
      <c r="P239" s="140" t="str">
        <f t="shared" ref="P239" si="58">CONCATENATE(B239,C239)</f>
        <v>6100/024Property - recoupment of depr</v>
      </c>
      <c r="Q239" s="70"/>
      <c r="R239" s="31"/>
      <c r="S239" s="71"/>
      <c r="T239" s="51"/>
      <c r="U239" s="31"/>
    </row>
    <row r="240" spans="1:21" x14ac:dyDescent="0.2">
      <c r="A240" s="341"/>
      <c r="B240" s="90" t="s">
        <v>652</v>
      </c>
      <c r="C240" s="239" t="s">
        <v>866</v>
      </c>
      <c r="D240" s="250"/>
      <c r="E240" s="251"/>
      <c r="F240" s="132"/>
      <c r="G240" s="132"/>
      <c r="H240" s="132"/>
      <c r="I240" s="79"/>
      <c r="J240" s="198">
        <f>SUMIF(Journals!D$14:D$920,TrialBalance!P240,Journals!J$14:J$920)+SUMIF(Journals!E$14:E$920,TrialBalance!P240,Journals!J$14:J$920)</f>
        <v>0</v>
      </c>
      <c r="K240" s="253"/>
      <c r="L240" s="255">
        <f t="shared" ref="L240:L244" si="59">ROUND(D240-E240+F240+G240+H240+J240+I240,0)</f>
        <v>0</v>
      </c>
      <c r="M240" s="75"/>
      <c r="N240" s="48">
        <f t="shared" ref="N240:N244" si="60">ROUND(SUM(A240),0)</f>
        <v>0</v>
      </c>
      <c r="P240" s="140" t="str">
        <f t="shared" ref="P240:P244" si="61">CONCATENATE(B240,C240)</f>
        <v>6100/030INVESTMENT PROPERTY - COST</v>
      </c>
      <c r="Q240" s="70"/>
      <c r="R240" s="31"/>
      <c r="S240" s="71"/>
      <c r="T240" s="51"/>
      <c r="U240" s="31"/>
    </row>
    <row r="241" spans="1:21" x14ac:dyDescent="0.2">
      <c r="A241" s="341"/>
      <c r="B241" s="90" t="s">
        <v>653</v>
      </c>
      <c r="C241" s="242" t="s">
        <v>867</v>
      </c>
      <c r="D241" s="250"/>
      <c r="E241" s="251"/>
      <c r="F241" s="132"/>
      <c r="G241" s="132"/>
      <c r="H241" s="132"/>
      <c r="I241" s="79">
        <f>SUM(N241:N245)</f>
        <v>0</v>
      </c>
      <c r="J241" s="198">
        <f>SUMIF(Journals!D$14:D$920,TrialBalance!P241,Journals!J$14:J$920)+SUMIF(Journals!E$14:E$920,TrialBalance!P241,Journals!J$14:J$920)</f>
        <v>0</v>
      </c>
      <c r="K241" s="253"/>
      <c r="L241" s="255">
        <f t="shared" si="59"/>
        <v>0</v>
      </c>
      <c r="M241" s="75"/>
      <c r="N241" s="48">
        <f t="shared" si="60"/>
        <v>0</v>
      </c>
      <c r="P241" s="140" t="str">
        <f t="shared" si="61"/>
        <v>6100/031Investment property - cost b/fwd</v>
      </c>
      <c r="Q241" s="70"/>
      <c r="R241" s="31"/>
      <c r="S241" s="71"/>
      <c r="T241" s="51"/>
      <c r="U241" s="31"/>
    </row>
    <row r="242" spans="1:21" x14ac:dyDescent="0.2">
      <c r="A242" s="341"/>
      <c r="B242" s="90" t="s">
        <v>654</v>
      </c>
      <c r="C242" s="242" t="s">
        <v>868</v>
      </c>
      <c r="D242" s="250"/>
      <c r="E242" s="251"/>
      <c r="F242" s="132">
        <f>TrialBalanceA!I242</f>
        <v>0</v>
      </c>
      <c r="G242" s="132">
        <f>TrialBalanceB!I242</f>
        <v>0</v>
      </c>
      <c r="H242" s="132">
        <f>TrialBalanceC!I242</f>
        <v>0</v>
      </c>
      <c r="I242" s="79"/>
      <c r="J242" s="198">
        <f>SUMIF(Journals!D$14:D$920,TrialBalance!P242,Journals!J$14:J$920)+SUMIF(Journals!E$14:E$920,TrialBalance!P242,Journals!J$14:J$920)</f>
        <v>0</v>
      </c>
      <c r="K242" s="253"/>
      <c r="L242" s="255">
        <f t="shared" si="59"/>
        <v>0</v>
      </c>
      <c r="M242" s="75"/>
      <c r="N242" s="48">
        <f t="shared" si="60"/>
        <v>0</v>
      </c>
      <c r="P242" s="140" t="str">
        <f t="shared" si="61"/>
        <v>6100/032Investment property - additions</v>
      </c>
      <c r="Q242" s="70"/>
      <c r="R242" s="31"/>
      <c r="S242" s="71"/>
      <c r="T242" s="51"/>
      <c r="U242" s="31"/>
    </row>
    <row r="243" spans="1:21" x14ac:dyDescent="0.2">
      <c r="A243" s="341"/>
      <c r="B243" s="90" t="s">
        <v>655</v>
      </c>
      <c r="C243" s="242" t="s">
        <v>869</v>
      </c>
      <c r="D243" s="250"/>
      <c r="E243" s="251"/>
      <c r="F243" s="132">
        <f>TrialBalanceA!I243</f>
        <v>0</v>
      </c>
      <c r="G243" s="132">
        <f>TrialBalanceB!I243</f>
        <v>0</v>
      </c>
      <c r="H243" s="132">
        <f>TrialBalanceC!I243</f>
        <v>0</v>
      </c>
      <c r="I243" s="79"/>
      <c r="J243" s="198">
        <f>SUMIF(Journals!D$14:D$920,TrialBalance!P243,Journals!J$14:J$920)+SUMIF(Journals!E$14:E$920,TrialBalance!P243,Journals!J$14:J$920)</f>
        <v>0</v>
      </c>
      <c r="K243" s="253"/>
      <c r="L243" s="255">
        <f t="shared" si="59"/>
        <v>0</v>
      </c>
      <c r="M243" s="75"/>
      <c r="N243" s="48">
        <f t="shared" si="60"/>
        <v>0</v>
      </c>
      <c r="P243" s="140" t="str">
        <f t="shared" si="61"/>
        <v>6100/033Investment property - cost of sales</v>
      </c>
      <c r="Q243" s="70"/>
      <c r="R243" s="31"/>
      <c r="S243" s="71"/>
      <c r="T243" s="51"/>
      <c r="U243" s="31"/>
    </row>
    <row r="244" spans="1:21" x14ac:dyDescent="0.2">
      <c r="A244" s="341"/>
      <c r="B244" s="90" t="s">
        <v>923</v>
      </c>
      <c r="C244" s="242" t="s">
        <v>870</v>
      </c>
      <c r="D244" s="250"/>
      <c r="E244" s="251"/>
      <c r="F244" s="132">
        <f>TrialBalanceA!I244</f>
        <v>0</v>
      </c>
      <c r="G244" s="132">
        <f>TrialBalanceB!I244</f>
        <v>0</v>
      </c>
      <c r="H244" s="132">
        <f>TrialBalanceC!I244</f>
        <v>0</v>
      </c>
      <c r="I244" s="79"/>
      <c r="J244" s="198">
        <f>SUMIF(Journals!D$14:D$920,TrialBalance!P244,Journals!J$14:J$920)+SUMIF(Journals!E$14:E$920,TrialBalance!P244,Journals!J$14:J$920)</f>
        <v>0</v>
      </c>
      <c r="K244" s="253"/>
      <c r="L244" s="255">
        <f t="shared" si="59"/>
        <v>0</v>
      </c>
      <c r="M244" s="75"/>
      <c r="N244" s="48">
        <f t="shared" si="60"/>
        <v>0</v>
      </c>
      <c r="P244" s="140" t="str">
        <f t="shared" si="61"/>
        <v>6100/034Investment property - transfer from property</v>
      </c>
      <c r="Q244" s="70"/>
      <c r="R244" s="31"/>
      <c r="S244" s="71"/>
      <c r="T244" s="51"/>
      <c r="U244" s="31"/>
    </row>
    <row r="245" spans="1:21" x14ac:dyDescent="0.2">
      <c r="A245" s="341"/>
      <c r="B245" s="90" t="s">
        <v>940</v>
      </c>
      <c r="C245" s="242" t="s">
        <v>941</v>
      </c>
      <c r="D245" s="250"/>
      <c r="E245" s="251"/>
      <c r="F245" s="132">
        <f>TrialBalanceA!I245</f>
        <v>0</v>
      </c>
      <c r="G245" s="132">
        <f>TrialBalanceB!I245</f>
        <v>0</v>
      </c>
      <c r="H245" s="132">
        <f>TrialBalanceC!I245</f>
        <v>0</v>
      </c>
      <c r="I245" s="79"/>
      <c r="J245" s="198">
        <f>SUMIF(Journals!D$14:D$920,TrialBalance!P245,Journals!J$14:J$920)+SUMIF(Journals!E$14:E$920,TrialBalance!P245,Journals!J$14:J$920)</f>
        <v>0</v>
      </c>
      <c r="K245" s="253"/>
      <c r="L245" s="255">
        <f t="shared" ref="L245" si="62">ROUND(D245-E245+F245+G245+H245+J245+I245,0)</f>
        <v>0</v>
      </c>
      <c r="M245" s="75"/>
      <c r="N245" s="48">
        <f t="shared" ref="N245" si="63">ROUND(SUM(A245),0)</f>
        <v>0</v>
      </c>
      <c r="P245" s="140" t="str">
        <f t="shared" ref="P245" si="64">CONCATENATE(B245,C245)</f>
        <v>6100/035Investment property - transfer to property</v>
      </c>
      <c r="Q245" s="70"/>
      <c r="R245" s="31"/>
      <c r="S245" s="71"/>
      <c r="T245" s="51"/>
      <c r="U245" s="31"/>
    </row>
    <row r="246" spans="1:21" x14ac:dyDescent="0.2">
      <c r="A246" s="341"/>
      <c r="B246" s="90" t="s">
        <v>924</v>
      </c>
      <c r="C246" s="239" t="s">
        <v>928</v>
      </c>
      <c r="D246" s="250"/>
      <c r="E246" s="251"/>
      <c r="F246" s="132"/>
      <c r="G246" s="132"/>
      <c r="H246" s="132"/>
      <c r="I246" s="79"/>
      <c r="J246" s="198">
        <f>SUMIF(Journals!D$14:D$920,TrialBalance!P246,Journals!J$14:J$920)+SUMIF(Journals!E$14:E$920,TrialBalance!P246,Journals!J$14:J$920)</f>
        <v>0</v>
      </c>
      <c r="K246" s="254"/>
      <c r="L246" s="255">
        <f t="shared" ref="L246:L250" si="65">ROUND(D246-E246+F246+G246+H246+J246+I246,0)</f>
        <v>0</v>
      </c>
      <c r="M246" s="75"/>
      <c r="N246" s="48">
        <f t="shared" si="44"/>
        <v>0</v>
      </c>
      <c r="P246" s="140" t="str">
        <f t="shared" si="55"/>
        <v>6100/040INVESTMENT PROPERTY - VALUATION</v>
      </c>
      <c r="Q246" s="70"/>
      <c r="R246" s="31"/>
      <c r="S246" s="71"/>
      <c r="T246" s="51"/>
      <c r="U246" s="31"/>
    </row>
    <row r="247" spans="1:21" x14ac:dyDescent="0.2">
      <c r="A247" s="341"/>
      <c r="B247" s="90" t="s">
        <v>925</v>
      </c>
      <c r="C247" s="242" t="s">
        <v>929</v>
      </c>
      <c r="D247" s="250"/>
      <c r="E247" s="251"/>
      <c r="F247" s="132"/>
      <c r="G247" s="132"/>
      <c r="H247" s="132"/>
      <c r="I247" s="79">
        <f>SUM(N247:N250)</f>
        <v>0</v>
      </c>
      <c r="J247" s="198">
        <f>SUMIF(Journals!D$14:D$920,TrialBalance!P247,Journals!J$14:J$920)+SUMIF(Journals!E$14:E$920,TrialBalance!P247,Journals!J$14:J$920)</f>
        <v>0</v>
      </c>
      <c r="K247" s="253"/>
      <c r="L247" s="255">
        <f t="shared" si="65"/>
        <v>0</v>
      </c>
      <c r="M247" s="75"/>
      <c r="N247" s="48">
        <f t="shared" si="44"/>
        <v>0</v>
      </c>
      <c r="P247" s="140" t="str">
        <f t="shared" si="55"/>
        <v>6100/041Investment property - valuation b/fwd</v>
      </c>
      <c r="Q247" s="70"/>
      <c r="R247" s="31"/>
      <c r="S247" s="71"/>
      <c r="T247" s="51"/>
      <c r="U247" s="31"/>
    </row>
    <row r="248" spans="1:21" x14ac:dyDescent="0.2">
      <c r="A248" s="341"/>
      <c r="B248" s="90" t="s">
        <v>926</v>
      </c>
      <c r="C248" s="242" t="s">
        <v>930</v>
      </c>
      <c r="D248" s="250"/>
      <c r="E248" s="251"/>
      <c r="F248" s="132">
        <f>TrialBalanceA!I248</f>
        <v>0</v>
      </c>
      <c r="G248" s="132">
        <f>TrialBalanceB!I248</f>
        <v>0</v>
      </c>
      <c r="H248" s="132">
        <f>TrialBalanceC!I248</f>
        <v>0</v>
      </c>
      <c r="I248" s="79"/>
      <c r="J248" s="198">
        <f>SUMIF(Journals!D$14:D$920,TrialBalance!P248,Journals!J$14:J$920)+SUMIF(Journals!E$14:E$920,TrialBalance!P248,Journals!J$14:J$920)</f>
        <v>0</v>
      </c>
      <c r="K248" s="253"/>
      <c r="L248" s="255">
        <f t="shared" si="65"/>
        <v>0</v>
      </c>
      <c r="M248" s="75"/>
      <c r="N248" s="48">
        <f t="shared" si="44"/>
        <v>0</v>
      </c>
      <c r="P248" s="140" t="str">
        <f t="shared" si="55"/>
        <v>6100/042Investment property - valuation additions</v>
      </c>
      <c r="Q248" s="70"/>
      <c r="R248" s="31"/>
      <c r="S248" s="71"/>
      <c r="T248" s="51"/>
      <c r="U248" s="31"/>
    </row>
    <row r="249" spans="1:21" x14ac:dyDescent="0.2">
      <c r="A249" s="341"/>
      <c r="B249" s="90" t="s">
        <v>927</v>
      </c>
      <c r="C249" s="242" t="s">
        <v>942</v>
      </c>
      <c r="D249" s="250"/>
      <c r="E249" s="251"/>
      <c r="F249" s="132">
        <f>TrialBalanceA!I249</f>
        <v>0</v>
      </c>
      <c r="G249" s="132">
        <f>TrialBalanceB!I249</f>
        <v>0</v>
      </c>
      <c r="H249" s="132">
        <f>TrialBalanceC!I249</f>
        <v>0</v>
      </c>
      <c r="I249" s="79"/>
      <c r="J249" s="198">
        <f>SUMIF(Journals!D$14:D$920,TrialBalance!P249,Journals!J$14:J$920)+SUMIF(Journals!E$14:E$920,TrialBalance!P249,Journals!J$14:J$920)</f>
        <v>0</v>
      </c>
      <c r="K249" s="253"/>
      <c r="L249" s="255">
        <f t="shared" ref="L249" si="66">ROUND(D249-E249+F249+G249+H249+J249+I249,0)</f>
        <v>0</v>
      </c>
      <c r="M249" s="75"/>
      <c r="N249" s="48">
        <f t="shared" ref="N249" si="67">ROUND(SUM(A249),0)</f>
        <v>0</v>
      </c>
      <c r="P249" s="140" t="str">
        <f t="shared" ref="P249" si="68">CONCATENATE(B249,C249)</f>
        <v>6100/043Investment property - valuation reduction on sales</v>
      </c>
      <c r="Q249" s="70"/>
      <c r="R249" s="31"/>
      <c r="S249" s="71"/>
      <c r="T249" s="51"/>
      <c r="U249" s="31"/>
    </row>
    <row r="250" spans="1:21" x14ac:dyDescent="0.2">
      <c r="A250" s="238"/>
      <c r="B250" s="90" t="s">
        <v>943</v>
      </c>
      <c r="C250" s="242" t="s">
        <v>944</v>
      </c>
      <c r="D250" s="250"/>
      <c r="E250" s="251"/>
      <c r="F250" s="132">
        <f>TrialBalanceA!I250</f>
        <v>0</v>
      </c>
      <c r="G250" s="132">
        <f>TrialBalanceB!I250</f>
        <v>0</v>
      </c>
      <c r="H250" s="132">
        <f>TrialBalanceC!I250</f>
        <v>0</v>
      </c>
      <c r="I250" s="79"/>
      <c r="J250" s="198">
        <f>SUMIF(Journals!D$14:D$920,TrialBalance!P250,Journals!J$14:J$920)+SUMIF(Journals!E$14:E$920,TrialBalance!P250,Journals!J$14:J$920)</f>
        <v>0</v>
      </c>
      <c r="K250" s="253"/>
      <c r="L250" s="255">
        <f t="shared" si="65"/>
        <v>0</v>
      </c>
      <c r="M250" s="75"/>
      <c r="N250" s="48">
        <f t="shared" si="44"/>
        <v>0</v>
      </c>
      <c r="P250" s="140" t="str">
        <f t="shared" si="55"/>
        <v>6100/044Investment property - valuation reduction on transfers</v>
      </c>
      <c r="Q250" s="70"/>
      <c r="R250" s="31"/>
      <c r="S250" s="71"/>
      <c r="T250" s="51"/>
      <c r="U250" s="31"/>
    </row>
    <row r="251" spans="1:21" x14ac:dyDescent="0.2">
      <c r="A251" s="238"/>
      <c r="B251" s="54" t="s">
        <v>264</v>
      </c>
      <c r="C251" s="239" t="s">
        <v>727</v>
      </c>
      <c r="D251" s="250"/>
      <c r="E251" s="251"/>
      <c r="F251" s="132"/>
      <c r="G251" s="132"/>
      <c r="H251" s="132"/>
      <c r="I251" s="79"/>
      <c r="J251" s="198">
        <f>SUMIF(Journals!D$14:D$920,TrialBalance!P251,Journals!J$14:J$920)+SUMIF(Journals!E$14:E$920,TrialBalance!P251,Journals!J$14:J$920)</f>
        <v>0</v>
      </c>
      <c r="K251" s="253"/>
      <c r="L251" s="255">
        <f t="shared" si="43"/>
        <v>0</v>
      </c>
      <c r="M251" s="75"/>
      <c r="N251" s="48">
        <f t="shared" si="44"/>
        <v>0</v>
      </c>
      <c r="P251" s="140" t="str">
        <f t="shared" si="55"/>
        <v>6150/000PLANT AND MACHINERY - COST</v>
      </c>
      <c r="Q251" s="70"/>
      <c r="R251" s="31"/>
      <c r="S251" s="71"/>
      <c r="T251" s="51"/>
      <c r="U251" s="31"/>
    </row>
    <row r="252" spans="1:21" x14ac:dyDescent="0.2">
      <c r="A252" s="238"/>
      <c r="B252" s="54" t="s">
        <v>39</v>
      </c>
      <c r="C252" s="242" t="s">
        <v>728</v>
      </c>
      <c r="D252" s="250"/>
      <c r="E252" s="251"/>
      <c r="F252" s="132"/>
      <c r="G252" s="132"/>
      <c r="H252" s="132"/>
      <c r="I252" s="79">
        <f>SUM(N252:N254)</f>
        <v>0</v>
      </c>
      <c r="J252" s="198">
        <f>SUMIF(Journals!D$14:D$920,TrialBalance!P252,Journals!J$14:J$920)+SUMIF(Journals!E$14:E$920,TrialBalance!P252,Journals!J$14:J$920)</f>
        <v>0</v>
      </c>
      <c r="K252" s="253"/>
      <c r="L252" s="255">
        <f t="shared" si="43"/>
        <v>0</v>
      </c>
      <c r="M252" s="75"/>
      <c r="N252" s="48">
        <f t="shared" si="44"/>
        <v>0</v>
      </c>
      <c r="P252" s="140" t="str">
        <f t="shared" si="55"/>
        <v>6150/001Plant and machinery - cost b/fwd</v>
      </c>
      <c r="Q252" s="72"/>
      <c r="R252" s="31"/>
      <c r="S252" s="51"/>
      <c r="T252" s="51"/>
      <c r="U252" s="31"/>
    </row>
    <row r="253" spans="1:21" x14ac:dyDescent="0.2">
      <c r="A253" s="238"/>
      <c r="B253" s="54" t="s">
        <v>40</v>
      </c>
      <c r="C253" s="242" t="s">
        <v>729</v>
      </c>
      <c r="D253" s="250"/>
      <c r="E253" s="251"/>
      <c r="F253" s="132">
        <f>TrialBalanceA!I253</f>
        <v>0</v>
      </c>
      <c r="G253" s="132">
        <f>TrialBalanceB!I253</f>
        <v>0</v>
      </c>
      <c r="H253" s="132">
        <f>TrialBalanceC!I253</f>
        <v>0</v>
      </c>
      <c r="I253" s="79"/>
      <c r="J253" s="198">
        <f>SUMIF(Journals!D$14:D$920,TrialBalance!P253,Journals!J$14:J$920)+SUMIF(Journals!E$14:E$920,TrialBalance!P253,Journals!J$14:J$920)</f>
        <v>0</v>
      </c>
      <c r="K253" s="253"/>
      <c r="L253" s="255">
        <f t="shared" si="43"/>
        <v>0</v>
      </c>
      <c r="M253" s="75"/>
      <c r="N253" s="48">
        <f t="shared" si="44"/>
        <v>0</v>
      </c>
      <c r="P253" s="140" t="str">
        <f t="shared" si="55"/>
        <v>6150/002Plant and machinery - additions</v>
      </c>
      <c r="Q253" s="70"/>
      <c r="R253" s="31"/>
      <c r="S253" s="71"/>
      <c r="T253" s="51"/>
      <c r="U253" s="31"/>
    </row>
    <row r="254" spans="1:21" x14ac:dyDescent="0.2">
      <c r="A254" s="238"/>
      <c r="B254" s="54" t="s">
        <v>41</v>
      </c>
      <c r="C254" s="242" t="s">
        <v>730</v>
      </c>
      <c r="D254" s="250"/>
      <c r="E254" s="251"/>
      <c r="F254" s="132">
        <f>TrialBalanceA!I254</f>
        <v>0</v>
      </c>
      <c r="G254" s="132">
        <f>TrialBalanceB!I254</f>
        <v>0</v>
      </c>
      <c r="H254" s="132">
        <f>TrialBalanceC!I254</f>
        <v>0</v>
      </c>
      <c r="I254" s="79"/>
      <c r="J254" s="198">
        <f>SUMIF(Journals!D$14:D$920,TrialBalance!P254,Journals!J$14:J$920)+SUMIF(Journals!E$14:E$920,TrialBalance!P254,Journals!J$14:J$920)</f>
        <v>0</v>
      </c>
      <c r="K254" s="253"/>
      <c r="L254" s="255">
        <f t="shared" si="43"/>
        <v>0</v>
      </c>
      <c r="M254" s="75"/>
      <c r="N254" s="48">
        <f t="shared" si="44"/>
        <v>0</v>
      </c>
      <c r="P254" s="140" t="str">
        <f t="shared" si="55"/>
        <v>6150/003Plant and machinery - cost of sales</v>
      </c>
      <c r="Q254" s="70"/>
      <c r="R254" s="31"/>
      <c r="S254" s="71"/>
      <c r="T254" s="51"/>
      <c r="U254" s="31"/>
    </row>
    <row r="255" spans="1:21" x14ac:dyDescent="0.2">
      <c r="A255" s="238"/>
      <c r="B255" s="54" t="s">
        <v>16</v>
      </c>
      <c r="C255" s="239" t="s">
        <v>731</v>
      </c>
      <c r="D255" s="250"/>
      <c r="E255" s="251"/>
      <c r="F255" s="132"/>
      <c r="G255" s="132"/>
      <c r="H255" s="132"/>
      <c r="I255" s="79"/>
      <c r="J255" s="198">
        <f>SUMIF(Journals!D$14:D$920,TrialBalance!P255,Journals!J$14:J$920)+SUMIF(Journals!E$14:E$920,TrialBalance!P255,Journals!J$14:J$920)</f>
        <v>0</v>
      </c>
      <c r="K255" s="253"/>
      <c r="L255" s="255">
        <f t="shared" si="43"/>
        <v>0</v>
      </c>
      <c r="M255" s="75"/>
      <c r="N255" s="48">
        <f t="shared" si="44"/>
        <v>0</v>
      </c>
      <c r="P255" s="140" t="str">
        <f t="shared" si="55"/>
        <v>6150/020PLANT AND MACHINERY - ACC DEPR</v>
      </c>
      <c r="Q255" s="70"/>
      <c r="R255" s="31"/>
      <c r="S255" s="71"/>
      <c r="T255" s="51"/>
      <c r="U255" s="31"/>
    </row>
    <row r="256" spans="1:21" x14ac:dyDescent="0.2">
      <c r="A256" s="238"/>
      <c r="B256" s="54" t="s">
        <v>17</v>
      </c>
      <c r="C256" s="242" t="s">
        <v>732</v>
      </c>
      <c r="D256" s="250"/>
      <c r="E256" s="251"/>
      <c r="F256" s="132"/>
      <c r="G256" s="132"/>
      <c r="H256" s="132"/>
      <c r="I256" s="79">
        <f>SUM(N256:N258)</f>
        <v>0</v>
      </c>
      <c r="J256" s="198">
        <f>SUMIF(Journals!D$14:D$920,TrialBalance!P256,Journals!J$14:J$920)+SUMIF(Journals!E$14:E$920,TrialBalance!P256,Journals!J$14:J$920)</f>
        <v>0</v>
      </c>
      <c r="K256" s="253"/>
      <c r="L256" s="255">
        <f t="shared" si="43"/>
        <v>0</v>
      </c>
      <c r="M256" s="75"/>
      <c r="N256" s="48">
        <f t="shared" si="44"/>
        <v>0</v>
      </c>
      <c r="P256" s="140" t="str">
        <f t="shared" si="55"/>
        <v>6150/021Plant and machinery - acc depr b/fwd</v>
      </c>
      <c r="Q256" s="70"/>
      <c r="R256" s="31"/>
      <c r="S256" s="71"/>
      <c r="T256" s="51"/>
      <c r="U256" s="31"/>
    </row>
    <row r="257" spans="1:21" x14ac:dyDescent="0.2">
      <c r="A257" s="238"/>
      <c r="B257" s="54" t="s">
        <v>33</v>
      </c>
      <c r="C257" s="242" t="s">
        <v>733</v>
      </c>
      <c r="D257" s="250"/>
      <c r="E257" s="251"/>
      <c r="F257" s="132">
        <f>TrialBalanceA!I257</f>
        <v>0</v>
      </c>
      <c r="G257" s="132">
        <f>TrialBalanceB!I257</f>
        <v>0</v>
      </c>
      <c r="H257" s="132">
        <f>TrialBalanceC!I257</f>
        <v>0</v>
      </c>
      <c r="I257" s="79"/>
      <c r="J257" s="198">
        <f>SUMIF(Journals!D$14:D$920,TrialBalance!P257,Journals!J$14:J$920)+SUMIF(Journals!E$14:E$920,TrialBalance!P257,Journals!J$14:J$920)</f>
        <v>0</v>
      </c>
      <c r="K257" s="253"/>
      <c r="L257" s="255">
        <f t="shared" si="43"/>
        <v>0</v>
      </c>
      <c r="M257" s="75"/>
      <c r="N257" s="48">
        <f t="shared" si="44"/>
        <v>0</v>
      </c>
      <c r="P257" s="140" t="str">
        <f t="shared" si="55"/>
        <v>6150/022Plant and machinery - depr this year</v>
      </c>
      <c r="Q257" s="70"/>
      <c r="R257" s="31"/>
      <c r="S257" s="71"/>
      <c r="T257" s="51"/>
      <c r="U257" s="31"/>
    </row>
    <row r="258" spans="1:21" x14ac:dyDescent="0.2">
      <c r="A258" s="238"/>
      <c r="B258" s="54" t="s">
        <v>34</v>
      </c>
      <c r="C258" s="242" t="s">
        <v>734</v>
      </c>
      <c r="D258" s="250"/>
      <c r="E258" s="251"/>
      <c r="F258" s="132">
        <f>TrialBalanceA!I258</f>
        <v>0</v>
      </c>
      <c r="G258" s="132">
        <f>TrialBalanceB!I258</f>
        <v>0</v>
      </c>
      <c r="H258" s="132">
        <f>TrialBalanceC!I258</f>
        <v>0</v>
      </c>
      <c r="I258" s="79"/>
      <c r="J258" s="198">
        <f>SUMIF(Journals!D$14:D$920,TrialBalance!P258,Journals!J$14:J$920)+SUMIF(Journals!E$14:E$920,TrialBalance!P258,Journals!J$14:J$920)</f>
        <v>0</v>
      </c>
      <c r="K258" s="253"/>
      <c r="L258" s="255">
        <f t="shared" si="43"/>
        <v>0</v>
      </c>
      <c r="M258" s="75"/>
      <c r="N258" s="48">
        <f t="shared" si="44"/>
        <v>0</v>
      </c>
      <c r="P258" s="140" t="str">
        <f t="shared" si="55"/>
        <v>6150/023Plant and machinery - acc depr on sales</v>
      </c>
      <c r="Q258" s="70"/>
      <c r="R258" s="31"/>
      <c r="S258" s="71"/>
      <c r="T258" s="51"/>
      <c r="U258" s="31"/>
    </row>
    <row r="259" spans="1:21" x14ac:dyDescent="0.2">
      <c r="A259" s="238"/>
      <c r="B259" s="54" t="s">
        <v>35</v>
      </c>
      <c r="C259" s="239" t="s">
        <v>36</v>
      </c>
      <c r="D259" s="250"/>
      <c r="E259" s="251"/>
      <c r="F259" s="132"/>
      <c r="G259" s="132"/>
      <c r="H259" s="132"/>
      <c r="I259" s="79"/>
      <c r="J259" s="198">
        <f>SUMIF(Journals!D$14:D$920,TrialBalance!P259,Journals!J$14:J$920)+SUMIF(Journals!E$14:E$920,TrialBalance!P259,Journals!J$14:J$920)</f>
        <v>0</v>
      </c>
      <c r="K259" s="253"/>
      <c r="L259" s="255">
        <f t="shared" si="43"/>
        <v>0</v>
      </c>
      <c r="M259" s="75"/>
      <c r="N259" s="48">
        <f t="shared" si="44"/>
        <v>0</v>
      </c>
      <c r="P259" s="140" t="str">
        <f t="shared" si="55"/>
        <v>6200/000MOTOR VEHICLES - COST</v>
      </c>
      <c r="Q259" s="70"/>
      <c r="R259" s="31"/>
      <c r="S259" s="71"/>
      <c r="T259" s="51"/>
      <c r="U259" s="31"/>
    </row>
    <row r="260" spans="1:21" x14ac:dyDescent="0.2">
      <c r="A260" s="238"/>
      <c r="B260" s="54" t="s">
        <v>37</v>
      </c>
      <c r="C260" s="242" t="s">
        <v>735</v>
      </c>
      <c r="D260" s="250"/>
      <c r="E260" s="251"/>
      <c r="F260" s="132"/>
      <c r="G260" s="132"/>
      <c r="H260" s="132"/>
      <c r="I260" s="79">
        <f>SUM(N260:N262)</f>
        <v>0</v>
      </c>
      <c r="J260" s="198">
        <f>SUMIF(Journals!D$14:D$920,TrialBalance!P260,Journals!J$14:J$920)+SUMIF(Journals!E$14:E$920,TrialBalance!P260,Journals!J$14:J$920)</f>
        <v>0</v>
      </c>
      <c r="K260" s="253"/>
      <c r="L260" s="255">
        <f t="shared" si="43"/>
        <v>0</v>
      </c>
      <c r="M260" s="75"/>
      <c r="N260" s="48">
        <f t="shared" si="44"/>
        <v>0</v>
      </c>
      <c r="P260" s="140" t="str">
        <f t="shared" si="55"/>
        <v>6200/001Motor vehicles - cost b/fwd</v>
      </c>
      <c r="Q260" s="72"/>
      <c r="R260" s="31"/>
      <c r="S260" s="71"/>
      <c r="T260" s="51"/>
      <c r="U260" s="31"/>
    </row>
    <row r="261" spans="1:21" x14ac:dyDescent="0.2">
      <c r="A261" s="238"/>
      <c r="B261" s="54" t="s">
        <v>38</v>
      </c>
      <c r="C261" s="242" t="s">
        <v>736</v>
      </c>
      <c r="D261" s="250"/>
      <c r="E261" s="251"/>
      <c r="F261" s="132">
        <f>TrialBalanceA!I261</f>
        <v>0</v>
      </c>
      <c r="G261" s="132">
        <f>TrialBalanceB!I261</f>
        <v>0</v>
      </c>
      <c r="H261" s="132">
        <f>TrialBalanceC!I261</f>
        <v>0</v>
      </c>
      <c r="I261" s="79"/>
      <c r="J261" s="198">
        <f>SUMIF(Journals!D$14:D$920,TrialBalance!P261,Journals!J$14:J$920)+SUMIF(Journals!E$14:E$920,TrialBalance!P261,Journals!J$14:J$920)</f>
        <v>0</v>
      </c>
      <c r="K261" s="253"/>
      <c r="L261" s="255">
        <f t="shared" si="43"/>
        <v>0</v>
      </c>
      <c r="M261" s="75"/>
      <c r="N261" s="48">
        <f t="shared" si="44"/>
        <v>0</v>
      </c>
      <c r="P261" s="140" t="str">
        <f t="shared" si="55"/>
        <v>6200/002Motor vehicles - additions</v>
      </c>
      <c r="Q261" s="70"/>
      <c r="R261" s="31"/>
      <c r="S261" s="71"/>
      <c r="T261" s="51"/>
      <c r="U261" s="31"/>
    </row>
    <row r="262" spans="1:21" x14ac:dyDescent="0.2">
      <c r="A262" s="238"/>
      <c r="B262" s="54" t="s">
        <v>453</v>
      </c>
      <c r="C262" s="242" t="s">
        <v>737</v>
      </c>
      <c r="D262" s="250"/>
      <c r="E262" s="251"/>
      <c r="F262" s="132">
        <f>TrialBalanceA!I262</f>
        <v>0</v>
      </c>
      <c r="G262" s="132">
        <f>TrialBalanceB!I262</f>
        <v>0</v>
      </c>
      <c r="H262" s="132">
        <f>TrialBalanceC!I262</f>
        <v>0</v>
      </c>
      <c r="I262" s="79"/>
      <c r="J262" s="198">
        <f>SUMIF(Journals!D$14:D$920,TrialBalance!P262,Journals!J$14:J$920)+SUMIF(Journals!E$14:E$920,TrialBalance!P262,Journals!J$14:J$920)</f>
        <v>0</v>
      </c>
      <c r="K262" s="253"/>
      <c r="L262" s="255">
        <f t="shared" si="43"/>
        <v>0</v>
      </c>
      <c r="M262" s="75"/>
      <c r="N262" s="48">
        <f t="shared" si="44"/>
        <v>0</v>
      </c>
      <c r="P262" s="140" t="str">
        <f t="shared" si="55"/>
        <v>6200/003Motor vehicles - cost of sales</v>
      </c>
      <c r="Q262" s="70"/>
      <c r="R262" s="31"/>
      <c r="S262" s="71"/>
      <c r="T262" s="51"/>
      <c r="U262" s="31"/>
    </row>
    <row r="263" spans="1:21" x14ac:dyDescent="0.2">
      <c r="A263" s="238"/>
      <c r="B263" s="54" t="s">
        <v>0</v>
      </c>
      <c r="C263" s="239" t="s">
        <v>1</v>
      </c>
      <c r="D263" s="250"/>
      <c r="E263" s="251"/>
      <c r="F263" s="132"/>
      <c r="G263" s="132"/>
      <c r="H263" s="132"/>
      <c r="I263" s="79"/>
      <c r="J263" s="198">
        <f>SUMIF(Journals!D$14:D$920,TrialBalance!P263,Journals!J$14:J$920)+SUMIF(Journals!E$14:E$920,TrialBalance!P263,Journals!J$14:J$920)</f>
        <v>0</v>
      </c>
      <c r="K263" s="253"/>
      <c r="L263" s="255">
        <f t="shared" si="43"/>
        <v>0</v>
      </c>
      <c r="M263" s="75"/>
      <c r="N263" s="48">
        <f t="shared" si="44"/>
        <v>0</v>
      </c>
      <c r="P263" s="140" t="str">
        <f t="shared" si="55"/>
        <v>6200/020MOTOR VEHICLES - ACC DEPR</v>
      </c>
      <c r="Q263" s="70"/>
      <c r="R263" s="31"/>
      <c r="S263" s="71"/>
      <c r="T263" s="51"/>
      <c r="U263" s="31"/>
    </row>
    <row r="264" spans="1:21" x14ac:dyDescent="0.2">
      <c r="A264" s="238"/>
      <c r="B264" s="54" t="s">
        <v>2</v>
      </c>
      <c r="C264" s="242" t="s">
        <v>738</v>
      </c>
      <c r="D264" s="250"/>
      <c r="E264" s="251"/>
      <c r="F264" s="132"/>
      <c r="G264" s="132"/>
      <c r="H264" s="132"/>
      <c r="I264" s="79">
        <f>SUM(N264:N266)</f>
        <v>0</v>
      </c>
      <c r="J264" s="198">
        <f>SUMIF(Journals!D$14:D$920,TrialBalance!P264,Journals!J$14:J$920)+SUMIF(Journals!E$14:E$920,TrialBalance!P264,Journals!J$14:J$920)</f>
        <v>0</v>
      </c>
      <c r="K264" s="253"/>
      <c r="L264" s="255">
        <f t="shared" si="43"/>
        <v>0</v>
      </c>
      <c r="M264" s="75"/>
      <c r="N264" s="48">
        <f t="shared" si="44"/>
        <v>0</v>
      </c>
      <c r="P264" s="140" t="str">
        <f t="shared" si="55"/>
        <v>6200/021Motor vehicles - acc depr b/fwd</v>
      </c>
      <c r="Q264" s="70"/>
      <c r="R264" s="31"/>
      <c r="S264" s="71"/>
      <c r="T264" s="71"/>
      <c r="U264" s="31"/>
    </row>
    <row r="265" spans="1:21" x14ac:dyDescent="0.2">
      <c r="A265" s="238"/>
      <c r="B265" s="54" t="s">
        <v>3</v>
      </c>
      <c r="C265" s="242" t="s">
        <v>739</v>
      </c>
      <c r="D265" s="250"/>
      <c r="E265" s="251"/>
      <c r="F265" s="132">
        <f>TrialBalanceA!I265</f>
        <v>0</v>
      </c>
      <c r="G265" s="132">
        <f>TrialBalanceB!I265</f>
        <v>0</v>
      </c>
      <c r="H265" s="132">
        <f>TrialBalanceC!I265</f>
        <v>0</v>
      </c>
      <c r="I265" s="79"/>
      <c r="J265" s="198">
        <f>SUMIF(Journals!D$14:D$920,TrialBalance!P265,Journals!J$14:J$920)+SUMIF(Journals!E$14:E$920,TrialBalance!P265,Journals!J$14:J$920)</f>
        <v>0</v>
      </c>
      <c r="K265" s="253"/>
      <c r="L265" s="255">
        <f t="shared" si="43"/>
        <v>0</v>
      </c>
      <c r="M265" s="75"/>
      <c r="N265" s="48">
        <f t="shared" si="44"/>
        <v>0</v>
      </c>
      <c r="P265" s="140" t="str">
        <f t="shared" si="55"/>
        <v>6200/022Motor vehicles - depr this year</v>
      </c>
      <c r="Q265" s="70"/>
      <c r="R265" s="31"/>
      <c r="S265" s="71"/>
      <c r="T265" s="71"/>
      <c r="U265" s="31"/>
    </row>
    <row r="266" spans="1:21" x14ac:dyDescent="0.2">
      <c r="A266" s="238"/>
      <c r="B266" s="54" t="s">
        <v>4</v>
      </c>
      <c r="C266" s="242" t="s">
        <v>740</v>
      </c>
      <c r="D266" s="250"/>
      <c r="E266" s="251"/>
      <c r="F266" s="132">
        <f>TrialBalanceA!I266</f>
        <v>0</v>
      </c>
      <c r="G266" s="132">
        <f>TrialBalanceB!I266</f>
        <v>0</v>
      </c>
      <c r="H266" s="132">
        <f>TrialBalanceC!I266</f>
        <v>0</v>
      </c>
      <c r="I266" s="79"/>
      <c r="J266" s="198">
        <f>SUMIF(Journals!D$14:D$920,TrialBalance!P266,Journals!J$14:J$920)+SUMIF(Journals!E$14:E$920,TrialBalance!P266,Journals!J$14:J$920)</f>
        <v>0</v>
      </c>
      <c r="K266" s="253"/>
      <c r="L266" s="255">
        <f t="shared" si="43"/>
        <v>0</v>
      </c>
      <c r="M266" s="75"/>
      <c r="N266" s="48">
        <f t="shared" si="44"/>
        <v>0</v>
      </c>
      <c r="P266" s="140" t="str">
        <f t="shared" si="55"/>
        <v>6200/023Motor vehicles - acc depr on sales</v>
      </c>
      <c r="Q266" s="70"/>
      <c r="R266" s="31"/>
      <c r="S266" s="71"/>
      <c r="T266" s="51"/>
      <c r="U266" s="31"/>
    </row>
    <row r="267" spans="1:21" x14ac:dyDescent="0.2">
      <c r="A267" s="238"/>
      <c r="B267" s="54" t="s">
        <v>5</v>
      </c>
      <c r="C267" s="239" t="s">
        <v>108</v>
      </c>
      <c r="D267" s="250"/>
      <c r="E267" s="251"/>
      <c r="F267" s="132"/>
      <c r="G267" s="132"/>
      <c r="H267" s="132"/>
      <c r="I267" s="79"/>
      <c r="J267" s="198">
        <f>SUMIF(Journals!D$14:D$920,TrialBalance!P267,Journals!J$14:J$920)+SUMIF(Journals!E$14:E$920,TrialBalance!P267,Journals!J$14:J$920)</f>
        <v>0</v>
      </c>
      <c r="K267" s="253"/>
      <c r="L267" s="255">
        <f t="shared" si="43"/>
        <v>0</v>
      </c>
      <c r="M267" s="75"/>
      <c r="N267" s="48">
        <f t="shared" si="44"/>
        <v>0</v>
      </c>
      <c r="P267" s="140" t="str">
        <f t="shared" si="55"/>
        <v>6250/000ELECTRONIC EQUIPMENT - COST</v>
      </c>
      <c r="Q267" s="70"/>
      <c r="R267" s="31"/>
      <c r="S267" s="71"/>
      <c r="T267" s="51"/>
      <c r="U267" s="31"/>
    </row>
    <row r="268" spans="1:21" x14ac:dyDescent="0.2">
      <c r="A268" s="238"/>
      <c r="B268" s="54" t="s">
        <v>6</v>
      </c>
      <c r="C268" s="242" t="s">
        <v>741</v>
      </c>
      <c r="D268" s="250"/>
      <c r="E268" s="251"/>
      <c r="F268" s="132"/>
      <c r="G268" s="132"/>
      <c r="H268" s="132"/>
      <c r="I268" s="79">
        <f>SUM(N268:N270)</f>
        <v>0</v>
      </c>
      <c r="J268" s="198">
        <f>SUMIF(Journals!D$14:D$920,TrialBalance!P268,Journals!J$14:J$920)+SUMIF(Journals!E$14:E$920,TrialBalance!P268,Journals!J$14:J$920)</f>
        <v>0</v>
      </c>
      <c r="K268" s="253"/>
      <c r="L268" s="255">
        <f t="shared" si="43"/>
        <v>0</v>
      </c>
      <c r="M268" s="75"/>
      <c r="N268" s="48">
        <f t="shared" si="44"/>
        <v>0</v>
      </c>
      <c r="P268" s="140" t="str">
        <f t="shared" si="55"/>
        <v>6250/001Electronic equipment - cost b/fwd</v>
      </c>
      <c r="Q268" s="70"/>
      <c r="R268" s="31"/>
      <c r="S268" s="51"/>
      <c r="T268" s="51"/>
      <c r="U268" s="31"/>
    </row>
    <row r="269" spans="1:21" x14ac:dyDescent="0.2">
      <c r="A269" s="238"/>
      <c r="B269" s="54" t="s">
        <v>7</v>
      </c>
      <c r="C269" s="242" t="s">
        <v>742</v>
      </c>
      <c r="D269" s="250"/>
      <c r="E269" s="251"/>
      <c r="F269" s="132">
        <f>TrialBalanceA!I269</f>
        <v>0</v>
      </c>
      <c r="G269" s="132">
        <f>TrialBalanceB!I269</f>
        <v>0</v>
      </c>
      <c r="H269" s="132">
        <f>TrialBalanceC!I269</f>
        <v>0</v>
      </c>
      <c r="I269" s="79"/>
      <c r="J269" s="198">
        <f>SUMIF(Journals!D$14:D$920,TrialBalance!P269,Journals!J$14:J$920)+SUMIF(Journals!E$14:E$920,TrialBalance!P269,Journals!J$14:J$920)</f>
        <v>0</v>
      </c>
      <c r="K269" s="253"/>
      <c r="L269" s="255">
        <f t="shared" si="43"/>
        <v>0</v>
      </c>
      <c r="M269" s="75"/>
      <c r="N269" s="48">
        <f t="shared" si="44"/>
        <v>0</v>
      </c>
      <c r="P269" s="140" t="str">
        <f t="shared" si="55"/>
        <v>6250/002Electronic equipment - additions</v>
      </c>
      <c r="Q269" s="70"/>
      <c r="R269" s="31"/>
      <c r="S269" s="71"/>
      <c r="T269" s="51"/>
      <c r="U269" s="31"/>
    </row>
    <row r="270" spans="1:21" x14ac:dyDescent="0.2">
      <c r="A270" s="238"/>
      <c r="B270" s="54" t="s">
        <v>8</v>
      </c>
      <c r="C270" s="242" t="s">
        <v>743</v>
      </c>
      <c r="D270" s="250"/>
      <c r="E270" s="251"/>
      <c r="F270" s="132">
        <f>TrialBalanceA!I270</f>
        <v>0</v>
      </c>
      <c r="G270" s="132">
        <f>TrialBalanceB!I270</f>
        <v>0</v>
      </c>
      <c r="H270" s="132">
        <f>TrialBalanceC!I270</f>
        <v>0</v>
      </c>
      <c r="I270" s="79"/>
      <c r="J270" s="198">
        <f>SUMIF(Journals!D$14:D$920,TrialBalance!P270,Journals!J$14:J$920)+SUMIF(Journals!E$14:E$920,TrialBalance!P270,Journals!J$14:J$920)</f>
        <v>0</v>
      </c>
      <c r="K270" s="253"/>
      <c r="L270" s="255">
        <f t="shared" si="43"/>
        <v>0</v>
      </c>
      <c r="M270" s="75"/>
      <c r="N270" s="48">
        <f t="shared" si="44"/>
        <v>0</v>
      </c>
      <c r="P270" s="140" t="str">
        <f t="shared" si="55"/>
        <v>6250/003Electronic equipment - cost of sales</v>
      </c>
      <c r="Q270" s="70"/>
      <c r="R270" s="31"/>
      <c r="S270" s="71"/>
      <c r="T270" s="51"/>
      <c r="U270" s="31"/>
    </row>
    <row r="271" spans="1:21" x14ac:dyDescent="0.2">
      <c r="A271" s="238"/>
      <c r="B271" s="54" t="s">
        <v>9</v>
      </c>
      <c r="C271" s="239" t="s">
        <v>109</v>
      </c>
      <c r="D271" s="250"/>
      <c r="E271" s="251"/>
      <c r="F271" s="132"/>
      <c r="G271" s="132"/>
      <c r="H271" s="132"/>
      <c r="I271" s="79"/>
      <c r="J271" s="198">
        <f>SUMIF(Journals!D$14:D$920,TrialBalance!P271,Journals!J$14:J$920)+SUMIF(Journals!E$14:E$920,TrialBalance!P271,Journals!J$14:J$920)</f>
        <v>0</v>
      </c>
      <c r="K271" s="253"/>
      <c r="L271" s="255">
        <f t="shared" si="43"/>
        <v>0</v>
      </c>
      <c r="M271" s="75"/>
      <c r="N271" s="48">
        <f t="shared" si="44"/>
        <v>0</v>
      </c>
      <c r="P271" s="140" t="str">
        <f t="shared" si="55"/>
        <v>6250/020ELECTRONIC EQUIPMENT - ACC DEPR</v>
      </c>
      <c r="Q271" s="70"/>
      <c r="R271" s="31"/>
      <c r="S271" s="71"/>
      <c r="T271" s="51"/>
      <c r="U271" s="31"/>
    </row>
    <row r="272" spans="1:21" x14ac:dyDescent="0.2">
      <c r="A272" s="238"/>
      <c r="B272" s="54" t="s">
        <v>10</v>
      </c>
      <c r="C272" s="242" t="s">
        <v>744</v>
      </c>
      <c r="D272" s="250"/>
      <c r="E272" s="251"/>
      <c r="F272" s="132"/>
      <c r="G272" s="132"/>
      <c r="H272" s="132"/>
      <c r="I272" s="79">
        <f>SUM(N272:N274)</f>
        <v>0</v>
      </c>
      <c r="J272" s="198">
        <f>SUMIF(Journals!D$14:D$920,TrialBalance!P272,Journals!J$14:J$920)+SUMIF(Journals!E$14:E$920,TrialBalance!P272,Journals!J$14:J$920)</f>
        <v>0</v>
      </c>
      <c r="K272" s="253"/>
      <c r="L272" s="255">
        <f t="shared" si="43"/>
        <v>0</v>
      </c>
      <c r="M272" s="75"/>
      <c r="N272" s="48">
        <f t="shared" si="44"/>
        <v>0</v>
      </c>
      <c r="P272" s="140" t="str">
        <f t="shared" si="55"/>
        <v>6250/021Electronic equipment - acc depr b/fwd</v>
      </c>
      <c r="Q272" s="70"/>
      <c r="R272" s="31"/>
      <c r="S272" s="51"/>
      <c r="T272" s="51"/>
      <c r="U272" s="31"/>
    </row>
    <row r="273" spans="1:21" x14ac:dyDescent="0.2">
      <c r="A273" s="238"/>
      <c r="B273" s="54" t="s">
        <v>11</v>
      </c>
      <c r="C273" s="242" t="s">
        <v>745</v>
      </c>
      <c r="D273" s="250"/>
      <c r="E273" s="251"/>
      <c r="F273" s="132">
        <f>TrialBalanceA!I273</f>
        <v>0</v>
      </c>
      <c r="G273" s="132">
        <f>TrialBalanceB!I273</f>
        <v>0</v>
      </c>
      <c r="H273" s="132">
        <f>TrialBalanceC!I273</f>
        <v>0</v>
      </c>
      <c r="I273" s="79"/>
      <c r="J273" s="198">
        <f>SUMIF(Journals!D$14:D$920,TrialBalance!P273,Journals!J$14:J$920)+SUMIF(Journals!E$14:E$920,TrialBalance!P273,Journals!J$14:J$920)</f>
        <v>0</v>
      </c>
      <c r="K273" s="253"/>
      <c r="L273" s="255">
        <f t="shared" si="43"/>
        <v>0</v>
      </c>
      <c r="M273" s="75"/>
      <c r="N273" s="48">
        <f t="shared" si="44"/>
        <v>0</v>
      </c>
      <c r="P273" s="140" t="str">
        <f t="shared" si="55"/>
        <v>6250/022Electronic equipment - depr this year</v>
      </c>
      <c r="Q273" s="70"/>
      <c r="R273" s="31"/>
      <c r="S273" s="71"/>
      <c r="T273" s="51"/>
      <c r="U273" s="31"/>
    </row>
    <row r="274" spans="1:21" x14ac:dyDescent="0.2">
      <c r="A274" s="238"/>
      <c r="B274" s="54" t="s">
        <v>12</v>
      </c>
      <c r="C274" s="242" t="s">
        <v>746</v>
      </c>
      <c r="D274" s="250"/>
      <c r="E274" s="251"/>
      <c r="F274" s="132">
        <f>TrialBalanceA!I274</f>
        <v>0</v>
      </c>
      <c r="G274" s="132">
        <f>TrialBalanceB!I274</f>
        <v>0</v>
      </c>
      <c r="H274" s="132">
        <f>TrialBalanceC!I274</f>
        <v>0</v>
      </c>
      <c r="I274" s="79"/>
      <c r="J274" s="198">
        <f>SUMIF(Journals!D$14:D$920,TrialBalance!P274,Journals!J$14:J$920)+SUMIF(Journals!E$14:E$920,TrialBalance!P274,Journals!J$14:J$920)</f>
        <v>0</v>
      </c>
      <c r="K274" s="253"/>
      <c r="L274" s="255">
        <f t="shared" si="43"/>
        <v>0</v>
      </c>
      <c r="M274" s="75"/>
      <c r="N274" s="48">
        <f t="shared" si="44"/>
        <v>0</v>
      </c>
      <c r="P274" s="140" t="str">
        <f t="shared" si="55"/>
        <v>6250/023Electronic equipment - acc depr on sales</v>
      </c>
      <c r="Q274" s="70"/>
      <c r="R274" s="31"/>
      <c r="S274" s="71"/>
      <c r="T274" s="51"/>
      <c r="U274" s="31"/>
    </row>
    <row r="275" spans="1:21" x14ac:dyDescent="0.2">
      <c r="A275" s="238"/>
      <c r="B275" s="54" t="s">
        <v>14</v>
      </c>
      <c r="C275" s="239" t="s">
        <v>747</v>
      </c>
      <c r="D275" s="250"/>
      <c r="E275" s="251"/>
      <c r="F275" s="132"/>
      <c r="G275" s="132"/>
      <c r="H275" s="132"/>
      <c r="I275" s="79"/>
      <c r="J275" s="198">
        <f>SUMIF(Journals!D$14:D$920,TrialBalance!P275,Journals!J$14:J$920)+SUMIF(Journals!E$14:E$920,TrialBalance!P275,Journals!J$14:J$920)</f>
        <v>0</v>
      </c>
      <c r="K275" s="253"/>
      <c r="L275" s="255">
        <f t="shared" si="43"/>
        <v>0</v>
      </c>
      <c r="M275" s="75"/>
      <c r="N275" s="48">
        <f t="shared" si="44"/>
        <v>0</v>
      </c>
      <c r="P275" s="140" t="str">
        <f t="shared" si="55"/>
        <v>6350/000FURNITURE AND FITTINGS - COST</v>
      </c>
      <c r="Q275" s="70"/>
      <c r="R275" s="31"/>
      <c r="S275" s="71"/>
      <c r="T275" s="51"/>
      <c r="U275" s="31"/>
    </row>
    <row r="276" spans="1:21" x14ac:dyDescent="0.2">
      <c r="A276" s="238"/>
      <c r="B276" s="54" t="s">
        <v>15</v>
      </c>
      <c r="C276" s="242" t="s">
        <v>748</v>
      </c>
      <c r="D276" s="250"/>
      <c r="E276" s="251"/>
      <c r="F276" s="132"/>
      <c r="G276" s="132"/>
      <c r="H276" s="132"/>
      <c r="I276" s="79">
        <f>SUM(N276:N278)</f>
        <v>0</v>
      </c>
      <c r="J276" s="198">
        <f>SUMIF(Journals!D$14:D$920,TrialBalance!P276,Journals!J$14:J$920)+SUMIF(Journals!E$14:E$920,TrialBalance!P276,Journals!J$14:J$920)</f>
        <v>0</v>
      </c>
      <c r="K276" s="253"/>
      <c r="L276" s="255">
        <f t="shared" si="43"/>
        <v>0</v>
      </c>
      <c r="M276" s="75"/>
      <c r="N276" s="48">
        <f t="shared" si="44"/>
        <v>0</v>
      </c>
      <c r="P276" s="140" t="str">
        <f t="shared" si="55"/>
        <v>6350/001Furniture and fittings - cost b/fwd</v>
      </c>
      <c r="Q276" s="72"/>
      <c r="R276" s="31"/>
      <c r="S276" s="71"/>
      <c r="T276" s="51"/>
      <c r="U276" s="31"/>
    </row>
    <row r="277" spans="1:21" x14ac:dyDescent="0.2">
      <c r="A277" s="238"/>
      <c r="B277" s="54" t="s">
        <v>397</v>
      </c>
      <c r="C277" s="242" t="s">
        <v>749</v>
      </c>
      <c r="D277" s="250"/>
      <c r="E277" s="251"/>
      <c r="F277" s="132">
        <f>TrialBalanceA!I277</f>
        <v>0</v>
      </c>
      <c r="G277" s="132">
        <f>TrialBalanceB!I277</f>
        <v>0</v>
      </c>
      <c r="H277" s="132">
        <f>TrialBalanceC!I277</f>
        <v>0</v>
      </c>
      <c r="I277" s="79"/>
      <c r="J277" s="198">
        <f>SUMIF(Journals!D$14:D$920,TrialBalance!P277,Journals!J$14:J$920)+SUMIF(Journals!E$14:E$920,TrialBalance!P277,Journals!J$14:J$920)</f>
        <v>0</v>
      </c>
      <c r="K277" s="253"/>
      <c r="L277" s="255">
        <f t="shared" si="43"/>
        <v>0</v>
      </c>
      <c r="M277" s="75"/>
      <c r="N277" s="48">
        <f t="shared" si="44"/>
        <v>0</v>
      </c>
      <c r="P277" s="140" t="str">
        <f t="shared" ref="P277:P334" si="69">CONCATENATE(B277,C277)</f>
        <v>6350/002Furniture and fittings - additions</v>
      </c>
      <c r="Q277" s="70"/>
      <c r="R277" s="31"/>
      <c r="S277" s="71"/>
      <c r="T277" s="51"/>
      <c r="U277" s="31"/>
    </row>
    <row r="278" spans="1:21" x14ac:dyDescent="0.2">
      <c r="A278" s="238"/>
      <c r="B278" s="54" t="s">
        <v>413</v>
      </c>
      <c r="C278" s="242" t="s">
        <v>750</v>
      </c>
      <c r="D278" s="250"/>
      <c r="E278" s="251"/>
      <c r="F278" s="132">
        <f>TrialBalanceA!I278</f>
        <v>0</v>
      </c>
      <c r="G278" s="132">
        <f>TrialBalanceB!I278</f>
        <v>0</v>
      </c>
      <c r="H278" s="132">
        <f>TrialBalanceC!I278</f>
        <v>0</v>
      </c>
      <c r="I278" s="79"/>
      <c r="J278" s="198">
        <f>SUMIF(Journals!D$14:D$920,TrialBalance!P278,Journals!J$14:J$920)+SUMIF(Journals!E$14:E$920,TrialBalance!P278,Journals!J$14:J$920)</f>
        <v>0</v>
      </c>
      <c r="K278" s="253"/>
      <c r="L278" s="255">
        <f t="shared" si="43"/>
        <v>0</v>
      </c>
      <c r="M278" s="75"/>
      <c r="N278" s="48">
        <f t="shared" si="44"/>
        <v>0</v>
      </c>
      <c r="P278" s="140" t="str">
        <f t="shared" si="69"/>
        <v>6350/003Furniture and fittings - cost of sales</v>
      </c>
      <c r="Q278" s="70"/>
      <c r="R278" s="31"/>
      <c r="S278" s="71"/>
      <c r="T278" s="51"/>
      <c r="U278" s="31"/>
    </row>
    <row r="279" spans="1:21" x14ac:dyDescent="0.2">
      <c r="A279" s="238"/>
      <c r="B279" s="54" t="s">
        <v>248</v>
      </c>
      <c r="C279" s="239" t="s">
        <v>751</v>
      </c>
      <c r="D279" s="250"/>
      <c r="E279" s="250"/>
      <c r="F279" s="132"/>
      <c r="G279" s="132"/>
      <c r="H279" s="132"/>
      <c r="I279" s="79"/>
      <c r="J279" s="198">
        <f>SUMIF(Journals!D$14:D$920,TrialBalance!P279,Journals!J$14:J$920)+SUMIF(Journals!E$14:E$920,TrialBalance!P279,Journals!J$14:J$920)</f>
        <v>0</v>
      </c>
      <c r="K279" s="253"/>
      <c r="L279" s="255">
        <f t="shared" ref="L279:L372" si="70">ROUND(D279-E279+F279+G279+H279+J279+I279,0)</f>
        <v>0</v>
      </c>
      <c r="M279" s="75"/>
      <c r="N279" s="48">
        <f t="shared" si="44"/>
        <v>0</v>
      </c>
      <c r="P279" s="140" t="str">
        <f t="shared" si="69"/>
        <v>6350/020FURNITURE AND FITTINGS - ACC DEPR</v>
      </c>
      <c r="Q279" s="70"/>
      <c r="R279" s="31"/>
      <c r="S279" s="71"/>
      <c r="T279" s="51"/>
      <c r="U279" s="31"/>
    </row>
    <row r="280" spans="1:21" x14ac:dyDescent="0.2">
      <c r="A280" s="238"/>
      <c r="B280" s="54" t="s">
        <v>140</v>
      </c>
      <c r="C280" s="242" t="s">
        <v>752</v>
      </c>
      <c r="D280" s="250"/>
      <c r="E280" s="251"/>
      <c r="F280" s="132"/>
      <c r="G280" s="132"/>
      <c r="H280" s="132"/>
      <c r="I280" s="79">
        <f>SUM(N280:N282)</f>
        <v>0</v>
      </c>
      <c r="J280" s="198">
        <f>SUMIF(Journals!D$14:D$920,TrialBalance!P280,Journals!J$14:J$920)+SUMIF(Journals!E$14:E$920,TrialBalance!P280,Journals!J$14:J$920)</f>
        <v>0</v>
      </c>
      <c r="K280" s="253"/>
      <c r="L280" s="255">
        <f t="shared" si="70"/>
        <v>0</v>
      </c>
      <c r="M280" s="75"/>
      <c r="N280" s="48">
        <f t="shared" si="44"/>
        <v>0</v>
      </c>
      <c r="P280" s="140" t="str">
        <f t="shared" si="69"/>
        <v>6350/021Furniture and fittings - acc depr b/fwd</v>
      </c>
      <c r="Q280" s="70"/>
      <c r="R280" s="31"/>
      <c r="S280" s="71"/>
      <c r="T280" s="71"/>
      <c r="U280" s="31"/>
    </row>
    <row r="281" spans="1:21" x14ac:dyDescent="0.2">
      <c r="A281" s="238"/>
      <c r="B281" s="54" t="s">
        <v>141</v>
      </c>
      <c r="C281" s="242" t="s">
        <v>753</v>
      </c>
      <c r="D281" s="250"/>
      <c r="E281" s="251"/>
      <c r="F281" s="132">
        <f>TrialBalanceA!I281</f>
        <v>0</v>
      </c>
      <c r="G281" s="132">
        <f>TrialBalanceB!I281</f>
        <v>0</v>
      </c>
      <c r="H281" s="132">
        <f>TrialBalanceC!I281</f>
        <v>0</v>
      </c>
      <c r="I281" s="79"/>
      <c r="J281" s="198">
        <f>SUMIF(Journals!D$14:D$920,TrialBalance!P281,Journals!J$14:J$920)+SUMIF(Journals!E$14:E$920,TrialBalance!P281,Journals!J$14:J$920)</f>
        <v>0</v>
      </c>
      <c r="K281" s="253"/>
      <c r="L281" s="255">
        <f t="shared" si="70"/>
        <v>0</v>
      </c>
      <c r="M281" s="75"/>
      <c r="N281" s="48">
        <f t="shared" si="44"/>
        <v>0</v>
      </c>
      <c r="P281" s="140" t="str">
        <f t="shared" si="69"/>
        <v>6350/022Furniture and fittings - depr this year</v>
      </c>
      <c r="Q281" s="70"/>
      <c r="R281" s="31"/>
      <c r="S281" s="71"/>
      <c r="T281" s="51"/>
      <c r="U281" s="31"/>
    </row>
    <row r="282" spans="1:21" x14ac:dyDescent="0.2">
      <c r="A282" s="238"/>
      <c r="B282" s="54" t="s">
        <v>228</v>
      </c>
      <c r="C282" s="242" t="s">
        <v>754</v>
      </c>
      <c r="D282" s="250"/>
      <c r="E282" s="251"/>
      <c r="F282" s="132">
        <f>TrialBalanceA!I282</f>
        <v>0</v>
      </c>
      <c r="G282" s="132">
        <f>TrialBalanceB!I282</f>
        <v>0</v>
      </c>
      <c r="H282" s="132">
        <f>TrialBalanceC!I282</f>
        <v>0</v>
      </c>
      <c r="I282" s="79"/>
      <c r="J282" s="198">
        <f>SUMIF(Journals!D$14:D$920,TrialBalance!P282,Journals!J$14:J$920)+SUMIF(Journals!E$14:E$920,TrialBalance!P282,Journals!J$14:J$920)</f>
        <v>0</v>
      </c>
      <c r="K282" s="253"/>
      <c r="L282" s="255">
        <f t="shared" si="70"/>
        <v>0</v>
      </c>
      <c r="M282" s="75"/>
      <c r="N282" s="48">
        <f t="shared" si="44"/>
        <v>0</v>
      </c>
      <c r="P282" s="140" t="str">
        <f t="shared" si="69"/>
        <v>6350/023Furniture and fittings - acc depr on sales</v>
      </c>
      <c r="Q282" s="70"/>
      <c r="R282" s="31"/>
      <c r="S282" s="71"/>
      <c r="T282" s="51"/>
      <c r="U282" s="31"/>
    </row>
    <row r="283" spans="1:21" x14ac:dyDescent="0.2">
      <c r="A283" s="238"/>
      <c r="B283" s="54" t="s">
        <v>435</v>
      </c>
      <c r="C283" s="239" t="s">
        <v>43</v>
      </c>
      <c r="D283" s="250"/>
      <c r="E283" s="251"/>
      <c r="F283" s="132"/>
      <c r="G283" s="132"/>
      <c r="H283" s="132"/>
      <c r="I283" s="79"/>
      <c r="J283" s="198">
        <f>SUMIF(Journals!D$14:D$920,TrialBalance!P283,Journals!J$14:J$920)+SUMIF(Journals!E$14:E$920,TrialBalance!P283,Journals!J$14:J$920)</f>
        <v>0</v>
      </c>
      <c r="K283" s="253"/>
      <c r="L283" s="255">
        <f t="shared" si="70"/>
        <v>0</v>
      </c>
      <c r="M283" s="75"/>
      <c r="N283" s="48">
        <f t="shared" ref="N283:N379" si="71">ROUND(SUM(A283),0)</f>
        <v>0</v>
      </c>
      <c r="P283" s="140" t="str">
        <f t="shared" si="69"/>
        <v>7000/000INTANGIBLE ASSETS</v>
      </c>
      <c r="Q283" s="70"/>
      <c r="R283" s="31"/>
      <c r="S283" s="71"/>
      <c r="T283" s="51"/>
      <c r="U283" s="31"/>
    </row>
    <row r="284" spans="1:21" x14ac:dyDescent="0.2">
      <c r="A284" s="238"/>
      <c r="B284" s="90" t="s">
        <v>884</v>
      </c>
      <c r="C284" s="239" t="s">
        <v>885</v>
      </c>
      <c r="D284" s="250"/>
      <c r="E284" s="251"/>
      <c r="F284" s="132"/>
      <c r="G284" s="132"/>
      <c r="H284" s="132"/>
      <c r="I284" s="79"/>
      <c r="J284" s="198">
        <f>SUMIF(Journals!D$14:D$920,TrialBalance!P284,Journals!J$14:J$920)+SUMIF(Journals!E$14:E$920,TrialBalance!P284,Journals!J$14:J$920)</f>
        <v>0</v>
      </c>
      <c r="K284" s="253"/>
      <c r="L284" s="255">
        <f t="shared" ref="L284:L301" si="72">ROUND(D284-E284+F284+G284+H284+J284+I284,0)</f>
        <v>0</v>
      </c>
      <c r="M284" s="75"/>
      <c r="N284" s="48">
        <f t="shared" ref="N284:N301" si="73">ROUND(SUM(A284),0)</f>
        <v>0</v>
      </c>
      <c r="P284" s="140" t="str">
        <f t="shared" ref="P284:P301" si="74">CONCATENATE(B284,C284)</f>
        <v>7000/001GOODWILL - COST</v>
      </c>
      <c r="Q284" s="70"/>
      <c r="R284" s="31"/>
      <c r="S284" s="71"/>
      <c r="T284" s="51"/>
      <c r="U284" s="31"/>
    </row>
    <row r="285" spans="1:21" x14ac:dyDescent="0.2">
      <c r="A285" s="238"/>
      <c r="B285" s="90" t="s">
        <v>886</v>
      </c>
      <c r="C285" s="242" t="s">
        <v>887</v>
      </c>
      <c r="D285" s="250"/>
      <c r="E285" s="251"/>
      <c r="F285" s="132"/>
      <c r="G285" s="132"/>
      <c r="H285" s="132"/>
      <c r="I285" s="79">
        <f>SUM(N285:N286)</f>
        <v>0</v>
      </c>
      <c r="J285" s="198">
        <f>SUMIF(Journals!D$14:D$920,TrialBalance!P285,Journals!J$14:J$920)+SUMIF(Journals!E$14:E$920,TrialBalance!P285,Journals!J$14:J$920)</f>
        <v>0</v>
      </c>
      <c r="K285" s="253"/>
      <c r="L285" s="255">
        <f t="shared" si="72"/>
        <v>0</v>
      </c>
      <c r="M285" s="75"/>
      <c r="N285" s="48">
        <f t="shared" si="73"/>
        <v>0</v>
      </c>
      <c r="P285" s="140" t="str">
        <f t="shared" si="74"/>
        <v>7000/002Goodwill - cost b/fwd</v>
      </c>
      <c r="Q285" s="70"/>
      <c r="R285" s="31"/>
      <c r="S285" s="71"/>
      <c r="T285" s="51"/>
      <c r="U285" s="31"/>
    </row>
    <row r="286" spans="1:21" x14ac:dyDescent="0.2">
      <c r="A286" s="238"/>
      <c r="B286" s="90" t="s">
        <v>888</v>
      </c>
      <c r="C286" s="242" t="s">
        <v>889</v>
      </c>
      <c r="D286" s="250"/>
      <c r="E286" s="251"/>
      <c r="F286" s="132">
        <f>TrialBalanceA!I286</f>
        <v>0</v>
      </c>
      <c r="G286" s="132">
        <f>TrialBalanceB!I286</f>
        <v>0</v>
      </c>
      <c r="H286" s="132">
        <f>TrialBalanceC!I286</f>
        <v>0</v>
      </c>
      <c r="I286" s="79"/>
      <c r="J286" s="198">
        <f>SUMIF(Journals!D$14:D$920,TrialBalance!P286,Journals!J$14:J$920)+SUMIF(Journals!E$14:E$920,TrialBalance!P286,Journals!J$14:J$920)</f>
        <v>0</v>
      </c>
      <c r="K286" s="253"/>
      <c r="L286" s="255">
        <f t="shared" si="72"/>
        <v>0</v>
      </c>
      <c r="M286" s="75"/>
      <c r="N286" s="48">
        <f t="shared" si="73"/>
        <v>0</v>
      </c>
      <c r="P286" s="140" t="str">
        <f t="shared" si="74"/>
        <v>7000/003Goodwill - additions</v>
      </c>
      <c r="Q286" s="70"/>
      <c r="R286" s="31"/>
      <c r="S286" s="71"/>
      <c r="T286" s="51"/>
      <c r="U286" s="31"/>
    </row>
    <row r="287" spans="1:21" x14ac:dyDescent="0.2">
      <c r="A287" s="238"/>
      <c r="B287" s="90" t="s">
        <v>890</v>
      </c>
      <c r="C287" s="239" t="s">
        <v>891</v>
      </c>
      <c r="D287" s="250"/>
      <c r="E287" s="251"/>
      <c r="F287" s="132"/>
      <c r="G287" s="132"/>
      <c r="H287" s="132"/>
      <c r="I287" s="79"/>
      <c r="J287" s="198">
        <f>SUMIF(Journals!D$14:D$920,TrialBalance!P287,Journals!J$14:J$920)+SUMIF(Journals!E$14:E$920,TrialBalance!P287,Journals!J$14:J$920)</f>
        <v>0</v>
      </c>
      <c r="K287" s="253"/>
      <c r="L287" s="255">
        <f t="shared" si="72"/>
        <v>0</v>
      </c>
      <c r="M287" s="75"/>
      <c r="N287" s="48">
        <f t="shared" si="73"/>
        <v>0</v>
      </c>
      <c r="P287" s="140" t="str">
        <f t="shared" si="74"/>
        <v>7000/005GOODWILL - ACC AMORTISATION</v>
      </c>
      <c r="Q287" s="70"/>
      <c r="R287" s="31"/>
      <c r="S287" s="71"/>
      <c r="T287" s="51"/>
      <c r="U287" s="31"/>
    </row>
    <row r="288" spans="1:21" x14ac:dyDescent="0.2">
      <c r="A288" s="238"/>
      <c r="B288" s="90" t="s">
        <v>892</v>
      </c>
      <c r="C288" s="242" t="s">
        <v>893</v>
      </c>
      <c r="D288" s="250"/>
      <c r="E288" s="251"/>
      <c r="F288" s="132"/>
      <c r="G288" s="132"/>
      <c r="H288" s="132"/>
      <c r="I288" s="79">
        <f>SUM(N288:N289)</f>
        <v>0</v>
      </c>
      <c r="J288" s="198">
        <f>SUMIF(Journals!D$14:D$920,TrialBalance!P288,Journals!J$14:J$920)+SUMIF(Journals!E$14:E$920,TrialBalance!P288,Journals!J$14:J$920)</f>
        <v>0</v>
      </c>
      <c r="K288" s="253"/>
      <c r="L288" s="255">
        <f t="shared" si="72"/>
        <v>0</v>
      </c>
      <c r="M288" s="75"/>
      <c r="N288" s="48">
        <f t="shared" si="73"/>
        <v>0</v>
      </c>
      <c r="P288" s="140" t="str">
        <f t="shared" si="74"/>
        <v>7000/006Goodwill - acc amortisation b/fwd</v>
      </c>
      <c r="Q288" s="70"/>
      <c r="R288" s="31"/>
      <c r="S288" s="71"/>
      <c r="T288" s="51"/>
      <c r="U288" s="31"/>
    </row>
    <row r="289" spans="1:21" x14ac:dyDescent="0.2">
      <c r="A289" s="238"/>
      <c r="B289" s="90" t="s">
        <v>894</v>
      </c>
      <c r="C289" s="242" t="s">
        <v>895</v>
      </c>
      <c r="D289" s="250"/>
      <c r="E289" s="251"/>
      <c r="F289" s="132">
        <f>TrialBalanceA!I289</f>
        <v>0</v>
      </c>
      <c r="G289" s="132">
        <f>TrialBalanceB!I289</f>
        <v>0</v>
      </c>
      <c r="H289" s="132">
        <f>TrialBalanceC!I289</f>
        <v>0</v>
      </c>
      <c r="I289" s="79"/>
      <c r="J289" s="198">
        <f>SUMIF(Journals!D$14:D$920,TrialBalance!P289,Journals!J$14:J$920)+SUMIF(Journals!E$14:E$920,TrialBalance!P289,Journals!J$14:J$920)</f>
        <v>0</v>
      </c>
      <c r="K289" s="253"/>
      <c r="L289" s="255">
        <f t="shared" si="72"/>
        <v>0</v>
      </c>
      <c r="M289" s="75"/>
      <c r="N289" s="48">
        <f t="shared" si="73"/>
        <v>0</v>
      </c>
      <c r="P289" s="140" t="str">
        <f t="shared" si="74"/>
        <v>7000/007Goodwill - amortisation this year</v>
      </c>
      <c r="Q289" s="70"/>
      <c r="R289" s="31"/>
      <c r="S289" s="71"/>
      <c r="T289" s="51"/>
      <c r="U289" s="31"/>
    </row>
    <row r="290" spans="1:21" x14ac:dyDescent="0.2">
      <c r="A290" s="238"/>
      <c r="B290" s="90" t="s">
        <v>436</v>
      </c>
      <c r="C290" s="239" t="s">
        <v>896</v>
      </c>
      <c r="D290" s="250"/>
      <c r="E290" s="251"/>
      <c r="F290" s="132"/>
      <c r="G290" s="132"/>
      <c r="H290" s="132"/>
      <c r="I290" s="79"/>
      <c r="J290" s="198">
        <f>SUMIF(Journals!D$14:D$920,TrialBalance!P290,Journals!J$14:J$920)+SUMIF(Journals!E$14:E$920,TrialBalance!P290,Journals!J$14:J$920)</f>
        <v>0</v>
      </c>
      <c r="K290" s="253"/>
      <c r="L290" s="255">
        <f t="shared" si="72"/>
        <v>0</v>
      </c>
      <c r="M290" s="75"/>
      <c r="N290" s="48">
        <f t="shared" si="73"/>
        <v>0</v>
      </c>
      <c r="P290" s="140" t="str">
        <f t="shared" si="74"/>
        <v>7000/010GOODWILL - IMPAIRMENT</v>
      </c>
      <c r="Q290" s="70"/>
      <c r="R290" s="31"/>
      <c r="S290" s="71"/>
      <c r="T290" s="51"/>
      <c r="U290" s="31"/>
    </row>
    <row r="291" spans="1:21" x14ac:dyDescent="0.2">
      <c r="A291" s="238"/>
      <c r="B291" s="90" t="s">
        <v>611</v>
      </c>
      <c r="C291" s="242" t="s">
        <v>897</v>
      </c>
      <c r="D291" s="250"/>
      <c r="E291" s="251"/>
      <c r="F291" s="132"/>
      <c r="G291" s="132"/>
      <c r="H291" s="132"/>
      <c r="I291" s="79">
        <f>SUM(N291:N292)</f>
        <v>0</v>
      </c>
      <c r="J291" s="198">
        <f>SUMIF(Journals!D$14:D$920,TrialBalance!P291,Journals!J$14:J$920)+SUMIF(Journals!E$14:E$920,TrialBalance!P291,Journals!J$14:J$920)</f>
        <v>0</v>
      </c>
      <c r="K291" s="253"/>
      <c r="L291" s="255">
        <f t="shared" si="72"/>
        <v>0</v>
      </c>
      <c r="M291" s="75"/>
      <c r="N291" s="48">
        <f t="shared" si="73"/>
        <v>0</v>
      </c>
      <c r="P291" s="140" t="str">
        <f t="shared" si="74"/>
        <v>7000/011Goodwill - impairment loss b/fwd</v>
      </c>
      <c r="Q291" s="70"/>
      <c r="R291" s="31"/>
      <c r="S291" s="71"/>
      <c r="T291" s="51"/>
      <c r="U291" s="31"/>
    </row>
    <row r="292" spans="1:21" x14ac:dyDescent="0.2">
      <c r="A292" s="238"/>
      <c r="B292" s="90" t="s">
        <v>898</v>
      </c>
      <c r="C292" s="242" t="s">
        <v>899</v>
      </c>
      <c r="D292" s="250"/>
      <c r="E292" s="251"/>
      <c r="F292" s="132">
        <f>TrialBalanceA!I292</f>
        <v>0</v>
      </c>
      <c r="G292" s="132">
        <f>TrialBalanceB!I292</f>
        <v>0</v>
      </c>
      <c r="H292" s="132">
        <f>TrialBalanceC!I292</f>
        <v>0</v>
      </c>
      <c r="I292" s="79"/>
      <c r="J292" s="198">
        <f>SUMIF(Journals!D$14:D$920,TrialBalance!P292,Journals!J$14:J$920)+SUMIF(Journals!E$14:E$920,TrialBalance!P292,Journals!J$14:J$920)</f>
        <v>0</v>
      </c>
      <c r="K292" s="253"/>
      <c r="L292" s="255">
        <f t="shared" si="72"/>
        <v>0</v>
      </c>
      <c r="M292" s="75"/>
      <c r="N292" s="48">
        <f t="shared" si="73"/>
        <v>0</v>
      </c>
      <c r="P292" s="140" t="str">
        <f t="shared" si="74"/>
        <v>7000/012Goodwill - impairment loss this year</v>
      </c>
      <c r="Q292" s="70"/>
      <c r="R292" s="31"/>
      <c r="S292" s="71"/>
      <c r="T292" s="51"/>
      <c r="U292" s="31"/>
    </row>
    <row r="293" spans="1:21" x14ac:dyDescent="0.2">
      <c r="A293" s="238"/>
      <c r="B293" s="90" t="s">
        <v>900</v>
      </c>
      <c r="C293" s="239" t="s">
        <v>901</v>
      </c>
      <c r="D293" s="250"/>
      <c r="E293" s="251"/>
      <c r="F293" s="132"/>
      <c r="G293" s="132"/>
      <c r="H293" s="132"/>
      <c r="I293" s="79"/>
      <c r="J293" s="198">
        <f>SUMIF(Journals!D$14:D$920,TrialBalance!P293,Journals!J$14:J$920)+SUMIF(Journals!E$14:E$920,TrialBalance!P293,Journals!J$14:J$920)</f>
        <v>0</v>
      </c>
      <c r="K293" s="253"/>
      <c r="L293" s="255">
        <f t="shared" si="72"/>
        <v>0</v>
      </c>
      <c r="M293" s="75"/>
      <c r="N293" s="48">
        <f t="shared" si="73"/>
        <v>0</v>
      </c>
      <c r="P293" s="140" t="str">
        <f t="shared" si="74"/>
        <v>7000/021PREPAID LEASE AGREEMENT - COST</v>
      </c>
      <c r="Q293" s="70"/>
      <c r="R293" s="31"/>
      <c r="S293" s="71"/>
      <c r="T293" s="51"/>
      <c r="U293" s="31"/>
    </row>
    <row r="294" spans="1:21" x14ac:dyDescent="0.2">
      <c r="A294" s="238"/>
      <c r="B294" s="90" t="s">
        <v>902</v>
      </c>
      <c r="C294" s="242" t="s">
        <v>903</v>
      </c>
      <c r="D294" s="250"/>
      <c r="E294" s="251"/>
      <c r="F294" s="132"/>
      <c r="G294" s="132"/>
      <c r="H294" s="132"/>
      <c r="I294" s="79">
        <f>SUM(N294:N295)</f>
        <v>0</v>
      </c>
      <c r="J294" s="198">
        <f>SUMIF(Journals!D$14:D$920,TrialBalance!P294,Journals!J$14:J$920)+SUMIF(Journals!E$14:E$920,TrialBalance!P294,Journals!J$14:J$920)</f>
        <v>0</v>
      </c>
      <c r="K294" s="253"/>
      <c r="L294" s="255">
        <f t="shared" si="72"/>
        <v>0</v>
      </c>
      <c r="M294" s="75"/>
      <c r="N294" s="48">
        <f t="shared" si="73"/>
        <v>0</v>
      </c>
      <c r="P294" s="140" t="str">
        <f t="shared" si="74"/>
        <v>7000/022Prepaid lease agreement - cost b/fwd</v>
      </c>
      <c r="Q294" s="70"/>
      <c r="R294" s="31"/>
      <c r="S294" s="71"/>
      <c r="T294" s="51"/>
      <c r="U294" s="31"/>
    </row>
    <row r="295" spans="1:21" x14ac:dyDescent="0.2">
      <c r="A295" s="238"/>
      <c r="B295" s="90" t="s">
        <v>904</v>
      </c>
      <c r="C295" s="242" t="s">
        <v>905</v>
      </c>
      <c r="D295" s="250"/>
      <c r="E295" s="251"/>
      <c r="F295" s="132">
        <f>TrialBalanceA!I295</f>
        <v>0</v>
      </c>
      <c r="G295" s="132">
        <f>TrialBalanceB!I295</f>
        <v>0</v>
      </c>
      <c r="H295" s="132">
        <f>TrialBalanceC!I295</f>
        <v>0</v>
      </c>
      <c r="I295" s="79"/>
      <c r="J295" s="198">
        <f>SUMIF(Journals!D$14:D$920,TrialBalance!P295,Journals!J$14:J$920)+SUMIF(Journals!E$14:E$920,TrialBalance!P295,Journals!J$14:J$920)</f>
        <v>0</v>
      </c>
      <c r="K295" s="253"/>
      <c r="L295" s="255">
        <f t="shared" si="72"/>
        <v>0</v>
      </c>
      <c r="M295" s="75"/>
      <c r="N295" s="48">
        <f t="shared" si="73"/>
        <v>0</v>
      </c>
      <c r="P295" s="140" t="str">
        <f t="shared" si="74"/>
        <v>7000/023Prepaid lease agreement - additions</v>
      </c>
      <c r="Q295" s="70"/>
      <c r="R295" s="31"/>
      <c r="S295" s="71"/>
      <c r="T295" s="51"/>
      <c r="U295" s="31"/>
    </row>
    <row r="296" spans="1:21" x14ac:dyDescent="0.2">
      <c r="A296" s="238"/>
      <c r="B296" s="90" t="s">
        <v>437</v>
      </c>
      <c r="C296" s="239" t="s">
        <v>906</v>
      </c>
      <c r="D296" s="250"/>
      <c r="E296" s="251"/>
      <c r="F296" s="132"/>
      <c r="G296" s="132"/>
      <c r="H296" s="132"/>
      <c r="I296" s="79"/>
      <c r="J296" s="198">
        <f>SUMIF(Journals!D$14:D$920,TrialBalance!P296,Journals!J$14:J$920)+SUMIF(Journals!E$14:E$920,TrialBalance!P296,Journals!J$14:J$920)</f>
        <v>0</v>
      </c>
      <c r="K296" s="253"/>
      <c r="L296" s="255">
        <f t="shared" si="72"/>
        <v>0</v>
      </c>
      <c r="M296" s="75"/>
      <c r="N296" s="48">
        <f t="shared" si="73"/>
        <v>0</v>
      </c>
      <c r="P296" s="140" t="str">
        <f t="shared" si="74"/>
        <v>7000/025PREPAID LEASE AGREEMENT - ACC AMORTISATION</v>
      </c>
      <c r="Q296" s="70"/>
      <c r="R296" s="31"/>
      <c r="S296" s="71"/>
      <c r="T296" s="51"/>
      <c r="U296" s="31"/>
    </row>
    <row r="297" spans="1:21" x14ac:dyDescent="0.2">
      <c r="A297" s="238"/>
      <c r="B297" s="90" t="s">
        <v>907</v>
      </c>
      <c r="C297" s="242" t="s">
        <v>908</v>
      </c>
      <c r="D297" s="250"/>
      <c r="E297" s="251"/>
      <c r="F297" s="132"/>
      <c r="G297" s="132"/>
      <c r="H297" s="132"/>
      <c r="I297" s="79">
        <f>SUM(N297:N298)</f>
        <v>0</v>
      </c>
      <c r="J297" s="198">
        <f>SUMIF(Journals!D$14:D$920,TrialBalance!P297,Journals!J$14:J$920)+SUMIF(Journals!E$14:E$920,TrialBalance!P297,Journals!J$14:J$920)</f>
        <v>0</v>
      </c>
      <c r="K297" s="253"/>
      <c r="L297" s="255">
        <f t="shared" si="72"/>
        <v>0</v>
      </c>
      <c r="M297" s="75"/>
      <c r="N297" s="48">
        <f t="shared" si="73"/>
        <v>0</v>
      </c>
      <c r="P297" s="140" t="str">
        <f t="shared" si="74"/>
        <v>7000/026Prepaid lease agreement - acc amortisation b/fwd</v>
      </c>
      <c r="Q297" s="70"/>
      <c r="R297" s="31"/>
      <c r="S297" s="71"/>
      <c r="T297" s="51"/>
      <c r="U297" s="31"/>
    </row>
    <row r="298" spans="1:21" x14ac:dyDescent="0.2">
      <c r="A298" s="238"/>
      <c r="B298" s="90" t="s">
        <v>909</v>
      </c>
      <c r="C298" s="242" t="s">
        <v>910</v>
      </c>
      <c r="D298" s="250"/>
      <c r="E298" s="251"/>
      <c r="F298" s="132">
        <f>TrialBalanceA!I298</f>
        <v>0</v>
      </c>
      <c r="G298" s="132">
        <f>TrialBalanceB!I298</f>
        <v>0</v>
      </c>
      <c r="H298" s="132">
        <f>TrialBalanceC!I298</f>
        <v>0</v>
      </c>
      <c r="I298" s="79"/>
      <c r="J298" s="198">
        <f>SUMIF(Journals!D$14:D$920,TrialBalance!P298,Journals!J$14:J$920)+SUMIF(Journals!E$14:E$920,TrialBalance!P298,Journals!J$14:J$920)</f>
        <v>0</v>
      </c>
      <c r="K298" s="253"/>
      <c r="L298" s="255">
        <f t="shared" si="72"/>
        <v>0</v>
      </c>
      <c r="M298" s="75"/>
      <c r="N298" s="48">
        <f t="shared" si="73"/>
        <v>0</v>
      </c>
      <c r="P298" s="140" t="str">
        <f t="shared" si="74"/>
        <v>7000/027Prepaid lease agreement - amortisation this year</v>
      </c>
      <c r="Q298" s="70"/>
      <c r="R298" s="31"/>
      <c r="S298" s="71"/>
      <c r="T298" s="51"/>
      <c r="U298" s="31"/>
    </row>
    <row r="299" spans="1:21" x14ac:dyDescent="0.2">
      <c r="A299" s="238"/>
      <c r="B299" s="90" t="s">
        <v>911</v>
      </c>
      <c r="C299" s="239" t="s">
        <v>912</v>
      </c>
      <c r="D299" s="250"/>
      <c r="E299" s="251"/>
      <c r="F299" s="132"/>
      <c r="G299" s="132"/>
      <c r="H299" s="132"/>
      <c r="I299" s="79"/>
      <c r="J299" s="198">
        <f>SUMIF(Journals!D$14:D$920,TrialBalance!P299,Journals!J$14:J$920)+SUMIF(Journals!E$14:E$920,TrialBalance!P299,Journals!J$14:J$920)</f>
        <v>0</v>
      </c>
      <c r="K299" s="253"/>
      <c r="L299" s="255">
        <f t="shared" si="72"/>
        <v>0</v>
      </c>
      <c r="M299" s="75"/>
      <c r="N299" s="48">
        <f t="shared" si="73"/>
        <v>0</v>
      </c>
      <c r="P299" s="140" t="str">
        <f t="shared" si="74"/>
        <v>7000/030PREPAID LEASE AGREEMENT - IMPAIRMENT</v>
      </c>
      <c r="Q299" s="70"/>
      <c r="R299" s="31"/>
      <c r="S299" s="71"/>
      <c r="T299" s="51"/>
      <c r="U299" s="31"/>
    </row>
    <row r="300" spans="1:21" x14ac:dyDescent="0.2">
      <c r="A300" s="238"/>
      <c r="B300" s="90" t="s">
        <v>913</v>
      </c>
      <c r="C300" s="242" t="s">
        <v>914</v>
      </c>
      <c r="D300" s="250"/>
      <c r="E300" s="251"/>
      <c r="F300" s="132"/>
      <c r="G300" s="132"/>
      <c r="H300" s="132"/>
      <c r="I300" s="79">
        <f>SUM(N300:N301)</f>
        <v>0</v>
      </c>
      <c r="J300" s="198">
        <f>SUMIF(Journals!D$14:D$920,TrialBalance!P300,Journals!J$14:J$920)+SUMIF(Journals!E$14:E$920,TrialBalance!P300,Journals!J$14:J$920)</f>
        <v>0</v>
      </c>
      <c r="K300" s="253"/>
      <c r="L300" s="255">
        <f t="shared" si="72"/>
        <v>0</v>
      </c>
      <c r="M300" s="75"/>
      <c r="N300" s="48">
        <f t="shared" si="73"/>
        <v>0</v>
      </c>
      <c r="P300" s="140" t="str">
        <f t="shared" si="74"/>
        <v>7000/031Prepaid lease agreement - impairment loss b/fwd</v>
      </c>
      <c r="Q300" s="70"/>
      <c r="R300" s="31"/>
      <c r="S300" s="71"/>
      <c r="T300" s="51"/>
      <c r="U300" s="31"/>
    </row>
    <row r="301" spans="1:21" x14ac:dyDescent="0.2">
      <c r="A301" s="238"/>
      <c r="B301" s="90" t="s">
        <v>915</v>
      </c>
      <c r="C301" s="242" t="s">
        <v>916</v>
      </c>
      <c r="D301" s="250"/>
      <c r="E301" s="251"/>
      <c r="F301" s="132">
        <f>TrialBalanceA!I301</f>
        <v>0</v>
      </c>
      <c r="G301" s="132">
        <f>TrialBalanceB!I301</f>
        <v>0</v>
      </c>
      <c r="H301" s="132">
        <f>TrialBalanceC!I301</f>
        <v>0</v>
      </c>
      <c r="I301" s="79"/>
      <c r="J301" s="198">
        <f>SUMIF(Journals!D$14:D$920,TrialBalance!P301,Journals!J$14:J$920)+SUMIF(Journals!E$14:E$920,TrialBalance!P301,Journals!J$14:J$920)</f>
        <v>0</v>
      </c>
      <c r="K301" s="253"/>
      <c r="L301" s="255">
        <f t="shared" si="72"/>
        <v>0</v>
      </c>
      <c r="M301" s="75"/>
      <c r="N301" s="48">
        <f t="shared" si="73"/>
        <v>0</v>
      </c>
      <c r="P301" s="140" t="str">
        <f t="shared" si="74"/>
        <v>7000/032Prepaid lease agreement - impairment loss this year</v>
      </c>
      <c r="Q301" s="70"/>
      <c r="R301" s="31"/>
      <c r="S301" s="71"/>
      <c r="T301" s="51"/>
      <c r="U301" s="31"/>
    </row>
    <row r="302" spans="1:21" x14ac:dyDescent="0.2">
      <c r="A302" s="238"/>
      <c r="B302" s="54" t="s">
        <v>438</v>
      </c>
      <c r="C302" s="239" t="s">
        <v>155</v>
      </c>
      <c r="D302" s="250"/>
      <c r="E302" s="251"/>
      <c r="F302" s="132"/>
      <c r="G302" s="132"/>
      <c r="H302" s="132"/>
      <c r="I302" s="79"/>
      <c r="J302" s="198">
        <f>SUMIF(Journals!D$14:D$920,TrialBalance!P302,Journals!J$14:J$920)+SUMIF(Journals!E$14:E$920,TrialBalance!P302,Journals!J$14:J$920)</f>
        <v>0</v>
      </c>
      <c r="K302" s="253"/>
      <c r="L302" s="255">
        <f t="shared" si="70"/>
        <v>0</v>
      </c>
      <c r="M302" s="75"/>
      <c r="N302" s="48">
        <f t="shared" si="71"/>
        <v>0</v>
      </c>
      <c r="P302" s="140" t="str">
        <f t="shared" si="69"/>
        <v>7100/000INVESTMENTS</v>
      </c>
      <c r="Q302" s="70"/>
      <c r="R302" s="31"/>
      <c r="S302" s="71"/>
      <c r="T302" s="51"/>
      <c r="U302" s="31"/>
    </row>
    <row r="303" spans="1:21" x14ac:dyDescent="0.2">
      <c r="A303" s="238"/>
      <c r="B303" s="90" t="s">
        <v>845</v>
      </c>
      <c r="C303" s="242" t="s">
        <v>846</v>
      </c>
      <c r="D303" s="250"/>
      <c r="E303" s="251"/>
      <c r="F303" s="132"/>
      <c r="G303" s="132"/>
      <c r="H303" s="132"/>
      <c r="I303" s="79"/>
      <c r="J303" s="198">
        <f>SUMIF(Journals!D$14:D$920,TrialBalance!P303,Journals!J$14:J$920)+SUMIF(Journals!E$14:E$920,TrialBalance!P303,Journals!J$14:J$920)</f>
        <v>0</v>
      </c>
      <c r="K303" s="253"/>
      <c r="L303" s="255">
        <f t="shared" ref="L303:L306" si="75">ROUND(D303-E303+F303+G303+H303+J303+I303,0)</f>
        <v>0</v>
      </c>
      <c r="M303" s="75"/>
      <c r="N303" s="48">
        <f t="shared" ref="N303:N306" si="76">ROUND(SUM(A303),0)</f>
        <v>0</v>
      </c>
      <c r="P303" s="140" t="str">
        <f t="shared" ref="P303:P306" si="77">CONCATENATE(B303,C303)</f>
        <v>7100/050INVESTMENTS IN ASSOCIATES</v>
      </c>
      <c r="Q303" s="70"/>
      <c r="R303" s="31"/>
      <c r="S303" s="71"/>
      <c r="T303" s="51"/>
      <c r="U303" s="31"/>
    </row>
    <row r="304" spans="1:21" x14ac:dyDescent="0.2">
      <c r="A304" s="238"/>
      <c r="B304" s="90" t="s">
        <v>847</v>
      </c>
      <c r="C304" s="249" t="s">
        <v>1208</v>
      </c>
      <c r="D304" s="250"/>
      <c r="E304" s="251"/>
      <c r="F304" s="132">
        <f>TrialBalanceA!I304-TrialBalanceA!K304</f>
        <v>0</v>
      </c>
      <c r="G304" s="132">
        <f>TrialBalanceB!I304-TrialBalanceB!K304</f>
        <v>0</v>
      </c>
      <c r="H304" s="132">
        <f>TrialBalanceC!I304-TrialBalanceC!K304</f>
        <v>0</v>
      </c>
      <c r="I304" s="79">
        <f>N304</f>
        <v>0</v>
      </c>
      <c r="J304" s="198">
        <f>SUMIF(Journals!D$14:D$920,TrialBalance!P304,Journals!J$14:J$920)+SUMIF(Journals!E$14:E$920,TrialBalance!P304,Journals!J$14:J$920)</f>
        <v>0</v>
      </c>
      <c r="K304" s="253"/>
      <c r="L304" s="255">
        <f t="shared" si="75"/>
        <v>0</v>
      </c>
      <c r="M304" s="75"/>
      <c r="N304" s="48">
        <f t="shared" si="76"/>
        <v>0</v>
      </c>
      <c r="P304" s="140" t="str">
        <f t="shared" si="77"/>
        <v>7100/05130 Shares in ABC Company (Pty) Ltd - 30% interest</v>
      </c>
      <c r="Q304" s="70"/>
      <c r="R304" s="31"/>
      <c r="S304" s="71"/>
      <c r="T304" s="51"/>
      <c r="U304" s="31"/>
    </row>
    <row r="305" spans="1:21" x14ac:dyDescent="0.2">
      <c r="A305" s="238"/>
      <c r="B305" s="90" t="s">
        <v>848</v>
      </c>
      <c r="C305" s="249"/>
      <c r="D305" s="250"/>
      <c r="E305" s="251"/>
      <c r="F305" s="132">
        <f>TrialBalanceA!I305-TrialBalanceA!K305</f>
        <v>0</v>
      </c>
      <c r="G305" s="132">
        <f>TrialBalanceB!I305-TrialBalanceB!K305</f>
        <v>0</v>
      </c>
      <c r="H305" s="132">
        <f>TrialBalanceC!I305-TrialBalanceC!K305</f>
        <v>0</v>
      </c>
      <c r="I305" s="79">
        <f>N305</f>
        <v>0</v>
      </c>
      <c r="J305" s="198">
        <f>SUMIF(Journals!D$14:D$920,TrialBalance!P305,Journals!J$14:J$920)+SUMIF(Journals!E$14:E$920,TrialBalance!P305,Journals!J$14:J$920)</f>
        <v>0</v>
      </c>
      <c r="K305" s="253"/>
      <c r="L305" s="255">
        <f t="shared" si="75"/>
        <v>0</v>
      </c>
      <c r="M305" s="75"/>
      <c r="N305" s="48">
        <f t="shared" si="76"/>
        <v>0</v>
      </c>
      <c r="P305" s="140" t="str">
        <f t="shared" si="77"/>
        <v>7100/052</v>
      </c>
      <c r="Q305" s="70"/>
      <c r="R305" s="31"/>
      <c r="S305" s="71"/>
      <c r="T305" s="51"/>
      <c r="U305" s="31"/>
    </row>
    <row r="306" spans="1:21" x14ac:dyDescent="0.2">
      <c r="A306" s="238"/>
      <c r="B306" s="90" t="s">
        <v>849</v>
      </c>
      <c r="C306" s="249"/>
      <c r="D306" s="250"/>
      <c r="E306" s="251"/>
      <c r="F306" s="132">
        <f>TrialBalanceA!I306-TrialBalanceA!K306</f>
        <v>0</v>
      </c>
      <c r="G306" s="132">
        <f>TrialBalanceB!I306-TrialBalanceB!K306</f>
        <v>0</v>
      </c>
      <c r="H306" s="132">
        <f>TrialBalanceC!I306-TrialBalanceC!K306</f>
        <v>0</v>
      </c>
      <c r="I306" s="79">
        <f>N306</f>
        <v>0</v>
      </c>
      <c r="J306" s="198">
        <f>SUMIF(Journals!D$14:D$920,TrialBalance!P306,Journals!J$14:J$920)+SUMIF(Journals!E$14:E$920,TrialBalance!P306,Journals!J$14:J$920)</f>
        <v>0</v>
      </c>
      <c r="K306" s="253"/>
      <c r="L306" s="255">
        <f t="shared" si="75"/>
        <v>0</v>
      </c>
      <c r="M306" s="75"/>
      <c r="N306" s="48">
        <f t="shared" si="76"/>
        <v>0</v>
      </c>
      <c r="P306" s="140" t="str">
        <f t="shared" si="77"/>
        <v>7100/053</v>
      </c>
      <c r="Q306" s="70"/>
      <c r="R306" s="31"/>
      <c r="S306" s="71"/>
      <c r="T306" s="51"/>
      <c r="U306" s="31"/>
    </row>
    <row r="307" spans="1:21" x14ac:dyDescent="0.2">
      <c r="A307" s="238"/>
      <c r="B307" s="54" t="s">
        <v>439</v>
      </c>
      <c r="C307" s="240" t="s">
        <v>440</v>
      </c>
      <c r="D307" s="250"/>
      <c r="E307" s="251"/>
      <c r="F307" s="132"/>
      <c r="G307" s="132"/>
      <c r="H307" s="132"/>
      <c r="I307" s="79"/>
      <c r="J307" s="198">
        <f>SUMIF(Journals!D$14:D$920,TrialBalance!P307,Journals!J$14:J$920)+SUMIF(Journals!E$14:E$920,TrialBalance!P307,Journals!J$14:J$920)</f>
        <v>0</v>
      </c>
      <c r="K307" s="253"/>
      <c r="L307" s="255">
        <f t="shared" si="70"/>
        <v>0</v>
      </c>
      <c r="M307" s="75"/>
      <c r="N307" s="48">
        <f t="shared" si="71"/>
        <v>0</v>
      </c>
      <c r="P307" s="140" t="str">
        <f t="shared" si="69"/>
        <v>7100/100LISTED INVESTMENTS</v>
      </c>
      <c r="Q307" s="70"/>
      <c r="R307" s="31"/>
      <c r="S307" s="71"/>
      <c r="T307" s="51"/>
      <c r="U307" s="31"/>
    </row>
    <row r="308" spans="1:21" x14ac:dyDescent="0.2">
      <c r="A308" s="238"/>
      <c r="B308" s="54" t="s">
        <v>441</v>
      </c>
      <c r="C308" s="249"/>
      <c r="D308" s="250"/>
      <c r="E308" s="251"/>
      <c r="F308" s="132">
        <f>TrialBalanceA!I308-TrialBalanceA!K308</f>
        <v>0</v>
      </c>
      <c r="G308" s="132">
        <f>TrialBalanceB!I308-TrialBalanceB!K308</f>
        <v>0</v>
      </c>
      <c r="H308" s="132">
        <f>TrialBalanceC!I308-TrialBalanceC!K308</f>
        <v>0</v>
      </c>
      <c r="I308" s="79">
        <f>N308</f>
        <v>0</v>
      </c>
      <c r="J308" s="198">
        <f>SUMIF(Journals!D$14:D$920,TrialBalance!P308,Journals!J$14:J$920)+SUMIF(Journals!E$14:E$920,TrialBalance!P308,Journals!J$14:J$920)</f>
        <v>0</v>
      </c>
      <c r="K308" s="253"/>
      <c r="L308" s="255">
        <f t="shared" si="70"/>
        <v>0</v>
      </c>
      <c r="M308" s="75"/>
      <c r="N308" s="48">
        <f t="shared" si="71"/>
        <v>0</v>
      </c>
      <c r="P308" s="140" t="str">
        <f t="shared" si="69"/>
        <v>7100/101</v>
      </c>
      <c r="Q308" s="70"/>
      <c r="R308" s="31"/>
      <c r="S308" s="71"/>
      <c r="T308" s="51"/>
      <c r="U308" s="31"/>
    </row>
    <row r="309" spans="1:21" x14ac:dyDescent="0.2">
      <c r="A309" s="238"/>
      <c r="B309" s="54" t="s">
        <v>442</v>
      </c>
      <c r="C309" s="249"/>
      <c r="D309" s="250"/>
      <c r="E309" s="251"/>
      <c r="F309" s="132">
        <f>TrialBalanceA!I309-TrialBalanceA!K309</f>
        <v>0</v>
      </c>
      <c r="G309" s="132">
        <f>TrialBalanceB!I309-TrialBalanceB!K309</f>
        <v>0</v>
      </c>
      <c r="H309" s="132">
        <f>TrialBalanceC!I309-TrialBalanceC!K309</f>
        <v>0</v>
      </c>
      <c r="I309" s="79">
        <f>N309</f>
        <v>0</v>
      </c>
      <c r="J309" s="198">
        <f>SUMIF(Journals!D$14:D$920,TrialBalance!P309,Journals!J$14:J$920)+SUMIF(Journals!E$14:E$920,TrialBalance!P309,Journals!J$14:J$920)</f>
        <v>0</v>
      </c>
      <c r="K309" s="253"/>
      <c r="L309" s="255">
        <f t="shared" si="70"/>
        <v>0</v>
      </c>
      <c r="M309" s="75"/>
      <c r="N309" s="48">
        <f t="shared" si="71"/>
        <v>0</v>
      </c>
      <c r="P309" s="140" t="str">
        <f t="shared" si="69"/>
        <v>7100/102</v>
      </c>
      <c r="Q309" s="70"/>
      <c r="R309" s="31"/>
      <c r="S309" s="71"/>
      <c r="T309" s="51"/>
      <c r="U309" s="31"/>
    </row>
    <row r="310" spans="1:21" x14ac:dyDescent="0.2">
      <c r="A310" s="238"/>
      <c r="B310" s="54" t="s">
        <v>443</v>
      </c>
      <c r="C310" s="249"/>
      <c r="D310" s="250"/>
      <c r="E310" s="251"/>
      <c r="F310" s="132">
        <f>TrialBalanceA!I310-TrialBalanceA!K310</f>
        <v>0</v>
      </c>
      <c r="G310" s="132">
        <f>TrialBalanceB!I310-TrialBalanceB!K310</f>
        <v>0</v>
      </c>
      <c r="H310" s="132">
        <f>TrialBalanceC!I310-TrialBalanceC!K310</f>
        <v>0</v>
      </c>
      <c r="I310" s="79">
        <f>N310</f>
        <v>0</v>
      </c>
      <c r="J310" s="198">
        <f>SUMIF(Journals!D$14:D$920,TrialBalance!P310,Journals!J$14:J$920)+SUMIF(Journals!E$14:E$920,TrialBalance!P310,Journals!J$14:J$920)</f>
        <v>0</v>
      </c>
      <c r="K310" s="253"/>
      <c r="L310" s="255">
        <f t="shared" si="70"/>
        <v>0</v>
      </c>
      <c r="M310" s="75"/>
      <c r="N310" s="48">
        <f t="shared" si="71"/>
        <v>0</v>
      </c>
      <c r="P310" s="140" t="str">
        <f t="shared" si="69"/>
        <v>7100/103</v>
      </c>
      <c r="Q310" s="70"/>
      <c r="R310" s="31"/>
      <c r="S310" s="71"/>
      <c r="T310" s="51"/>
      <c r="U310" s="31"/>
    </row>
    <row r="311" spans="1:21" x14ac:dyDescent="0.2">
      <c r="A311" s="238"/>
      <c r="B311" s="54" t="s">
        <v>444</v>
      </c>
      <c r="C311" s="249"/>
      <c r="D311" s="250"/>
      <c r="E311" s="251"/>
      <c r="F311" s="132">
        <f>TrialBalanceA!I311-TrialBalanceA!K311</f>
        <v>0</v>
      </c>
      <c r="G311" s="132">
        <f>TrialBalanceB!I311-TrialBalanceB!K311</f>
        <v>0</v>
      </c>
      <c r="H311" s="132">
        <f>TrialBalanceC!I311-TrialBalanceC!K311</f>
        <v>0</v>
      </c>
      <c r="I311" s="79">
        <f>N311</f>
        <v>0</v>
      </c>
      <c r="J311" s="198">
        <f>SUMIF(Journals!D$14:D$920,TrialBalance!P311,Journals!J$14:J$920)+SUMIF(Journals!E$14:E$920,TrialBalance!P311,Journals!J$14:J$920)</f>
        <v>0</v>
      </c>
      <c r="K311" s="253"/>
      <c r="L311" s="255">
        <f t="shared" si="70"/>
        <v>0</v>
      </c>
      <c r="M311" s="75"/>
      <c r="N311" s="48">
        <f t="shared" si="71"/>
        <v>0</v>
      </c>
      <c r="P311" s="140" t="str">
        <f t="shared" si="69"/>
        <v>7100/104</v>
      </c>
      <c r="Q311" s="70"/>
      <c r="R311" s="31"/>
      <c r="S311" s="71"/>
      <c r="T311" s="51"/>
      <c r="U311" s="31"/>
    </row>
    <row r="312" spans="1:21" x14ac:dyDescent="0.2">
      <c r="A312" s="238"/>
      <c r="B312" s="54" t="s">
        <v>445</v>
      </c>
      <c r="C312" s="249"/>
      <c r="D312" s="250"/>
      <c r="E312" s="251"/>
      <c r="F312" s="132">
        <f>TrialBalanceA!I312-TrialBalanceA!K312</f>
        <v>0</v>
      </c>
      <c r="G312" s="132">
        <f>TrialBalanceB!I312-TrialBalanceB!K312</f>
        <v>0</v>
      </c>
      <c r="H312" s="132">
        <f>TrialBalanceC!I312-TrialBalanceC!K312</f>
        <v>0</v>
      </c>
      <c r="I312" s="79">
        <f>N312</f>
        <v>0</v>
      </c>
      <c r="J312" s="198">
        <f>SUMIF(Journals!D$14:D$920,TrialBalance!P312,Journals!J$14:J$920)+SUMIF(Journals!E$14:E$920,TrialBalance!P312,Journals!J$14:J$920)</f>
        <v>0</v>
      </c>
      <c r="K312" s="253"/>
      <c r="L312" s="255">
        <f t="shared" si="70"/>
        <v>0</v>
      </c>
      <c r="M312" s="75"/>
      <c r="N312" s="48">
        <f t="shared" si="71"/>
        <v>0</v>
      </c>
      <c r="P312" s="140" t="str">
        <f t="shared" si="69"/>
        <v>7100/105</v>
      </c>
      <c r="Q312" s="70"/>
      <c r="R312" s="31"/>
      <c r="S312" s="71"/>
      <c r="T312" s="51"/>
      <c r="U312" s="31"/>
    </row>
    <row r="313" spans="1:21" x14ac:dyDescent="0.2">
      <c r="A313" s="238"/>
      <c r="B313" s="54" t="s">
        <v>446</v>
      </c>
      <c r="C313" s="242" t="s">
        <v>347</v>
      </c>
      <c r="D313" s="250"/>
      <c r="E313" s="251"/>
      <c r="F313" s="132"/>
      <c r="G313" s="132"/>
      <c r="H313" s="132"/>
      <c r="I313" s="79"/>
      <c r="J313" s="198">
        <f>SUMIF(Journals!D$14:D$920,TrialBalance!P313,Journals!J$14:J$920)+SUMIF(Journals!E$14:E$920,TrialBalance!P313,Journals!J$14:J$920)</f>
        <v>0</v>
      </c>
      <c r="K313" s="253"/>
      <c r="L313" s="255">
        <f t="shared" si="70"/>
        <v>0</v>
      </c>
      <c r="M313" s="75"/>
      <c r="N313" s="48">
        <f t="shared" si="71"/>
        <v>0</v>
      </c>
      <c r="P313" s="140" t="str">
        <f t="shared" si="69"/>
        <v>7100/200OTHER INVESTMENTS</v>
      </c>
      <c r="Q313" s="70"/>
      <c r="R313" s="31"/>
      <c r="S313" s="71"/>
      <c r="T313" s="51"/>
      <c r="U313" s="31"/>
    </row>
    <row r="314" spans="1:21" x14ac:dyDescent="0.2">
      <c r="A314" s="238"/>
      <c r="B314" s="54" t="s">
        <v>447</v>
      </c>
      <c r="C314" s="249"/>
      <c r="D314" s="250"/>
      <c r="E314" s="251"/>
      <c r="F314" s="132">
        <f>TrialBalanceA!I314-TrialBalanceA!K314</f>
        <v>0</v>
      </c>
      <c r="G314" s="132">
        <f>TrialBalanceB!I314-TrialBalanceB!K314</f>
        <v>0</v>
      </c>
      <c r="H314" s="132">
        <f>TrialBalanceC!I314-TrialBalanceC!K314</f>
        <v>0</v>
      </c>
      <c r="I314" s="79">
        <f>N314</f>
        <v>0</v>
      </c>
      <c r="J314" s="198">
        <f>SUMIF(Journals!D$14:D$920,TrialBalance!P314,Journals!J$14:J$920)+SUMIF(Journals!E$14:E$920,TrialBalance!P314,Journals!J$14:J$920)</f>
        <v>0</v>
      </c>
      <c r="K314" s="253"/>
      <c r="L314" s="255">
        <f t="shared" si="70"/>
        <v>0</v>
      </c>
      <c r="M314" s="75"/>
      <c r="N314" s="48">
        <f t="shared" si="71"/>
        <v>0</v>
      </c>
      <c r="P314" s="140" t="str">
        <f t="shared" si="69"/>
        <v>7100/201</v>
      </c>
      <c r="Q314" s="70"/>
      <c r="R314" s="31"/>
      <c r="S314" s="71"/>
      <c r="T314" s="51"/>
      <c r="U314" s="31"/>
    </row>
    <row r="315" spans="1:21" x14ac:dyDescent="0.2">
      <c r="A315" s="238"/>
      <c r="B315" s="54" t="s">
        <v>448</v>
      </c>
      <c r="C315" s="249"/>
      <c r="D315" s="250"/>
      <c r="E315" s="251"/>
      <c r="F315" s="132">
        <f>TrialBalanceA!I315-TrialBalanceA!K315</f>
        <v>0</v>
      </c>
      <c r="G315" s="132">
        <f>TrialBalanceB!I315-TrialBalanceB!K315</f>
        <v>0</v>
      </c>
      <c r="H315" s="132">
        <f>TrialBalanceC!I315-TrialBalanceC!K315</f>
        <v>0</v>
      </c>
      <c r="I315" s="79">
        <f>N315</f>
        <v>0</v>
      </c>
      <c r="J315" s="198">
        <f>SUMIF(Journals!D$14:D$920,TrialBalance!P315,Journals!J$14:J$920)+SUMIF(Journals!E$14:E$920,TrialBalance!P315,Journals!J$14:J$920)</f>
        <v>0</v>
      </c>
      <c r="K315" s="253"/>
      <c r="L315" s="255">
        <f t="shared" si="70"/>
        <v>0</v>
      </c>
      <c r="M315" s="75"/>
      <c r="N315" s="48">
        <f t="shared" si="71"/>
        <v>0</v>
      </c>
      <c r="P315" s="140" t="str">
        <f t="shared" si="69"/>
        <v>7100/202</v>
      </c>
      <c r="Q315" s="70"/>
      <c r="R315" s="31"/>
      <c r="S315" s="71"/>
      <c r="T315" s="51"/>
      <c r="U315" s="31"/>
    </row>
    <row r="316" spans="1:21" x14ac:dyDescent="0.2">
      <c r="A316" s="238"/>
      <c r="B316" s="54" t="s">
        <v>449</v>
      </c>
      <c r="C316" s="249"/>
      <c r="D316" s="250"/>
      <c r="E316" s="251"/>
      <c r="F316" s="132">
        <f>TrialBalanceA!I316-TrialBalanceA!K316</f>
        <v>0</v>
      </c>
      <c r="G316" s="132">
        <f>TrialBalanceB!I316-TrialBalanceB!K316</f>
        <v>0</v>
      </c>
      <c r="H316" s="132">
        <f>TrialBalanceC!I316-TrialBalanceC!K316</f>
        <v>0</v>
      </c>
      <c r="I316" s="79">
        <f>N316</f>
        <v>0</v>
      </c>
      <c r="J316" s="198">
        <f>SUMIF(Journals!D$14:D$920,TrialBalance!P316,Journals!J$14:J$920)+SUMIF(Journals!E$14:E$920,TrialBalance!P316,Journals!J$14:J$920)</f>
        <v>0</v>
      </c>
      <c r="K316" s="253"/>
      <c r="L316" s="255">
        <f t="shared" si="70"/>
        <v>0</v>
      </c>
      <c r="M316" s="75"/>
      <c r="N316" s="48">
        <f t="shared" si="71"/>
        <v>0</v>
      </c>
      <c r="P316" s="140" t="str">
        <f t="shared" si="69"/>
        <v>7100/203</v>
      </c>
      <c r="Q316" s="70"/>
      <c r="R316" s="31"/>
      <c r="S316" s="71"/>
      <c r="T316" s="51"/>
      <c r="U316" s="31"/>
    </row>
    <row r="317" spans="1:21" x14ac:dyDescent="0.2">
      <c r="A317" s="238"/>
      <c r="B317" s="54" t="s">
        <v>450</v>
      </c>
      <c r="C317" s="249"/>
      <c r="D317" s="250"/>
      <c r="E317" s="251"/>
      <c r="F317" s="132">
        <f>TrialBalanceA!I317-TrialBalanceA!K317</f>
        <v>0</v>
      </c>
      <c r="G317" s="132">
        <f>TrialBalanceB!I317-TrialBalanceB!K317</f>
        <v>0</v>
      </c>
      <c r="H317" s="132">
        <f>TrialBalanceC!I317-TrialBalanceC!K317</f>
        <v>0</v>
      </c>
      <c r="I317" s="79">
        <f>N317</f>
        <v>0</v>
      </c>
      <c r="J317" s="198">
        <f>SUMIF(Journals!D$14:D$920,TrialBalance!P317,Journals!J$14:J$920)+SUMIF(Journals!E$14:E$920,TrialBalance!P317,Journals!J$14:J$920)</f>
        <v>0</v>
      </c>
      <c r="K317" s="253"/>
      <c r="L317" s="255">
        <f t="shared" si="70"/>
        <v>0</v>
      </c>
      <c r="M317" s="75"/>
      <c r="N317" s="48">
        <f t="shared" si="71"/>
        <v>0</v>
      </c>
      <c r="P317" s="140" t="str">
        <f t="shared" si="69"/>
        <v>7100/204</v>
      </c>
      <c r="Q317" s="70"/>
      <c r="R317" s="31"/>
      <c r="S317" s="71"/>
      <c r="T317" s="51"/>
      <c r="U317" s="31"/>
    </row>
    <row r="318" spans="1:21" x14ac:dyDescent="0.2">
      <c r="A318" s="238"/>
      <c r="B318" s="54" t="s">
        <v>142</v>
      </c>
      <c r="C318" s="249"/>
      <c r="D318" s="250"/>
      <c r="E318" s="251"/>
      <c r="F318" s="132">
        <f>TrialBalanceA!I318-TrialBalanceA!K318</f>
        <v>0</v>
      </c>
      <c r="G318" s="132">
        <f>TrialBalanceB!I318-TrialBalanceB!K318</f>
        <v>0</v>
      </c>
      <c r="H318" s="132">
        <f>TrialBalanceC!I318-TrialBalanceC!K318</f>
        <v>0</v>
      </c>
      <c r="I318" s="79">
        <f>N318</f>
        <v>0</v>
      </c>
      <c r="J318" s="198">
        <f>SUMIF(Journals!D$14:D$920,TrialBalance!P318,Journals!J$14:J$920)+SUMIF(Journals!E$14:E$920,TrialBalance!P318,Journals!J$14:J$920)</f>
        <v>0</v>
      </c>
      <c r="K318" s="253"/>
      <c r="L318" s="255">
        <f t="shared" si="70"/>
        <v>0</v>
      </c>
      <c r="M318" s="75"/>
      <c r="N318" s="48">
        <f t="shared" si="71"/>
        <v>0</v>
      </c>
      <c r="P318" s="140" t="str">
        <f t="shared" si="69"/>
        <v>7100/205</v>
      </c>
      <c r="Q318" s="70"/>
      <c r="R318" s="31"/>
      <c r="S318" s="71"/>
      <c r="T318" s="51"/>
      <c r="U318" s="31"/>
    </row>
    <row r="319" spans="1:21" x14ac:dyDescent="0.2">
      <c r="A319" s="238"/>
      <c r="B319" s="54" t="s">
        <v>143</v>
      </c>
      <c r="C319" s="242" t="s">
        <v>687</v>
      </c>
      <c r="D319" s="250"/>
      <c r="E319" s="251"/>
      <c r="F319" s="132"/>
      <c r="G319" s="132"/>
      <c r="H319" s="132"/>
      <c r="I319" s="79"/>
      <c r="J319" s="198">
        <f>SUMIF(Journals!D$14:D$920,TrialBalance!P319,Journals!J$14:J$920)+SUMIF(Journals!E$14:E$920,TrialBalance!P319,Journals!J$14:J$920)</f>
        <v>0</v>
      </c>
      <c r="K319" s="253"/>
      <c r="L319" s="255">
        <f t="shared" si="70"/>
        <v>0</v>
      </c>
      <c r="M319" s="75"/>
      <c r="N319" s="48">
        <f t="shared" si="71"/>
        <v>0</v>
      </c>
      <c r="P319" s="140" t="str">
        <f t="shared" si="69"/>
        <v>7450/000CONNECTED ENTITIES LOANS</v>
      </c>
      <c r="Q319" s="70"/>
      <c r="R319" s="31"/>
      <c r="S319" s="71"/>
      <c r="T319" s="51"/>
      <c r="U319" s="31"/>
    </row>
    <row r="320" spans="1:21" x14ac:dyDescent="0.2">
      <c r="A320" s="238"/>
      <c r="B320" s="54" t="s">
        <v>143</v>
      </c>
      <c r="C320" s="242" t="s">
        <v>637</v>
      </c>
      <c r="D320" s="250"/>
      <c r="E320" s="251"/>
      <c r="F320" s="132"/>
      <c r="G320" s="132"/>
      <c r="H320" s="132"/>
      <c r="I320" s="79"/>
      <c r="J320" s="198">
        <f>SUMIF(Journals!D$14:D$920,TrialBalance!P320,Journals!J$14:J$920)+SUMIF(Journals!E$14:E$920,TrialBalance!P320,Journals!J$14:J$920)</f>
        <v>0</v>
      </c>
      <c r="K320" s="253"/>
      <c r="L320" s="255">
        <f t="shared" ref="L320" si="78">ROUND(D320-E320+F320+G320+H320+J320+I320,0)</f>
        <v>0</v>
      </c>
      <c r="M320" s="75"/>
      <c r="N320" s="48">
        <f t="shared" si="71"/>
        <v>0</v>
      </c>
      <c r="P320" s="140" t="str">
        <f t="shared" si="69"/>
        <v>7450/000Interest bearing</v>
      </c>
      <c r="Q320" s="70"/>
      <c r="R320" s="31"/>
      <c r="S320" s="71"/>
      <c r="T320" s="51"/>
      <c r="U320" s="31"/>
    </row>
    <row r="321" spans="1:21" x14ac:dyDescent="0.2">
      <c r="A321" s="238"/>
      <c r="B321" s="54" t="s">
        <v>144</v>
      </c>
      <c r="C321" s="249"/>
      <c r="D321" s="250"/>
      <c r="E321" s="251"/>
      <c r="F321" s="132">
        <f>TrialBalanceA!I321-TrialBalanceA!K321</f>
        <v>0</v>
      </c>
      <c r="G321" s="132">
        <f>TrialBalanceB!I321-TrialBalanceB!K321</f>
        <v>0</v>
      </c>
      <c r="H321" s="132">
        <f>TrialBalanceC!I321-TrialBalanceC!K321</f>
        <v>0</v>
      </c>
      <c r="I321" s="79">
        <f>N321</f>
        <v>0</v>
      </c>
      <c r="J321" s="198">
        <f>SUMIF(Journals!D$14:D$920,TrialBalance!P321,Journals!J$14:J$920)+SUMIF(Journals!E$14:E$920,TrialBalance!P321,Journals!J$14:J$920)</f>
        <v>0</v>
      </c>
      <c r="K321" s="253"/>
      <c r="L321" s="255">
        <f>ROUND(D321-E321+F321+G321+H321+J321+I321,0)</f>
        <v>0</v>
      </c>
      <c r="M321" s="75"/>
      <c r="N321" s="48">
        <f t="shared" si="71"/>
        <v>0</v>
      </c>
      <c r="P321" s="140" t="str">
        <f t="shared" si="69"/>
        <v>7450/001</v>
      </c>
      <c r="Q321" s="70"/>
      <c r="R321" s="31"/>
      <c r="S321" s="71"/>
      <c r="T321" s="51"/>
      <c r="U321" s="31"/>
    </row>
    <row r="322" spans="1:21" x14ac:dyDescent="0.2">
      <c r="A322" s="238"/>
      <c r="B322" s="54" t="s">
        <v>145</v>
      </c>
      <c r="C322" s="249"/>
      <c r="D322" s="250"/>
      <c r="E322" s="251"/>
      <c r="F322" s="132">
        <f>TrialBalanceA!I322-TrialBalanceA!K322</f>
        <v>0</v>
      </c>
      <c r="G322" s="132">
        <f>TrialBalanceB!I322-TrialBalanceB!K322</f>
        <v>0</v>
      </c>
      <c r="H322" s="132">
        <f>TrialBalanceC!I322-TrialBalanceC!K322</f>
        <v>0</v>
      </c>
      <c r="I322" s="79">
        <f t="shared" ref="I322:I323" si="79">N322</f>
        <v>0</v>
      </c>
      <c r="J322" s="198">
        <f>SUMIF(Journals!D$14:D$920,TrialBalance!P322,Journals!J$14:J$920)+SUMIF(Journals!E$14:E$920,TrialBalance!P322,Journals!J$14:J$920)</f>
        <v>0</v>
      </c>
      <c r="K322" s="253"/>
      <c r="L322" s="255">
        <f t="shared" ref="L322:L323" si="80">ROUND(D322-E322+F322+G322+H322+J322+I322,0)</f>
        <v>0</v>
      </c>
      <c r="M322" s="75"/>
      <c r="N322" s="48">
        <f t="shared" ref="N322:N323" si="81">ROUND(SUM(A322),0)</f>
        <v>0</v>
      </c>
      <c r="P322" s="140" t="str">
        <f t="shared" ref="P322:P323" si="82">CONCATENATE(B322,C322)</f>
        <v>7450/002</v>
      </c>
      <c r="Q322" s="70"/>
      <c r="R322" s="31"/>
      <c r="S322" s="71"/>
      <c r="T322" s="51"/>
      <c r="U322" s="31"/>
    </row>
    <row r="323" spans="1:21" x14ac:dyDescent="0.2">
      <c r="A323" s="238"/>
      <c r="B323" s="90" t="s">
        <v>146</v>
      </c>
      <c r="C323" s="249"/>
      <c r="D323" s="250"/>
      <c r="E323" s="251"/>
      <c r="F323" s="132">
        <f>TrialBalanceA!I323-TrialBalanceA!K323</f>
        <v>0</v>
      </c>
      <c r="G323" s="132">
        <f>TrialBalanceB!I323-TrialBalanceB!K323</f>
        <v>0</v>
      </c>
      <c r="H323" s="132">
        <f>TrialBalanceC!I323-TrialBalanceC!K323</f>
        <v>0</v>
      </c>
      <c r="I323" s="79">
        <f t="shared" si="79"/>
        <v>0</v>
      </c>
      <c r="J323" s="198">
        <f>SUMIF(Journals!D$14:D$920,TrialBalance!P323,Journals!J$14:J$920)+SUMIF(Journals!E$14:E$920,TrialBalance!P323,Journals!J$14:J$920)</f>
        <v>0</v>
      </c>
      <c r="K323" s="253"/>
      <c r="L323" s="255">
        <f t="shared" si="80"/>
        <v>0</v>
      </c>
      <c r="M323" s="75"/>
      <c r="N323" s="48">
        <f t="shared" si="81"/>
        <v>0</v>
      </c>
      <c r="P323" s="140" t="str">
        <f t="shared" si="82"/>
        <v>7450/003</v>
      </c>
      <c r="Q323" s="70"/>
      <c r="R323" s="31"/>
      <c r="S323" s="71"/>
      <c r="T323" s="51"/>
      <c r="U323" s="31"/>
    </row>
    <row r="324" spans="1:21" x14ac:dyDescent="0.2">
      <c r="A324" s="238"/>
      <c r="B324" s="90" t="s">
        <v>396</v>
      </c>
      <c r="C324" s="249"/>
      <c r="D324" s="250"/>
      <c r="E324" s="251"/>
      <c r="F324" s="132">
        <f>TrialBalanceA!I324-TrialBalanceA!K324</f>
        <v>0</v>
      </c>
      <c r="G324" s="132">
        <f>TrialBalanceB!I324-TrialBalanceB!K324</f>
        <v>0</v>
      </c>
      <c r="H324" s="132">
        <f>TrialBalanceC!I324-TrialBalanceC!K324</f>
        <v>0</v>
      </c>
      <c r="I324" s="79">
        <f t="shared" ref="I324:I329" si="83">N324</f>
        <v>0</v>
      </c>
      <c r="J324" s="198">
        <f>SUMIF(Journals!D$14:D$920,TrialBalance!P324,Journals!J$14:J$920)+SUMIF(Journals!E$14:E$920,TrialBalance!P324,Journals!J$14:J$920)</f>
        <v>0</v>
      </c>
      <c r="K324" s="253"/>
      <c r="L324" s="255">
        <f t="shared" ref="L324:L329" si="84">ROUND(D324-E324+F324+G324+H324+J324+I324,0)</f>
        <v>0</v>
      </c>
      <c r="M324" s="75"/>
      <c r="N324" s="48">
        <f t="shared" ref="N324:N329" si="85">ROUND(SUM(A324),0)</f>
        <v>0</v>
      </c>
      <c r="P324" s="140" t="str">
        <f t="shared" ref="P324:P329" si="86">CONCATENATE(B324,C324)</f>
        <v>7450/004</v>
      </c>
      <c r="Q324" s="70"/>
      <c r="R324" s="31"/>
      <c r="S324" s="71"/>
      <c r="T324" s="51"/>
      <c r="U324" s="31"/>
    </row>
    <row r="325" spans="1:21" x14ac:dyDescent="0.2">
      <c r="A325" s="238"/>
      <c r="B325" s="90" t="s">
        <v>265</v>
      </c>
      <c r="C325" s="249"/>
      <c r="D325" s="250"/>
      <c r="E325" s="251"/>
      <c r="F325" s="132">
        <f>TrialBalanceA!I325-TrialBalanceA!K325</f>
        <v>0</v>
      </c>
      <c r="G325" s="132">
        <f>TrialBalanceB!I325-TrialBalanceB!K325</f>
        <v>0</v>
      </c>
      <c r="H325" s="132">
        <f>TrialBalanceC!I325-TrialBalanceC!K325</f>
        <v>0</v>
      </c>
      <c r="I325" s="79">
        <f t="shared" si="83"/>
        <v>0</v>
      </c>
      <c r="J325" s="198">
        <f>SUMIF(Journals!D$14:D$920,TrialBalance!P325,Journals!J$14:J$920)+SUMIF(Journals!E$14:E$920,TrialBalance!P325,Journals!J$14:J$920)</f>
        <v>0</v>
      </c>
      <c r="K325" s="253"/>
      <c r="L325" s="255">
        <f t="shared" si="84"/>
        <v>0</v>
      </c>
      <c r="M325" s="75"/>
      <c r="N325" s="48">
        <f t="shared" si="85"/>
        <v>0</v>
      </c>
      <c r="P325" s="140" t="str">
        <f t="shared" si="86"/>
        <v>7450/005</v>
      </c>
      <c r="Q325" s="70"/>
      <c r="R325" s="31"/>
      <c r="S325" s="71"/>
      <c r="T325" s="51"/>
      <c r="U325" s="31"/>
    </row>
    <row r="326" spans="1:21" x14ac:dyDescent="0.2">
      <c r="A326" s="238"/>
      <c r="B326" s="90" t="s">
        <v>707</v>
      </c>
      <c r="C326" s="249"/>
      <c r="D326" s="250"/>
      <c r="E326" s="251"/>
      <c r="F326" s="132">
        <f>TrialBalanceA!I326-TrialBalanceA!K326</f>
        <v>0</v>
      </c>
      <c r="G326" s="132">
        <f>TrialBalanceB!I326-TrialBalanceB!K326</f>
        <v>0</v>
      </c>
      <c r="H326" s="132">
        <f>TrialBalanceC!I326-TrialBalanceC!K326</f>
        <v>0</v>
      </c>
      <c r="I326" s="79">
        <f t="shared" si="83"/>
        <v>0</v>
      </c>
      <c r="J326" s="198">
        <f>SUMIF(Journals!D$14:D$920,TrialBalance!P326,Journals!J$14:J$920)+SUMIF(Journals!E$14:E$920,TrialBalance!P326,Journals!J$14:J$920)</f>
        <v>0</v>
      </c>
      <c r="K326" s="253"/>
      <c r="L326" s="255">
        <f t="shared" si="84"/>
        <v>0</v>
      </c>
      <c r="M326" s="75"/>
      <c r="N326" s="48">
        <f t="shared" si="85"/>
        <v>0</v>
      </c>
      <c r="P326" s="140" t="str">
        <f t="shared" si="86"/>
        <v>7450/006</v>
      </c>
      <c r="Q326" s="70"/>
      <c r="R326" s="31"/>
      <c r="S326" s="71"/>
      <c r="T326" s="51"/>
      <c r="U326" s="31"/>
    </row>
    <row r="327" spans="1:21" x14ac:dyDescent="0.2">
      <c r="A327" s="238"/>
      <c r="B327" s="90" t="s">
        <v>795</v>
      </c>
      <c r="C327" s="249"/>
      <c r="D327" s="250"/>
      <c r="E327" s="251"/>
      <c r="F327" s="132">
        <f>TrialBalanceA!I327-TrialBalanceA!K327</f>
        <v>0</v>
      </c>
      <c r="G327" s="132">
        <f>TrialBalanceB!I327-TrialBalanceB!K327</f>
        <v>0</v>
      </c>
      <c r="H327" s="132">
        <f>TrialBalanceC!I327-TrialBalanceC!K327</f>
        <v>0</v>
      </c>
      <c r="I327" s="79">
        <f t="shared" si="83"/>
        <v>0</v>
      </c>
      <c r="J327" s="198">
        <f>SUMIF(Journals!D$14:D$920,TrialBalance!P327,Journals!J$14:J$920)+SUMIF(Journals!E$14:E$920,TrialBalance!P327,Journals!J$14:J$920)</f>
        <v>0</v>
      </c>
      <c r="K327" s="253"/>
      <c r="L327" s="255">
        <f t="shared" si="84"/>
        <v>0</v>
      </c>
      <c r="M327" s="75"/>
      <c r="N327" s="48">
        <f t="shared" si="85"/>
        <v>0</v>
      </c>
      <c r="P327" s="140" t="str">
        <f t="shared" si="86"/>
        <v>7450/007</v>
      </c>
      <c r="Q327" s="70"/>
      <c r="R327" s="31"/>
      <c r="S327" s="71"/>
      <c r="T327" s="51"/>
      <c r="U327" s="31"/>
    </row>
    <row r="328" spans="1:21" x14ac:dyDescent="0.2">
      <c r="A328" s="238"/>
      <c r="B328" s="90" t="s">
        <v>796</v>
      </c>
      <c r="C328" s="249"/>
      <c r="D328" s="250"/>
      <c r="E328" s="251"/>
      <c r="F328" s="132">
        <f>TrialBalanceA!I328-TrialBalanceA!K328</f>
        <v>0</v>
      </c>
      <c r="G328" s="132">
        <f>TrialBalanceB!I328-TrialBalanceB!K328</f>
        <v>0</v>
      </c>
      <c r="H328" s="132">
        <f>TrialBalanceC!I328-TrialBalanceC!K328</f>
        <v>0</v>
      </c>
      <c r="I328" s="79">
        <f t="shared" si="83"/>
        <v>0</v>
      </c>
      <c r="J328" s="198">
        <f>SUMIF(Journals!D$14:D$920,TrialBalance!P328,Journals!J$14:J$920)+SUMIF(Journals!E$14:E$920,TrialBalance!P328,Journals!J$14:J$920)</f>
        <v>0</v>
      </c>
      <c r="K328" s="253"/>
      <c r="L328" s="255">
        <f t="shared" si="84"/>
        <v>0</v>
      </c>
      <c r="M328" s="75"/>
      <c r="N328" s="48">
        <f t="shared" si="85"/>
        <v>0</v>
      </c>
      <c r="P328" s="140" t="str">
        <f t="shared" si="86"/>
        <v>7450/008</v>
      </c>
      <c r="Q328" s="70"/>
      <c r="R328" s="31"/>
      <c r="S328" s="71"/>
      <c r="T328" s="51"/>
      <c r="U328" s="31"/>
    </row>
    <row r="329" spans="1:21" x14ac:dyDescent="0.2">
      <c r="A329" s="238"/>
      <c r="B329" s="90" t="s">
        <v>797</v>
      </c>
      <c r="C329" s="249"/>
      <c r="D329" s="250"/>
      <c r="E329" s="251"/>
      <c r="F329" s="132">
        <f>TrialBalanceA!I329-TrialBalanceA!K329</f>
        <v>0</v>
      </c>
      <c r="G329" s="132">
        <f>TrialBalanceB!I329-TrialBalanceB!K329</f>
        <v>0</v>
      </c>
      <c r="H329" s="132">
        <f>TrialBalanceC!I329-TrialBalanceC!K329</f>
        <v>0</v>
      </c>
      <c r="I329" s="79">
        <f t="shared" si="83"/>
        <v>0</v>
      </c>
      <c r="J329" s="198">
        <f>SUMIF(Journals!D$14:D$920,TrialBalance!P329,Journals!J$14:J$920)+SUMIF(Journals!E$14:E$920,TrialBalance!P329,Journals!J$14:J$920)</f>
        <v>0</v>
      </c>
      <c r="K329" s="253"/>
      <c r="L329" s="255">
        <f t="shared" si="84"/>
        <v>0</v>
      </c>
      <c r="M329" s="75"/>
      <c r="N329" s="48">
        <f t="shared" si="85"/>
        <v>0</v>
      </c>
      <c r="P329" s="140" t="str">
        <f t="shared" si="86"/>
        <v>7450/009</v>
      </c>
      <c r="Q329" s="70"/>
      <c r="R329" s="31"/>
      <c r="S329" s="71"/>
      <c r="T329" s="51"/>
      <c r="U329" s="31"/>
    </row>
    <row r="330" spans="1:21" x14ac:dyDescent="0.2">
      <c r="A330" s="238"/>
      <c r="B330" s="90" t="s">
        <v>798</v>
      </c>
      <c r="C330" s="249"/>
      <c r="D330" s="250"/>
      <c r="E330" s="251"/>
      <c r="F330" s="132">
        <f>TrialBalanceA!I330-TrialBalanceA!K330</f>
        <v>0</v>
      </c>
      <c r="G330" s="132">
        <f>TrialBalanceB!I330-TrialBalanceB!K330</f>
        <v>0</v>
      </c>
      <c r="H330" s="132">
        <f>TrialBalanceC!I330-TrialBalanceC!K330</f>
        <v>0</v>
      </c>
      <c r="I330" s="79">
        <f>N330</f>
        <v>0</v>
      </c>
      <c r="J330" s="198">
        <f>SUMIF(Journals!D$14:D$920,TrialBalance!P330,Journals!J$14:J$920)+SUMIF(Journals!E$14:E$920,TrialBalance!P330,Journals!J$14:J$920)</f>
        <v>0</v>
      </c>
      <c r="K330" s="253"/>
      <c r="L330" s="255">
        <f>ROUND(D330-E330+F330+G330+H330+J330+I330,0)</f>
        <v>0</v>
      </c>
      <c r="M330" s="75"/>
      <c r="N330" s="48">
        <f t="shared" si="71"/>
        <v>0</v>
      </c>
      <c r="P330" s="140" t="str">
        <f t="shared" si="69"/>
        <v>7450/010</v>
      </c>
      <c r="Q330" s="70"/>
      <c r="R330" s="31"/>
      <c r="S330" s="71"/>
      <c r="T330" s="51"/>
      <c r="U330" s="31"/>
    </row>
    <row r="331" spans="1:21" x14ac:dyDescent="0.2">
      <c r="A331" s="238"/>
      <c r="B331" s="90" t="s">
        <v>799</v>
      </c>
      <c r="C331" s="242" t="s">
        <v>636</v>
      </c>
      <c r="D331" s="250"/>
      <c r="E331" s="251"/>
      <c r="F331" s="132"/>
      <c r="G331" s="132"/>
      <c r="H331" s="132"/>
      <c r="I331" s="79"/>
      <c r="J331" s="198">
        <f>SUMIF(Journals!D$14:D$920,TrialBalance!P331,Journals!J$14:J$920)+SUMIF(Journals!E$14:E$920,TrialBalance!P331,Journals!J$14:J$920)</f>
        <v>0</v>
      </c>
      <c r="K331" s="253"/>
      <c r="L331" s="255">
        <f t="shared" ref="L331" si="87">ROUND(D331-E331+F331+G331+H331+J331+I331,0)</f>
        <v>0</v>
      </c>
      <c r="M331" s="75"/>
      <c r="N331" s="48">
        <f t="shared" si="71"/>
        <v>0</v>
      </c>
      <c r="P331" s="140" t="str">
        <f t="shared" si="69"/>
        <v>7455/000Interest free</v>
      </c>
      <c r="Q331" s="70"/>
      <c r="R331" s="31"/>
      <c r="S331" s="71"/>
      <c r="T331" s="51"/>
      <c r="U331" s="31"/>
    </row>
    <row r="332" spans="1:21" x14ac:dyDescent="0.2">
      <c r="A332" s="238"/>
      <c r="B332" s="90" t="s">
        <v>800</v>
      </c>
      <c r="C332" s="249"/>
      <c r="D332" s="250"/>
      <c r="E332" s="251"/>
      <c r="F332" s="132">
        <f>TrialBalanceA!I332-TrialBalanceA!K332</f>
        <v>0</v>
      </c>
      <c r="G332" s="132">
        <f>TrialBalanceB!I332-TrialBalanceB!K332</f>
        <v>0</v>
      </c>
      <c r="H332" s="132">
        <f>TrialBalanceC!I332-TrialBalanceC!K332</f>
        <v>0</v>
      </c>
      <c r="I332" s="79">
        <f>N332</f>
        <v>0</v>
      </c>
      <c r="J332" s="198">
        <f>SUMIF(Journals!D$14:D$920,TrialBalance!P332,Journals!J$14:J$920)+SUMIF(Journals!E$14:E$920,TrialBalance!P332,Journals!J$14:J$920)</f>
        <v>0</v>
      </c>
      <c r="K332" s="253"/>
      <c r="L332" s="255">
        <f t="shared" si="70"/>
        <v>0</v>
      </c>
      <c r="M332" s="75"/>
      <c r="N332" s="48">
        <f t="shared" si="71"/>
        <v>0</v>
      </c>
      <c r="P332" s="140" t="str">
        <f t="shared" si="69"/>
        <v>7455/001</v>
      </c>
      <c r="Q332" s="70"/>
      <c r="R332" s="31"/>
      <c r="S332" s="71"/>
      <c r="T332" s="51"/>
      <c r="U332" s="31"/>
    </row>
    <row r="333" spans="1:21" x14ac:dyDescent="0.2">
      <c r="A333" s="238"/>
      <c r="B333" s="90" t="s">
        <v>801</v>
      </c>
      <c r="C333" s="249"/>
      <c r="D333" s="250"/>
      <c r="E333" s="251"/>
      <c r="F333" s="132">
        <f>TrialBalanceA!I333-TrialBalanceA!K333</f>
        <v>0</v>
      </c>
      <c r="G333" s="132">
        <f>TrialBalanceB!I333-TrialBalanceB!K333</f>
        <v>0</v>
      </c>
      <c r="H333" s="132">
        <f>TrialBalanceC!I333-TrialBalanceC!K333</f>
        <v>0</v>
      </c>
      <c r="I333" s="79">
        <f>N333</f>
        <v>0</v>
      </c>
      <c r="J333" s="198">
        <f>SUMIF(Journals!D$14:D$920,TrialBalance!P333,Journals!J$14:J$920)+SUMIF(Journals!E$14:E$920,TrialBalance!P333,Journals!J$14:J$920)</f>
        <v>0</v>
      </c>
      <c r="K333" s="253"/>
      <c r="L333" s="255">
        <f t="shared" ref="L333" si="88">ROUND(D333-E333+F333+G333+H333+J333+I333,0)</f>
        <v>0</v>
      </c>
      <c r="M333" s="75"/>
      <c r="N333" s="48">
        <f t="shared" ref="N333" si="89">ROUND(SUM(A333),0)</f>
        <v>0</v>
      </c>
      <c r="P333" s="140" t="str">
        <f t="shared" ref="P333" si="90">CONCATENATE(B333,C333)</f>
        <v>7455/002</v>
      </c>
      <c r="Q333" s="70"/>
      <c r="R333" s="31"/>
      <c r="S333" s="71"/>
      <c r="T333" s="51"/>
      <c r="U333" s="31"/>
    </row>
    <row r="334" spans="1:21" x14ac:dyDescent="0.2">
      <c r="A334" s="238"/>
      <c r="B334" s="90" t="s">
        <v>802</v>
      </c>
      <c r="C334" s="249"/>
      <c r="D334" s="250"/>
      <c r="E334" s="251"/>
      <c r="F334" s="132">
        <f>TrialBalanceA!I334-TrialBalanceA!K334</f>
        <v>0</v>
      </c>
      <c r="G334" s="132">
        <f>TrialBalanceB!I334-TrialBalanceB!K334</f>
        <v>0</v>
      </c>
      <c r="H334" s="132">
        <f>TrialBalanceC!I334-TrialBalanceC!K334</f>
        <v>0</v>
      </c>
      <c r="I334" s="79">
        <f>N334</f>
        <v>0</v>
      </c>
      <c r="J334" s="198">
        <f>SUMIF(Journals!D$14:D$920,TrialBalance!P334,Journals!J$14:J$920)+SUMIF(Journals!E$14:E$920,TrialBalance!P334,Journals!J$14:J$920)</f>
        <v>0</v>
      </c>
      <c r="K334" s="253"/>
      <c r="L334" s="255">
        <f>ROUND(D334-E334+F334+G334+H334+J334+I334,0)</f>
        <v>0</v>
      </c>
      <c r="M334" s="75"/>
      <c r="N334" s="48">
        <f t="shared" si="71"/>
        <v>0</v>
      </c>
      <c r="P334" s="140" t="str">
        <f t="shared" si="69"/>
        <v>7455/003</v>
      </c>
      <c r="Q334" s="70"/>
      <c r="R334" s="31"/>
      <c r="S334" s="71"/>
      <c r="T334" s="51"/>
      <c r="U334" s="31"/>
    </row>
    <row r="335" spans="1:21" x14ac:dyDescent="0.2">
      <c r="A335" s="238"/>
      <c r="B335" s="90" t="s">
        <v>803</v>
      </c>
      <c r="C335" s="249"/>
      <c r="D335" s="250"/>
      <c r="E335" s="251"/>
      <c r="F335" s="132">
        <f>TrialBalanceA!I335-TrialBalanceA!K335</f>
        <v>0</v>
      </c>
      <c r="G335" s="132">
        <f>TrialBalanceB!I335-TrialBalanceB!K335</f>
        <v>0</v>
      </c>
      <c r="H335" s="132">
        <f>TrialBalanceC!I335-TrialBalanceC!K335</f>
        <v>0</v>
      </c>
      <c r="I335" s="79">
        <f t="shared" ref="I335:I340" si="91">N335</f>
        <v>0</v>
      </c>
      <c r="J335" s="198">
        <f>SUMIF(Journals!D$14:D$920,TrialBalance!P335,Journals!J$14:J$920)+SUMIF(Journals!E$14:E$920,TrialBalance!P335,Journals!J$14:J$920)</f>
        <v>0</v>
      </c>
      <c r="K335" s="253"/>
      <c r="L335" s="255">
        <f>ROUND(D335-E335+F335+G335+H335+J335+I335,0)</f>
        <v>0</v>
      </c>
      <c r="M335" s="75"/>
      <c r="N335" s="48">
        <f t="shared" ref="N335:N340" si="92">ROUND(SUM(A335),0)</f>
        <v>0</v>
      </c>
      <c r="P335" s="140" t="str">
        <f t="shared" ref="P335:P340" si="93">CONCATENATE(B335,C335)</f>
        <v>7455/004</v>
      </c>
      <c r="Q335" s="70"/>
      <c r="R335" s="31"/>
      <c r="S335" s="71"/>
      <c r="T335" s="51"/>
      <c r="U335" s="31"/>
    </row>
    <row r="336" spans="1:21" x14ac:dyDescent="0.2">
      <c r="A336" s="238"/>
      <c r="B336" s="90" t="s">
        <v>804</v>
      </c>
      <c r="C336" s="249"/>
      <c r="D336" s="250"/>
      <c r="E336" s="251"/>
      <c r="F336" s="132">
        <f>TrialBalanceA!I336-TrialBalanceA!K336</f>
        <v>0</v>
      </c>
      <c r="G336" s="132">
        <f>TrialBalanceB!I336-TrialBalanceB!K336</f>
        <v>0</v>
      </c>
      <c r="H336" s="132">
        <f>TrialBalanceC!I336-TrialBalanceC!K336</f>
        <v>0</v>
      </c>
      <c r="I336" s="79">
        <f t="shared" si="91"/>
        <v>0</v>
      </c>
      <c r="J336" s="198">
        <f>SUMIF(Journals!D$14:D$920,TrialBalance!P336,Journals!J$14:J$920)+SUMIF(Journals!E$14:E$920,TrialBalance!P336,Journals!J$14:J$920)</f>
        <v>0</v>
      </c>
      <c r="K336" s="253"/>
      <c r="L336" s="255">
        <f t="shared" ref="L336:L340" si="94">ROUND(D336-E336+F336+G336+H336+J336+I336,0)</f>
        <v>0</v>
      </c>
      <c r="M336" s="75"/>
      <c r="N336" s="48">
        <f t="shared" si="92"/>
        <v>0</v>
      </c>
      <c r="P336" s="140" t="str">
        <f t="shared" si="93"/>
        <v>7455/005</v>
      </c>
      <c r="Q336" s="70"/>
      <c r="R336" s="31"/>
      <c r="S336" s="71"/>
      <c r="T336" s="51"/>
      <c r="U336" s="31"/>
    </row>
    <row r="337" spans="1:21" x14ac:dyDescent="0.2">
      <c r="A337" s="238"/>
      <c r="B337" s="90" t="s">
        <v>805</v>
      </c>
      <c r="C337" s="249"/>
      <c r="D337" s="250"/>
      <c r="E337" s="251"/>
      <c r="F337" s="132">
        <f>TrialBalanceA!I337-TrialBalanceA!K337</f>
        <v>0</v>
      </c>
      <c r="G337" s="132">
        <f>TrialBalanceB!I337-TrialBalanceB!K337</f>
        <v>0</v>
      </c>
      <c r="H337" s="132">
        <f>TrialBalanceC!I337-TrialBalanceC!K337</f>
        <v>0</v>
      </c>
      <c r="I337" s="79">
        <f t="shared" si="91"/>
        <v>0</v>
      </c>
      <c r="J337" s="198">
        <f>SUMIF(Journals!D$14:D$920,TrialBalance!P337,Journals!J$14:J$920)+SUMIF(Journals!E$14:E$920,TrialBalance!P337,Journals!J$14:J$920)</f>
        <v>0</v>
      </c>
      <c r="K337" s="253"/>
      <c r="L337" s="255">
        <f t="shared" si="94"/>
        <v>0</v>
      </c>
      <c r="M337" s="75"/>
      <c r="N337" s="48">
        <f t="shared" si="92"/>
        <v>0</v>
      </c>
      <c r="P337" s="140" t="str">
        <f t="shared" si="93"/>
        <v>7455/006</v>
      </c>
      <c r="Q337" s="70"/>
      <c r="R337" s="31"/>
      <c r="S337" s="71"/>
      <c r="T337" s="51"/>
      <c r="U337" s="31"/>
    </row>
    <row r="338" spans="1:21" x14ac:dyDescent="0.2">
      <c r="A338" s="238"/>
      <c r="B338" s="90" t="s">
        <v>806</v>
      </c>
      <c r="C338" s="249"/>
      <c r="D338" s="250"/>
      <c r="E338" s="251"/>
      <c r="F338" s="132">
        <f>TrialBalanceA!I338-TrialBalanceA!K338</f>
        <v>0</v>
      </c>
      <c r="G338" s="132">
        <f>TrialBalanceB!I338-TrialBalanceB!K338</f>
        <v>0</v>
      </c>
      <c r="H338" s="132">
        <f>TrialBalanceC!I338-TrialBalanceC!K338</f>
        <v>0</v>
      </c>
      <c r="I338" s="79">
        <f t="shared" si="91"/>
        <v>0</v>
      </c>
      <c r="J338" s="198">
        <f>SUMIF(Journals!D$14:D$920,TrialBalance!P338,Journals!J$14:J$920)+SUMIF(Journals!E$14:E$920,TrialBalance!P338,Journals!J$14:J$920)</f>
        <v>0</v>
      </c>
      <c r="K338" s="253"/>
      <c r="L338" s="255">
        <f t="shared" si="94"/>
        <v>0</v>
      </c>
      <c r="M338" s="75"/>
      <c r="N338" s="48">
        <f t="shared" si="92"/>
        <v>0</v>
      </c>
      <c r="P338" s="140" t="str">
        <f t="shared" si="93"/>
        <v>7455/007</v>
      </c>
      <c r="Q338" s="70"/>
      <c r="R338" s="31"/>
      <c r="S338" s="71"/>
      <c r="T338" s="51"/>
      <c r="U338" s="31"/>
    </row>
    <row r="339" spans="1:21" x14ac:dyDescent="0.2">
      <c r="A339" s="238"/>
      <c r="B339" s="90" t="s">
        <v>807</v>
      </c>
      <c r="C339" s="249"/>
      <c r="D339" s="250"/>
      <c r="E339" s="251"/>
      <c r="F339" s="132">
        <f>TrialBalanceA!I339-TrialBalanceA!K339</f>
        <v>0</v>
      </c>
      <c r="G339" s="132">
        <f>TrialBalanceB!I339-TrialBalanceB!K339</f>
        <v>0</v>
      </c>
      <c r="H339" s="132">
        <f>TrialBalanceC!I339-TrialBalanceC!K339</f>
        <v>0</v>
      </c>
      <c r="I339" s="79">
        <f t="shared" si="91"/>
        <v>0</v>
      </c>
      <c r="J339" s="198">
        <f>SUMIF(Journals!D$14:D$920,TrialBalance!P339,Journals!J$14:J$920)+SUMIF(Journals!E$14:E$920,TrialBalance!P339,Journals!J$14:J$920)</f>
        <v>0</v>
      </c>
      <c r="K339" s="253"/>
      <c r="L339" s="255">
        <f t="shared" si="94"/>
        <v>0</v>
      </c>
      <c r="M339" s="75"/>
      <c r="N339" s="48">
        <f t="shared" si="92"/>
        <v>0</v>
      </c>
      <c r="P339" s="140" t="str">
        <f t="shared" si="93"/>
        <v>7455/008</v>
      </c>
      <c r="Q339" s="70"/>
      <c r="R339" s="31"/>
      <c r="S339" s="71"/>
      <c r="T339" s="51"/>
      <c r="U339" s="31"/>
    </row>
    <row r="340" spans="1:21" x14ac:dyDescent="0.2">
      <c r="A340" s="238"/>
      <c r="B340" s="90" t="s">
        <v>808</v>
      </c>
      <c r="C340" s="249"/>
      <c r="D340" s="250"/>
      <c r="E340" s="251"/>
      <c r="F340" s="132">
        <f>TrialBalanceA!I340-TrialBalanceA!K340</f>
        <v>0</v>
      </c>
      <c r="G340" s="132">
        <f>TrialBalanceB!I340-TrialBalanceB!K340</f>
        <v>0</v>
      </c>
      <c r="H340" s="132">
        <f>TrialBalanceC!I340-TrialBalanceC!K340</f>
        <v>0</v>
      </c>
      <c r="I340" s="79">
        <f t="shared" si="91"/>
        <v>0</v>
      </c>
      <c r="J340" s="198">
        <f>SUMIF(Journals!D$14:D$920,TrialBalance!P340,Journals!J$14:J$920)+SUMIF(Journals!E$14:E$920,TrialBalance!P340,Journals!J$14:J$920)</f>
        <v>0</v>
      </c>
      <c r="K340" s="253"/>
      <c r="L340" s="255">
        <f t="shared" si="94"/>
        <v>0</v>
      </c>
      <c r="M340" s="75"/>
      <c r="N340" s="48">
        <f t="shared" si="92"/>
        <v>0</v>
      </c>
      <c r="P340" s="140" t="str">
        <f t="shared" si="93"/>
        <v>7455/009</v>
      </c>
      <c r="Q340" s="70"/>
      <c r="R340" s="31"/>
      <c r="S340" s="71"/>
      <c r="T340" s="51"/>
      <c r="U340" s="31"/>
    </row>
    <row r="341" spans="1:21" x14ac:dyDescent="0.2">
      <c r="A341" s="238"/>
      <c r="B341" s="90" t="s">
        <v>809</v>
      </c>
      <c r="C341" s="249"/>
      <c r="D341" s="250"/>
      <c r="E341" s="251"/>
      <c r="F341" s="132">
        <f>TrialBalanceA!I341-TrialBalanceA!K341</f>
        <v>0</v>
      </c>
      <c r="G341" s="132">
        <f>TrialBalanceB!I341-TrialBalanceB!K341</f>
        <v>0</v>
      </c>
      <c r="H341" s="132">
        <f>TrialBalanceC!I341-TrialBalanceC!K341</f>
        <v>0</v>
      </c>
      <c r="I341" s="79">
        <f>N341</f>
        <v>0</v>
      </c>
      <c r="J341" s="198">
        <f>SUMIF(Journals!D$14:D$920,TrialBalance!P341,Journals!J$14:J$920)+SUMIF(Journals!E$14:E$920,TrialBalance!P341,Journals!J$14:J$920)</f>
        <v>0</v>
      </c>
      <c r="K341" s="253"/>
      <c r="L341" s="256">
        <f>ROUND(D341-E341+F341+G341+H341+J341+I341,0)</f>
        <v>0</v>
      </c>
      <c r="M341" s="75"/>
      <c r="N341" s="48">
        <f t="shared" si="71"/>
        <v>0</v>
      </c>
      <c r="P341" s="140" t="str">
        <f t="shared" ref="P341:P373" si="95">CONCATENATE(B341,C341)</f>
        <v>7455/010</v>
      </c>
      <c r="Q341" s="70"/>
      <c r="R341" s="31"/>
      <c r="S341" s="71"/>
      <c r="T341" s="51"/>
      <c r="U341" s="31"/>
    </row>
    <row r="342" spans="1:21" x14ac:dyDescent="0.2">
      <c r="A342" s="238"/>
      <c r="B342" s="54" t="s">
        <v>266</v>
      </c>
      <c r="C342" s="241" t="s">
        <v>676</v>
      </c>
      <c r="D342" s="251"/>
      <c r="E342" s="251"/>
      <c r="F342" s="132"/>
      <c r="G342" s="132"/>
      <c r="H342" s="132"/>
      <c r="I342" s="79"/>
      <c r="J342" s="198">
        <f>SUMIF(Journals!D$14:D$920,TrialBalance!P342,Journals!J$14:J$920)+SUMIF(Journals!E$14:E$920,TrialBalance!P342,Journals!J$14:J$920)</f>
        <v>0</v>
      </c>
      <c r="K342" s="254" t="s">
        <v>547</v>
      </c>
      <c r="L342" s="255">
        <f t="shared" si="70"/>
        <v>0</v>
      </c>
      <c r="M342" s="75"/>
      <c r="N342" s="48">
        <f t="shared" si="71"/>
        <v>0</v>
      </c>
      <c r="P342" s="140" t="str">
        <f t="shared" si="95"/>
        <v>7460/000OTHER NON - CURRENT RECEIVABLES</v>
      </c>
      <c r="Q342" s="70"/>
      <c r="R342" s="31"/>
      <c r="S342" s="71"/>
      <c r="T342" s="51"/>
      <c r="U342" s="31"/>
    </row>
    <row r="343" spans="1:21" x14ac:dyDescent="0.2">
      <c r="A343" s="238"/>
      <c r="B343" s="54" t="s">
        <v>266</v>
      </c>
      <c r="C343" s="241" t="s">
        <v>637</v>
      </c>
      <c r="D343" s="251"/>
      <c r="E343" s="251"/>
      <c r="F343" s="132"/>
      <c r="G343" s="132"/>
      <c r="H343" s="132"/>
      <c r="I343" s="79"/>
      <c r="J343" s="198">
        <f>SUMIF(Journals!D$14:D$920,TrialBalance!P343,Journals!J$14:J$920)+SUMIF(Journals!E$14:E$920,TrialBalance!P343,Journals!J$14:J$920)</f>
        <v>0</v>
      </c>
      <c r="K343" s="254"/>
      <c r="L343" s="255">
        <f t="shared" ref="L343" si="96">ROUND(D343-E343+F343+G343+H343+J343+I343,0)</f>
        <v>0</v>
      </c>
      <c r="M343" s="75"/>
      <c r="N343" s="48">
        <f t="shared" si="71"/>
        <v>0</v>
      </c>
      <c r="P343" s="140" t="str">
        <f t="shared" si="95"/>
        <v>7460/000Interest bearing</v>
      </c>
      <c r="Q343" s="70"/>
      <c r="R343" s="31"/>
      <c r="S343" s="71"/>
      <c r="T343" s="51"/>
      <c r="U343" s="31"/>
    </row>
    <row r="344" spans="1:21" x14ac:dyDescent="0.2">
      <c r="A344" s="238"/>
      <c r="B344" s="54" t="s">
        <v>268</v>
      </c>
      <c r="C344" s="249"/>
      <c r="D344" s="251"/>
      <c r="E344" s="251"/>
      <c r="F344" s="132">
        <f>TrialBalanceA!I344-TrialBalanceA!K344</f>
        <v>0</v>
      </c>
      <c r="G344" s="132">
        <f>TrialBalanceB!I344-TrialBalanceB!K344</f>
        <v>0</v>
      </c>
      <c r="H344" s="132">
        <f>TrialBalanceC!I344-TrialBalanceC!K344</f>
        <v>0</v>
      </c>
      <c r="I344" s="79">
        <f t="shared" ref="I344:I353" si="97">N344</f>
        <v>0</v>
      </c>
      <c r="J344" s="198">
        <f>SUMIF(Journals!D$14:D$920,TrialBalance!P344,Journals!J$14:J$920)+SUMIF(Journals!E$14:E$920,TrialBalance!P344,Journals!J$14:J$920)</f>
        <v>0</v>
      </c>
      <c r="K344" s="253"/>
      <c r="L344" s="255">
        <f t="shared" si="70"/>
        <v>0</v>
      </c>
      <c r="M344" s="75"/>
      <c r="N344" s="48">
        <f t="shared" si="71"/>
        <v>0</v>
      </c>
      <c r="P344" s="140" t="str">
        <f t="shared" si="95"/>
        <v>7460/001</v>
      </c>
      <c r="Q344" s="72"/>
      <c r="R344" s="31"/>
      <c r="S344" s="71"/>
      <c r="T344" s="51"/>
      <c r="U344" s="31"/>
    </row>
    <row r="345" spans="1:21" x14ac:dyDescent="0.2">
      <c r="A345" s="238"/>
      <c r="B345" s="54" t="s">
        <v>269</v>
      </c>
      <c r="C345" s="249"/>
      <c r="D345" s="250"/>
      <c r="E345" s="251"/>
      <c r="F345" s="132">
        <f>TrialBalanceA!I345-TrialBalanceA!K345</f>
        <v>0</v>
      </c>
      <c r="G345" s="132">
        <f>TrialBalanceB!I345-TrialBalanceB!K345</f>
        <v>0</v>
      </c>
      <c r="H345" s="132">
        <f>TrialBalanceC!I345-TrialBalanceC!K345</f>
        <v>0</v>
      </c>
      <c r="I345" s="79">
        <f t="shared" si="97"/>
        <v>0</v>
      </c>
      <c r="J345" s="198">
        <f>SUMIF(Journals!D$14:D$920,TrialBalance!P345,Journals!J$14:J$920)+SUMIF(Journals!E$14:E$920,TrialBalance!P345,Journals!J$14:J$920)</f>
        <v>0</v>
      </c>
      <c r="K345" s="253"/>
      <c r="L345" s="255">
        <f t="shared" si="70"/>
        <v>0</v>
      </c>
      <c r="M345" s="75"/>
      <c r="N345" s="48">
        <f t="shared" si="71"/>
        <v>0</v>
      </c>
      <c r="P345" s="140" t="str">
        <f t="shared" si="95"/>
        <v>7460/002</v>
      </c>
      <c r="Q345" s="70"/>
      <c r="R345" s="31"/>
      <c r="S345" s="71"/>
      <c r="T345" s="51"/>
      <c r="U345" s="31"/>
    </row>
    <row r="346" spans="1:21" x14ac:dyDescent="0.2">
      <c r="A346" s="238"/>
      <c r="B346" s="90" t="s">
        <v>270</v>
      </c>
      <c r="C346" s="249"/>
      <c r="D346" s="250"/>
      <c r="E346" s="251"/>
      <c r="F346" s="132">
        <f>TrialBalanceA!I346-TrialBalanceA!K346</f>
        <v>0</v>
      </c>
      <c r="G346" s="132">
        <f>TrialBalanceB!I346-TrialBalanceB!K346</f>
        <v>0</v>
      </c>
      <c r="H346" s="132">
        <f>TrialBalanceC!I346-TrialBalanceC!K346</f>
        <v>0</v>
      </c>
      <c r="I346" s="79">
        <f t="shared" ref="I346" si="98">N346</f>
        <v>0</v>
      </c>
      <c r="J346" s="198">
        <f>SUMIF(Journals!D$14:D$920,TrialBalance!P346,Journals!J$14:J$920)+SUMIF(Journals!E$14:E$920,TrialBalance!P346,Journals!J$14:J$920)</f>
        <v>0</v>
      </c>
      <c r="K346" s="253"/>
      <c r="L346" s="255">
        <f t="shared" ref="L346" si="99">ROUND(D346-E346+F346+G346+H346+J346+I346,0)</f>
        <v>0</v>
      </c>
      <c r="M346" s="75"/>
      <c r="N346" s="48">
        <f t="shared" ref="N346" si="100">ROUND(SUM(A346),0)</f>
        <v>0</v>
      </c>
      <c r="P346" s="140" t="str">
        <f t="shared" ref="P346" si="101">CONCATENATE(B346,C346)</f>
        <v>7460/003</v>
      </c>
      <c r="Q346" s="70"/>
      <c r="R346" s="31"/>
      <c r="S346" s="71"/>
      <c r="T346" s="51"/>
      <c r="U346" s="31"/>
    </row>
    <row r="347" spans="1:21" x14ac:dyDescent="0.2">
      <c r="A347" s="238"/>
      <c r="B347" s="90" t="s">
        <v>599</v>
      </c>
      <c r="C347" s="249"/>
      <c r="D347" s="250"/>
      <c r="E347" s="251"/>
      <c r="F347" s="132">
        <f>TrialBalanceA!I347-TrialBalanceA!K347</f>
        <v>0</v>
      </c>
      <c r="G347" s="132">
        <f>TrialBalanceB!I347-TrialBalanceB!K347</f>
        <v>0</v>
      </c>
      <c r="H347" s="132">
        <f>TrialBalanceC!I347-TrialBalanceC!K347</f>
        <v>0</v>
      </c>
      <c r="I347" s="79">
        <f t="shared" si="97"/>
        <v>0</v>
      </c>
      <c r="J347" s="198">
        <f>SUMIF(Journals!D$14:D$920,TrialBalance!P347,Journals!J$14:J$920)+SUMIF(Journals!E$14:E$920,TrialBalance!P347,Journals!J$14:J$920)</f>
        <v>0</v>
      </c>
      <c r="K347" s="253"/>
      <c r="L347" s="255">
        <f t="shared" si="70"/>
        <v>0</v>
      </c>
      <c r="M347" s="75"/>
      <c r="N347" s="48">
        <f t="shared" si="71"/>
        <v>0</v>
      </c>
      <c r="P347" s="140" t="str">
        <f t="shared" si="95"/>
        <v>7460/004</v>
      </c>
      <c r="Q347" s="70"/>
      <c r="R347" s="31"/>
      <c r="S347" s="71"/>
      <c r="T347" s="51"/>
      <c r="U347" s="31"/>
    </row>
    <row r="348" spans="1:21" x14ac:dyDescent="0.2">
      <c r="A348" s="238"/>
      <c r="B348" s="54" t="s">
        <v>266</v>
      </c>
      <c r="C348" s="242" t="s">
        <v>636</v>
      </c>
      <c r="D348" s="250"/>
      <c r="E348" s="251"/>
      <c r="F348" s="132"/>
      <c r="G348" s="132"/>
      <c r="H348" s="132"/>
      <c r="I348" s="79"/>
      <c r="J348" s="198">
        <f>SUMIF(Journals!D$14:D$920,TrialBalance!P348,Journals!J$14:J$920)+SUMIF(Journals!E$14:E$920,TrialBalance!P348,Journals!J$14:J$920)</f>
        <v>0</v>
      </c>
      <c r="K348" s="253"/>
      <c r="L348" s="255">
        <f t="shared" ref="L348" si="102">ROUND(D348-E348+F348+G348+H348+J348+I348,0)</f>
        <v>0</v>
      </c>
      <c r="M348" s="75"/>
      <c r="N348" s="48">
        <f t="shared" si="71"/>
        <v>0</v>
      </c>
      <c r="P348" s="140" t="str">
        <f t="shared" si="95"/>
        <v>7460/000Interest free</v>
      </c>
      <c r="Q348" s="70"/>
      <c r="R348" s="31"/>
      <c r="S348" s="71"/>
      <c r="T348" s="51"/>
      <c r="U348" s="31"/>
    </row>
    <row r="349" spans="1:21" x14ac:dyDescent="0.2">
      <c r="A349" s="238"/>
      <c r="B349" s="90" t="s">
        <v>599</v>
      </c>
      <c r="C349" s="249"/>
      <c r="D349" s="250"/>
      <c r="E349" s="251"/>
      <c r="F349" s="132">
        <f>TrialBalanceA!I349-TrialBalanceA!K349</f>
        <v>0</v>
      </c>
      <c r="G349" s="132">
        <f>TrialBalanceB!I349-TrialBalanceB!K349</f>
        <v>0</v>
      </c>
      <c r="H349" s="132">
        <f>TrialBalanceC!I349-TrialBalanceC!K349</f>
        <v>0</v>
      </c>
      <c r="I349" s="79">
        <f t="shared" si="97"/>
        <v>0</v>
      </c>
      <c r="J349" s="198">
        <f>SUMIF(Journals!D$14:D$920,TrialBalance!P349,Journals!J$14:J$920)+SUMIF(Journals!E$14:E$920,TrialBalance!P349,Journals!J$14:J$920)</f>
        <v>0</v>
      </c>
      <c r="K349" s="253"/>
      <c r="L349" s="255">
        <f t="shared" si="70"/>
        <v>0</v>
      </c>
      <c r="M349" s="75"/>
      <c r="N349" s="48">
        <f t="shared" si="71"/>
        <v>0</v>
      </c>
      <c r="P349" s="140" t="str">
        <f t="shared" si="95"/>
        <v>7460/004</v>
      </c>
      <c r="Q349" s="70"/>
      <c r="R349" s="31"/>
      <c r="S349" s="71"/>
      <c r="T349" s="51"/>
      <c r="U349" s="31"/>
    </row>
    <row r="350" spans="1:21" x14ac:dyDescent="0.2">
      <c r="A350" s="238"/>
      <c r="B350" s="90" t="s">
        <v>600</v>
      </c>
      <c r="C350" s="249"/>
      <c r="D350" s="250"/>
      <c r="E350" s="251"/>
      <c r="F350" s="132">
        <f>TrialBalanceA!I350-TrialBalanceA!K350</f>
        <v>0</v>
      </c>
      <c r="G350" s="132">
        <f>TrialBalanceB!I350-TrialBalanceB!K350</f>
        <v>0</v>
      </c>
      <c r="H350" s="132">
        <f>TrialBalanceC!I350-TrialBalanceC!K350</f>
        <v>0</v>
      </c>
      <c r="I350" s="79">
        <f t="shared" si="97"/>
        <v>0</v>
      </c>
      <c r="J350" s="198">
        <f>SUMIF(Journals!D$14:D$920,TrialBalance!P350,Journals!J$14:J$920)+SUMIF(Journals!E$14:E$920,TrialBalance!P350,Journals!J$14:J$920)</f>
        <v>0</v>
      </c>
      <c r="K350" s="253"/>
      <c r="L350" s="255">
        <f t="shared" si="70"/>
        <v>0</v>
      </c>
      <c r="M350" s="75"/>
      <c r="N350" s="48">
        <f t="shared" si="71"/>
        <v>0</v>
      </c>
      <c r="P350" s="140" t="str">
        <f t="shared" si="95"/>
        <v>7460/005</v>
      </c>
      <c r="Q350" s="70"/>
      <c r="R350" s="31"/>
      <c r="S350" s="71"/>
      <c r="T350" s="51"/>
      <c r="U350" s="31"/>
    </row>
    <row r="351" spans="1:21" x14ac:dyDescent="0.2">
      <c r="A351" s="238"/>
      <c r="B351" s="90" t="s">
        <v>271</v>
      </c>
      <c r="C351" s="249"/>
      <c r="D351" s="250"/>
      <c r="E351" s="251"/>
      <c r="F351" s="132">
        <f>TrialBalanceA!I351-TrialBalanceA!K351</f>
        <v>0</v>
      </c>
      <c r="G351" s="132">
        <f>TrialBalanceB!I351-TrialBalanceB!K351</f>
        <v>0</v>
      </c>
      <c r="H351" s="132">
        <f>TrialBalanceC!I351-TrialBalanceC!K351</f>
        <v>0</v>
      </c>
      <c r="I351" s="79">
        <f t="shared" si="97"/>
        <v>0</v>
      </c>
      <c r="J351" s="198">
        <f>SUMIF(Journals!D$14:D$920,TrialBalance!P351,Journals!J$14:J$920)+SUMIF(Journals!E$14:E$920,TrialBalance!P351,Journals!J$14:J$920)</f>
        <v>0</v>
      </c>
      <c r="K351" s="253"/>
      <c r="L351" s="255">
        <f t="shared" si="70"/>
        <v>0</v>
      </c>
      <c r="M351" s="75"/>
      <c r="N351" s="48">
        <f t="shared" si="71"/>
        <v>0</v>
      </c>
      <c r="P351" s="140" t="str">
        <f t="shared" si="95"/>
        <v>7460/006</v>
      </c>
      <c r="Q351" s="70"/>
      <c r="R351" s="31"/>
      <c r="S351" s="71"/>
      <c r="T351" s="51"/>
      <c r="U351" s="31"/>
    </row>
    <row r="352" spans="1:21" x14ac:dyDescent="0.2">
      <c r="A352" s="238"/>
      <c r="B352" s="90" t="s">
        <v>272</v>
      </c>
      <c r="C352" s="249"/>
      <c r="D352" s="250"/>
      <c r="E352" s="251"/>
      <c r="F352" s="132">
        <f>TrialBalanceA!I352-TrialBalanceA!K352</f>
        <v>0</v>
      </c>
      <c r="G352" s="132">
        <f>TrialBalanceB!I352-TrialBalanceB!K352</f>
        <v>0</v>
      </c>
      <c r="H352" s="132">
        <f>TrialBalanceC!I352-TrialBalanceC!K352</f>
        <v>0</v>
      </c>
      <c r="I352" s="79">
        <f t="shared" si="97"/>
        <v>0</v>
      </c>
      <c r="J352" s="198">
        <f>SUMIF(Journals!D$14:D$920,TrialBalance!P352,Journals!J$14:J$920)+SUMIF(Journals!E$14:E$920,TrialBalance!P352,Journals!J$14:J$920)</f>
        <v>0</v>
      </c>
      <c r="K352" s="253"/>
      <c r="L352" s="255">
        <f t="shared" si="70"/>
        <v>0</v>
      </c>
      <c r="M352" s="75"/>
      <c r="N352" s="48">
        <f t="shared" si="71"/>
        <v>0</v>
      </c>
      <c r="P352" s="140" t="str">
        <f t="shared" si="95"/>
        <v>7460/007</v>
      </c>
      <c r="Q352" s="70"/>
      <c r="R352" s="31"/>
      <c r="S352" s="71"/>
      <c r="T352" s="51"/>
      <c r="U352" s="31"/>
    </row>
    <row r="353" spans="1:21" x14ac:dyDescent="0.2">
      <c r="A353" s="238"/>
      <c r="B353" s="90" t="s">
        <v>480</v>
      </c>
      <c r="C353" s="249"/>
      <c r="D353" s="250"/>
      <c r="E353" s="251"/>
      <c r="F353" s="132">
        <f>TrialBalanceA!I353-TrialBalanceA!K353</f>
        <v>0</v>
      </c>
      <c r="G353" s="132">
        <f>TrialBalanceB!I353-TrialBalanceB!K353</f>
        <v>0</v>
      </c>
      <c r="H353" s="132">
        <f>TrialBalanceC!I353-TrialBalanceC!K353</f>
        <v>0</v>
      </c>
      <c r="I353" s="79">
        <f t="shared" si="97"/>
        <v>0</v>
      </c>
      <c r="J353" s="198">
        <f>SUMIF(Journals!D$14:D$920,TrialBalance!P353,Journals!J$14:J$920)+SUMIF(Journals!E$14:E$920,TrialBalance!P353,Journals!J$14:J$920)</f>
        <v>0</v>
      </c>
      <c r="K353" s="253"/>
      <c r="L353" s="255">
        <f t="shared" si="70"/>
        <v>0</v>
      </c>
      <c r="M353" s="75"/>
      <c r="N353" s="48">
        <f t="shared" si="71"/>
        <v>0</v>
      </c>
      <c r="P353" s="140" t="str">
        <f t="shared" si="95"/>
        <v>7460/008</v>
      </c>
      <c r="Q353" s="70"/>
      <c r="R353" s="31"/>
      <c r="S353" s="71"/>
      <c r="T353" s="51"/>
      <c r="U353" s="31"/>
    </row>
    <row r="354" spans="1:21" x14ac:dyDescent="0.2">
      <c r="A354" s="238"/>
      <c r="B354" s="54" t="s">
        <v>391</v>
      </c>
      <c r="C354" s="239" t="s">
        <v>44</v>
      </c>
      <c r="D354" s="250"/>
      <c r="E354" s="251"/>
      <c r="F354" s="132"/>
      <c r="G354" s="132"/>
      <c r="H354" s="132"/>
      <c r="I354" s="79"/>
      <c r="J354" s="198">
        <f>SUMIF(Journals!D$14:D$920,TrialBalance!P354,Journals!J$14:J$920)+SUMIF(Journals!E$14:E$920,TrialBalance!P354,Journals!J$14:J$920)</f>
        <v>0</v>
      </c>
      <c r="K354" s="254" t="s">
        <v>547</v>
      </c>
      <c r="L354" s="255">
        <f t="shared" si="70"/>
        <v>0</v>
      </c>
      <c r="M354" s="75"/>
      <c r="N354" s="48">
        <f t="shared" si="71"/>
        <v>0</v>
      </c>
      <c r="P354" s="140" t="str">
        <f t="shared" si="95"/>
        <v>7500/000INVENTORY</v>
      </c>
      <c r="Q354" s="70"/>
      <c r="R354" s="31"/>
      <c r="S354" s="71"/>
      <c r="T354" s="51"/>
      <c r="U354" s="31"/>
    </row>
    <row r="355" spans="1:21" x14ac:dyDescent="0.2">
      <c r="A355" s="238"/>
      <c r="B355" s="54" t="s">
        <v>392</v>
      </c>
      <c r="C355" s="240" t="s">
        <v>393</v>
      </c>
      <c r="D355" s="250"/>
      <c r="E355" s="251"/>
      <c r="F355" s="132">
        <f>TrialBalanceA!I355-TrialBalanceA!K355</f>
        <v>0</v>
      </c>
      <c r="G355" s="132">
        <f>TrialBalanceB!I355-TrialBalanceB!K355</f>
        <v>0</v>
      </c>
      <c r="H355" s="132">
        <f>TrialBalanceC!I355-TrialBalanceC!K355</f>
        <v>0</v>
      </c>
      <c r="I355" s="79">
        <f>N355</f>
        <v>0</v>
      </c>
      <c r="J355" s="198">
        <f>SUMIF(Journals!D$14:D$920,TrialBalance!P355,Journals!J$14:J$920)+SUMIF(Journals!E$14:E$920,TrialBalance!P355,Journals!J$14:J$920)</f>
        <v>0</v>
      </c>
      <c r="K355" s="253"/>
      <c r="L355" s="255">
        <f t="shared" si="70"/>
        <v>0</v>
      </c>
      <c r="M355" s="75"/>
      <c r="N355" s="48">
        <f t="shared" si="71"/>
        <v>0</v>
      </c>
      <c r="P355" s="140" t="str">
        <f t="shared" si="95"/>
        <v>7500/001Raw materials</v>
      </c>
      <c r="Q355" s="70"/>
      <c r="R355" s="31"/>
      <c r="S355" s="71"/>
      <c r="T355" s="51"/>
      <c r="U355" s="31"/>
    </row>
    <row r="356" spans="1:21" x14ac:dyDescent="0.2">
      <c r="A356" s="238"/>
      <c r="B356" s="54" t="s">
        <v>19</v>
      </c>
      <c r="C356" s="240" t="s">
        <v>20</v>
      </c>
      <c r="D356" s="250"/>
      <c r="E356" s="251"/>
      <c r="F356" s="132">
        <f>TrialBalanceA!I356-TrialBalanceA!K356</f>
        <v>0</v>
      </c>
      <c r="G356" s="132">
        <f>TrialBalanceB!I356-TrialBalanceB!K356</f>
        <v>0</v>
      </c>
      <c r="H356" s="132">
        <f>TrialBalanceC!I356-TrialBalanceC!K356</f>
        <v>0</v>
      </c>
      <c r="I356" s="79">
        <f>N356</f>
        <v>0</v>
      </c>
      <c r="J356" s="198">
        <f>SUMIF(Journals!D$14:D$920,TrialBalance!P356,Journals!J$14:J$920)+SUMIF(Journals!E$14:E$920,TrialBalance!P356,Journals!J$14:J$920)</f>
        <v>0</v>
      </c>
      <c r="K356" s="253"/>
      <c r="L356" s="255">
        <f t="shared" si="70"/>
        <v>0</v>
      </c>
      <c r="M356" s="75"/>
      <c r="N356" s="48">
        <f t="shared" si="71"/>
        <v>0</v>
      </c>
      <c r="P356" s="140" t="str">
        <f t="shared" si="95"/>
        <v>7500/002Work in progress</v>
      </c>
      <c r="Q356" s="70"/>
      <c r="R356" s="31"/>
      <c r="S356" s="71"/>
      <c r="T356" s="51"/>
      <c r="U356" s="31"/>
    </row>
    <row r="357" spans="1:21" x14ac:dyDescent="0.2">
      <c r="A357" s="238"/>
      <c r="B357" s="54" t="s">
        <v>21</v>
      </c>
      <c r="C357" s="240" t="s">
        <v>22</v>
      </c>
      <c r="D357" s="250"/>
      <c r="E357" s="251"/>
      <c r="F357" s="132">
        <f>TrialBalanceA!I357-TrialBalanceA!K357</f>
        <v>0</v>
      </c>
      <c r="G357" s="132">
        <f>TrialBalanceB!I357-TrialBalanceB!K357</f>
        <v>0</v>
      </c>
      <c r="H357" s="132">
        <f>TrialBalanceC!I357-TrialBalanceC!K357</f>
        <v>0</v>
      </c>
      <c r="I357" s="79">
        <f>N357</f>
        <v>0</v>
      </c>
      <c r="J357" s="198">
        <f>SUMIF(Journals!D$14:D$920,TrialBalance!P357,Journals!J$14:J$920)+SUMIF(Journals!E$14:E$920,TrialBalance!P357,Journals!J$14:J$920)</f>
        <v>0</v>
      </c>
      <c r="K357" s="253"/>
      <c r="L357" s="255">
        <f t="shared" si="70"/>
        <v>0</v>
      </c>
      <c r="M357" s="75"/>
      <c r="N357" s="48">
        <f t="shared" si="71"/>
        <v>0</v>
      </c>
      <c r="P357" s="140" t="str">
        <f t="shared" si="95"/>
        <v>7500/003Finished goods</v>
      </c>
      <c r="Q357" s="70"/>
      <c r="R357" s="31"/>
      <c r="S357" s="71"/>
      <c r="T357" s="51"/>
      <c r="U357" s="31"/>
    </row>
    <row r="358" spans="1:21" x14ac:dyDescent="0.2">
      <c r="A358" s="238"/>
      <c r="B358" s="54" t="s">
        <v>25</v>
      </c>
      <c r="C358" s="240" t="s">
        <v>26</v>
      </c>
      <c r="D358" s="250"/>
      <c r="E358" s="251"/>
      <c r="F358" s="132">
        <f>TrialBalanceA!I358-TrialBalanceA!K358</f>
        <v>0</v>
      </c>
      <c r="G358" s="132">
        <f>TrialBalanceB!I358-TrialBalanceB!K358</f>
        <v>0</v>
      </c>
      <c r="H358" s="132">
        <f>TrialBalanceC!I358-TrialBalanceC!K358</f>
        <v>0</v>
      </c>
      <c r="I358" s="79">
        <f>N358</f>
        <v>0</v>
      </c>
      <c r="J358" s="198">
        <f>SUMIF(Journals!D$14:D$920,TrialBalance!P358,Journals!J$14:J$920)+SUMIF(Journals!E$14:E$920,TrialBalance!P358,Journals!J$14:J$920)</f>
        <v>0</v>
      </c>
      <c r="K358" s="254"/>
      <c r="L358" s="255">
        <f t="shared" si="70"/>
        <v>0</v>
      </c>
      <c r="M358" s="75"/>
      <c r="N358" s="48">
        <f t="shared" si="71"/>
        <v>0</v>
      </c>
      <c r="P358" s="140" t="str">
        <f t="shared" si="95"/>
        <v>7500/004Trading stock</v>
      </c>
      <c r="Q358" s="70"/>
      <c r="R358" s="31"/>
      <c r="S358" s="51"/>
      <c r="T358" s="51"/>
      <c r="U358" s="31"/>
    </row>
    <row r="359" spans="1:21" x14ac:dyDescent="0.2">
      <c r="A359" s="238"/>
      <c r="B359" s="54" t="s">
        <v>28</v>
      </c>
      <c r="C359" s="239" t="s">
        <v>29</v>
      </c>
      <c r="D359" s="250"/>
      <c r="E359" s="251"/>
      <c r="F359" s="132"/>
      <c r="G359" s="132"/>
      <c r="H359" s="132"/>
      <c r="I359" s="79"/>
      <c r="J359" s="198">
        <f>SUMIF(Journals!D$14:D$920,TrialBalance!P359,Journals!J$14:J$920)+SUMIF(Journals!E$14:E$920,TrialBalance!P359,Journals!J$14:J$920)</f>
        <v>0</v>
      </c>
      <c r="K359" s="254" t="s">
        <v>547</v>
      </c>
      <c r="L359" s="255">
        <f t="shared" si="70"/>
        <v>0</v>
      </c>
      <c r="M359" s="75"/>
      <c r="N359" s="48">
        <f t="shared" si="71"/>
        <v>0</v>
      </c>
      <c r="P359" s="140" t="str">
        <f t="shared" si="95"/>
        <v>8000/000DEBTORS</v>
      </c>
      <c r="Q359" s="70"/>
      <c r="R359" s="31"/>
      <c r="S359" s="71"/>
      <c r="T359" s="51"/>
      <c r="U359" s="31"/>
    </row>
    <row r="360" spans="1:21" x14ac:dyDescent="0.2">
      <c r="A360" s="238"/>
      <c r="B360" s="54" t="s">
        <v>30</v>
      </c>
      <c r="C360" s="240" t="s">
        <v>31</v>
      </c>
      <c r="D360" s="250"/>
      <c r="E360" s="251"/>
      <c r="F360" s="132">
        <f>TrialBalanceA!I360-TrialBalanceA!K360</f>
        <v>0</v>
      </c>
      <c r="G360" s="132">
        <f>TrialBalanceB!I360-TrialBalanceB!K360</f>
        <v>0</v>
      </c>
      <c r="H360" s="132">
        <f>TrialBalanceC!I360-TrialBalanceC!K360</f>
        <v>0</v>
      </c>
      <c r="I360" s="79">
        <f>N360</f>
        <v>0</v>
      </c>
      <c r="J360" s="198">
        <f>SUMIF(Journals!D$14:D$920,TrialBalance!P360,Journals!J$14:J$920)+SUMIF(Journals!E$14:E$920,TrialBalance!P360,Journals!J$14:J$920)</f>
        <v>0</v>
      </c>
      <c r="K360" s="253"/>
      <c r="L360" s="255">
        <f t="shared" si="70"/>
        <v>0</v>
      </c>
      <c r="M360" s="75"/>
      <c r="N360" s="48">
        <f t="shared" si="71"/>
        <v>0</v>
      </c>
      <c r="P360" s="140" t="str">
        <f t="shared" si="95"/>
        <v>8010/000Trade debtors</v>
      </c>
      <c r="Q360" s="72"/>
      <c r="R360" s="31"/>
      <c r="S360" s="71"/>
      <c r="T360" s="51"/>
      <c r="U360" s="31"/>
    </row>
    <row r="361" spans="1:21" x14ac:dyDescent="0.2">
      <c r="A361" s="238"/>
      <c r="B361" s="90" t="s">
        <v>32</v>
      </c>
      <c r="C361" s="242" t="s">
        <v>548</v>
      </c>
      <c r="D361" s="250"/>
      <c r="E361" s="251"/>
      <c r="F361" s="132">
        <f>TrialBalanceA!I361-TrialBalanceA!K361</f>
        <v>0</v>
      </c>
      <c r="G361" s="132">
        <f>TrialBalanceB!I361-TrialBalanceB!K361</f>
        <v>0</v>
      </c>
      <c r="H361" s="132">
        <f>TrialBalanceC!I361-TrialBalanceC!K361</f>
        <v>0</v>
      </c>
      <c r="I361" s="79">
        <f t="shared" ref="I361" si="103">N361</f>
        <v>0</v>
      </c>
      <c r="J361" s="198">
        <f>SUMIF(Journals!D$14:D$920,TrialBalance!P361,Journals!J$14:J$920)+SUMIF(Journals!E$14:E$920,TrialBalance!P361,Journals!J$14:J$920)</f>
        <v>0</v>
      </c>
      <c r="K361" s="253"/>
      <c r="L361" s="255">
        <f t="shared" si="70"/>
        <v>0</v>
      </c>
      <c r="M361" s="75"/>
      <c r="N361" s="48">
        <f t="shared" si="71"/>
        <v>0</v>
      </c>
      <c r="P361" s="140" t="str">
        <f t="shared" si="95"/>
        <v>8020/000Less: Provision for doubtful debts</v>
      </c>
      <c r="Q361" s="70"/>
      <c r="R361" s="31"/>
      <c r="S361" s="71"/>
      <c r="T361" s="51"/>
      <c r="U361" s="31"/>
    </row>
    <row r="362" spans="1:21" x14ac:dyDescent="0.2">
      <c r="A362" s="238"/>
      <c r="B362" s="90" t="s">
        <v>550</v>
      </c>
      <c r="C362" s="240" t="s">
        <v>307</v>
      </c>
      <c r="D362" s="250"/>
      <c r="E362" s="251"/>
      <c r="F362" s="132">
        <f>TrialBalanceA!I362-TrialBalanceA!K362</f>
        <v>0</v>
      </c>
      <c r="G362" s="132">
        <f>TrialBalanceB!I362-TrialBalanceB!K362</f>
        <v>0</v>
      </c>
      <c r="H362" s="132">
        <f>TrialBalanceC!I362-TrialBalanceC!K362</f>
        <v>0</v>
      </c>
      <c r="I362" s="79">
        <f>N362</f>
        <v>0</v>
      </c>
      <c r="J362" s="198">
        <f>SUMIF(Journals!D$14:D$920,TrialBalance!P362,Journals!J$14:J$920)+SUMIF(Journals!E$14:E$920,TrialBalance!P362,Journals!J$14:J$920)</f>
        <v>0</v>
      </c>
      <c r="K362" s="253"/>
      <c r="L362" s="255">
        <f t="shared" si="70"/>
        <v>0</v>
      </c>
      <c r="M362" s="75"/>
      <c r="N362" s="48">
        <f t="shared" si="71"/>
        <v>0</v>
      </c>
      <c r="P362" s="140" t="str">
        <f t="shared" si="95"/>
        <v>8030/000Service deposits</v>
      </c>
      <c r="Q362" s="70"/>
      <c r="R362" s="31"/>
      <c r="S362" s="71"/>
      <c r="T362" s="51"/>
      <c r="U362" s="31"/>
    </row>
    <row r="363" spans="1:21" x14ac:dyDescent="0.2">
      <c r="A363" s="238"/>
      <c r="B363" s="54" t="s">
        <v>451</v>
      </c>
      <c r="C363" s="242" t="s">
        <v>755</v>
      </c>
      <c r="D363" s="250"/>
      <c r="E363" s="250"/>
      <c r="F363" s="132">
        <f>TrialBalanceA!I363-TrialBalanceA!K363</f>
        <v>0</v>
      </c>
      <c r="G363" s="132">
        <f>TrialBalanceB!I363-TrialBalanceB!K363</f>
        <v>0</v>
      </c>
      <c r="H363" s="132">
        <f>TrialBalanceC!I363-TrialBalanceC!K363</f>
        <v>0</v>
      </c>
      <c r="I363" s="79">
        <f>N363</f>
        <v>0</v>
      </c>
      <c r="J363" s="198">
        <f>SUMIF(Journals!D$14:D$920,TrialBalance!P363,Journals!J$14:J$920)+SUMIF(Journals!E$14:E$920,TrialBalance!P363,Journals!J$14:J$920)</f>
        <v>0</v>
      </c>
      <c r="K363" s="253"/>
      <c r="L363" s="255">
        <f t="shared" si="70"/>
        <v>0</v>
      </c>
      <c r="M363" s="75"/>
      <c r="N363" s="48">
        <f t="shared" si="71"/>
        <v>0</v>
      </c>
      <c r="P363" s="140" t="str">
        <f t="shared" si="95"/>
        <v>8200/000Sundry customers</v>
      </c>
      <c r="Q363" s="70"/>
      <c r="R363" s="31"/>
      <c r="S363" s="71"/>
      <c r="T363" s="51"/>
      <c r="U363" s="31"/>
    </row>
    <row r="364" spans="1:21" x14ac:dyDescent="0.2">
      <c r="A364" s="238"/>
      <c r="B364" s="54" t="s">
        <v>452</v>
      </c>
      <c r="C364" s="240" t="s">
        <v>350</v>
      </c>
      <c r="D364" s="250"/>
      <c r="E364" s="251"/>
      <c r="F364" s="132">
        <f>TrialBalanceA!I364-TrialBalanceA!K364</f>
        <v>0</v>
      </c>
      <c r="G364" s="132">
        <f>TrialBalanceB!I364-TrialBalanceB!K364</f>
        <v>0</v>
      </c>
      <c r="H364" s="132">
        <f>TrialBalanceC!I364-TrialBalanceC!K364</f>
        <v>0</v>
      </c>
      <c r="I364" s="79">
        <f>N364</f>
        <v>0</v>
      </c>
      <c r="J364" s="198">
        <f>SUMIF(Journals!D$14:D$920,TrialBalance!P364,Journals!J$14:J$920)+SUMIF(Journals!E$14:E$920,TrialBalance!P364,Journals!J$14:J$920)</f>
        <v>0</v>
      </c>
      <c r="K364" s="253"/>
      <c r="L364" s="255">
        <f t="shared" si="70"/>
        <v>0</v>
      </c>
      <c r="M364" s="75"/>
      <c r="N364" s="48">
        <f t="shared" si="71"/>
        <v>0</v>
      </c>
      <c r="P364" s="140" t="str">
        <f t="shared" si="95"/>
        <v>8200/010Prepayments</v>
      </c>
      <c r="Q364" s="70"/>
      <c r="R364" s="31"/>
      <c r="S364" s="71"/>
      <c r="T364" s="51"/>
      <c r="U364" s="31"/>
    </row>
    <row r="365" spans="1:21" x14ac:dyDescent="0.2">
      <c r="A365" s="238"/>
      <c r="B365" s="54" t="s">
        <v>221</v>
      </c>
      <c r="C365" s="241" t="s">
        <v>523</v>
      </c>
      <c r="D365" s="250"/>
      <c r="E365" s="251"/>
      <c r="F365" s="132">
        <f>TrialBalanceA!I365-TrialBalanceA!K365</f>
        <v>0</v>
      </c>
      <c r="G365" s="132">
        <f>TrialBalanceB!I365-TrialBalanceB!K365</f>
        <v>0</v>
      </c>
      <c r="H365" s="132">
        <f>TrialBalanceC!I365-TrialBalanceC!K365</f>
        <v>0</v>
      </c>
      <c r="I365" s="79">
        <f>N365</f>
        <v>0</v>
      </c>
      <c r="J365" s="198">
        <f>SUMIF(Journals!D$14:D$920,TrialBalance!P365,Journals!J$14:J$920)+SUMIF(Journals!E$14:E$920,TrialBalance!P365,Journals!J$14:J$920)</f>
        <v>0</v>
      </c>
      <c r="K365" s="253"/>
      <c r="L365" s="255">
        <f t="shared" si="70"/>
        <v>0</v>
      </c>
      <c r="M365" s="75"/>
      <c r="N365" s="48">
        <f t="shared" si="71"/>
        <v>0</v>
      </c>
      <c r="P365" s="140" t="str">
        <f t="shared" si="95"/>
        <v>8200/020Staff loans</v>
      </c>
      <c r="Q365" s="70"/>
      <c r="R365" s="31"/>
      <c r="S365" s="71"/>
      <c r="T365" s="51"/>
      <c r="U365" s="31"/>
    </row>
    <row r="366" spans="1:21" x14ac:dyDescent="0.2">
      <c r="A366" s="238"/>
      <c r="B366" s="54" t="s">
        <v>222</v>
      </c>
      <c r="C366" s="244" t="s">
        <v>112</v>
      </c>
      <c r="D366" s="250"/>
      <c r="E366" s="251"/>
      <c r="F366" s="132"/>
      <c r="G366" s="132"/>
      <c r="H366" s="132"/>
      <c r="I366" s="79"/>
      <c r="J366" s="198">
        <f>SUMIF(Journals!D$14:D$920,TrialBalance!P366,Journals!J$14:J$920)+SUMIF(Journals!E$14:E$920,TrialBalance!P366,Journals!J$14:J$920)</f>
        <v>0</v>
      </c>
      <c r="K366" s="254" t="s">
        <v>547</v>
      </c>
      <c r="L366" s="255">
        <f t="shared" si="70"/>
        <v>0</v>
      </c>
      <c r="M366" s="75"/>
      <c r="N366" s="48">
        <f t="shared" si="71"/>
        <v>0</v>
      </c>
      <c r="P366" s="140" t="str">
        <f t="shared" si="95"/>
        <v>8400/000BANK ACCOUNTS</v>
      </c>
      <c r="Q366" s="70"/>
      <c r="R366" s="31"/>
      <c r="S366" s="71"/>
      <c r="T366" s="51"/>
      <c r="U366" s="31"/>
    </row>
    <row r="367" spans="1:21" x14ac:dyDescent="0.2">
      <c r="A367" s="238"/>
      <c r="B367" s="54" t="s">
        <v>223</v>
      </c>
      <c r="C367" s="243"/>
      <c r="D367" s="250"/>
      <c r="E367" s="252"/>
      <c r="F367" s="132">
        <f>TrialBalanceA!I367-TrialBalanceA!K367</f>
        <v>0</v>
      </c>
      <c r="G367" s="132">
        <f>TrialBalanceB!I367-TrialBalanceB!K367</f>
        <v>0</v>
      </c>
      <c r="H367" s="132">
        <f>TrialBalanceC!I367-TrialBalanceC!K367</f>
        <v>0</v>
      </c>
      <c r="I367" s="79">
        <f t="shared" ref="I367:I373" si="104">N367</f>
        <v>0</v>
      </c>
      <c r="J367" s="198">
        <f>SUMIF(Journals!D$14:D$920,TrialBalance!P367,Journals!J$14:J$920)+SUMIF(Journals!E$14:E$920,TrialBalance!P367,Journals!J$14:J$920)</f>
        <v>0</v>
      </c>
      <c r="K367" s="253"/>
      <c r="L367" s="255">
        <f>ROUND(D367-E367+F367+G367+H367+J367+I367,0)</f>
        <v>0</v>
      </c>
      <c r="M367" s="75"/>
      <c r="N367" s="48">
        <f t="shared" si="71"/>
        <v>0</v>
      </c>
      <c r="P367" s="140" t="str">
        <f t="shared" si="95"/>
        <v>8410/000</v>
      </c>
      <c r="Q367" s="72"/>
      <c r="R367" s="31"/>
      <c r="S367" s="71"/>
      <c r="T367" s="51"/>
      <c r="U367" s="31"/>
    </row>
    <row r="368" spans="1:21" x14ac:dyDescent="0.2">
      <c r="A368" s="238"/>
      <c r="B368" s="54" t="s">
        <v>224</v>
      </c>
      <c r="C368" s="243"/>
      <c r="D368" s="250"/>
      <c r="E368" s="250"/>
      <c r="F368" s="132">
        <f>TrialBalanceA!I368-TrialBalanceA!K368</f>
        <v>0</v>
      </c>
      <c r="G368" s="132">
        <f>TrialBalanceB!I368-TrialBalanceB!K368</f>
        <v>0</v>
      </c>
      <c r="H368" s="132">
        <f>TrialBalanceC!I368-TrialBalanceC!K368</f>
        <v>0</v>
      </c>
      <c r="I368" s="79">
        <f t="shared" si="104"/>
        <v>0</v>
      </c>
      <c r="J368" s="198">
        <f>SUMIF(Journals!D$14:D$920,TrialBalance!P368,Journals!J$14:J$920)+SUMIF(Journals!E$14:E$920,TrialBalance!P368,Journals!J$14:J$920)</f>
        <v>0</v>
      </c>
      <c r="K368" s="253"/>
      <c r="L368" s="255">
        <f t="shared" si="70"/>
        <v>0</v>
      </c>
      <c r="M368" s="75"/>
      <c r="N368" s="48">
        <f t="shared" si="71"/>
        <v>0</v>
      </c>
      <c r="P368" s="140" t="str">
        <f t="shared" si="95"/>
        <v>8420/000</v>
      </c>
      <c r="Q368" s="70"/>
      <c r="R368" s="31"/>
      <c r="S368" s="71"/>
      <c r="T368" s="51"/>
      <c r="U368" s="31"/>
    </row>
    <row r="369" spans="1:21" x14ac:dyDescent="0.2">
      <c r="A369" s="238"/>
      <c r="B369" s="54" t="s">
        <v>225</v>
      </c>
      <c r="C369" s="243"/>
      <c r="D369" s="250"/>
      <c r="E369" s="250"/>
      <c r="F369" s="132">
        <f>TrialBalanceA!I369-TrialBalanceA!K369</f>
        <v>0</v>
      </c>
      <c r="G369" s="132">
        <f>TrialBalanceB!I369-TrialBalanceB!K369</f>
        <v>0</v>
      </c>
      <c r="H369" s="132">
        <f>TrialBalanceC!I369-TrialBalanceC!K369</f>
        <v>0</v>
      </c>
      <c r="I369" s="79">
        <f t="shared" si="104"/>
        <v>0</v>
      </c>
      <c r="J369" s="198">
        <f>SUMIF(Journals!D$14:D$920,TrialBalance!P369,Journals!J$14:J$920)+SUMIF(Journals!E$14:E$920,TrialBalance!P369,Journals!J$14:J$920)</f>
        <v>0</v>
      </c>
      <c r="K369" s="253"/>
      <c r="L369" s="255">
        <f t="shared" si="70"/>
        <v>0</v>
      </c>
      <c r="M369" s="75"/>
      <c r="N369" s="48">
        <f t="shared" si="71"/>
        <v>0</v>
      </c>
      <c r="P369" s="140" t="str">
        <f t="shared" si="95"/>
        <v>8430/000</v>
      </c>
      <c r="Q369" s="70"/>
      <c r="R369" s="31"/>
      <c r="S369" s="71"/>
      <c r="T369" s="51"/>
      <c r="U369" s="31"/>
    </row>
    <row r="370" spans="1:21" x14ac:dyDescent="0.2">
      <c r="A370" s="238"/>
      <c r="B370" s="54" t="s">
        <v>226</v>
      </c>
      <c r="C370" s="243"/>
      <c r="D370" s="250"/>
      <c r="E370" s="251"/>
      <c r="F370" s="132">
        <f>TrialBalanceA!I370-TrialBalanceA!K370</f>
        <v>0</v>
      </c>
      <c r="G370" s="132">
        <f>TrialBalanceB!I370-TrialBalanceB!K370</f>
        <v>0</v>
      </c>
      <c r="H370" s="132">
        <f>TrialBalanceC!I370-TrialBalanceC!K370</f>
        <v>0</v>
      </c>
      <c r="I370" s="79">
        <f t="shared" si="104"/>
        <v>0</v>
      </c>
      <c r="J370" s="198">
        <f>SUMIF(Journals!D$14:D$920,TrialBalance!P370,Journals!J$14:J$920)+SUMIF(Journals!E$14:E$920,TrialBalance!P370,Journals!J$14:J$920)</f>
        <v>0</v>
      </c>
      <c r="K370" s="253"/>
      <c r="L370" s="255">
        <f t="shared" si="70"/>
        <v>0</v>
      </c>
      <c r="M370" s="75"/>
      <c r="N370" s="48">
        <f t="shared" si="71"/>
        <v>0</v>
      </c>
      <c r="P370" s="140" t="str">
        <f t="shared" si="95"/>
        <v>8440/000</v>
      </c>
      <c r="Q370" s="70"/>
      <c r="R370" s="31"/>
      <c r="S370" s="71"/>
      <c r="T370" s="51"/>
      <c r="U370" s="31"/>
    </row>
    <row r="371" spans="1:21" x14ac:dyDescent="0.2">
      <c r="A371" s="238"/>
      <c r="B371" s="54" t="s">
        <v>227</v>
      </c>
      <c r="C371" s="243"/>
      <c r="D371" s="250"/>
      <c r="E371" s="251"/>
      <c r="F371" s="132">
        <f>TrialBalanceA!I371-TrialBalanceA!K371</f>
        <v>0</v>
      </c>
      <c r="G371" s="132">
        <f>TrialBalanceB!I371-TrialBalanceB!K371</f>
        <v>0</v>
      </c>
      <c r="H371" s="132">
        <f>TrialBalanceC!I371-TrialBalanceC!K371</f>
        <v>0</v>
      </c>
      <c r="I371" s="79">
        <f t="shared" si="104"/>
        <v>0</v>
      </c>
      <c r="J371" s="198">
        <f>SUMIF(Journals!D$14:D$920,TrialBalance!P371,Journals!J$14:J$920)+SUMIF(Journals!E$14:E$920,TrialBalance!P371,Journals!J$14:J$920)</f>
        <v>0</v>
      </c>
      <c r="K371" s="253"/>
      <c r="L371" s="255">
        <f t="shared" si="70"/>
        <v>0</v>
      </c>
      <c r="M371" s="75"/>
      <c r="N371" s="48">
        <f t="shared" si="71"/>
        <v>0</v>
      </c>
      <c r="P371" s="140" t="str">
        <f t="shared" si="95"/>
        <v>8450/000</v>
      </c>
      <c r="Q371" s="70"/>
      <c r="R371" s="31"/>
      <c r="S371" s="71"/>
      <c r="T371" s="51"/>
      <c r="U371" s="31"/>
    </row>
    <row r="372" spans="1:21" x14ac:dyDescent="0.2">
      <c r="A372" s="238"/>
      <c r="B372" s="54" t="s">
        <v>113</v>
      </c>
      <c r="C372" s="243"/>
      <c r="D372" s="250"/>
      <c r="E372" s="251"/>
      <c r="F372" s="132">
        <f>TrialBalanceA!I372-TrialBalanceA!K372</f>
        <v>0</v>
      </c>
      <c r="G372" s="132">
        <f>TrialBalanceB!I372-TrialBalanceB!K372</f>
        <v>0</v>
      </c>
      <c r="H372" s="132">
        <f>TrialBalanceC!I372-TrialBalanceC!K372</f>
        <v>0</v>
      </c>
      <c r="I372" s="79">
        <f t="shared" si="104"/>
        <v>0</v>
      </c>
      <c r="J372" s="198">
        <f>SUMIF(Journals!D$14:D$920,TrialBalance!P372,Journals!J$14:J$920)+SUMIF(Journals!E$14:E$920,TrialBalance!P372,Journals!J$14:J$920)</f>
        <v>0</v>
      </c>
      <c r="K372" s="253"/>
      <c r="L372" s="255">
        <f t="shared" si="70"/>
        <v>0</v>
      </c>
      <c r="M372" s="75"/>
      <c r="N372" s="48">
        <f t="shared" si="71"/>
        <v>0</v>
      </c>
      <c r="P372" s="140" t="str">
        <f t="shared" si="95"/>
        <v>8460/000</v>
      </c>
      <c r="Q372" s="70"/>
      <c r="R372" s="31"/>
      <c r="S372" s="71"/>
      <c r="T372" s="51"/>
      <c r="U372" s="31"/>
    </row>
    <row r="373" spans="1:21" x14ac:dyDescent="0.2">
      <c r="A373" s="238"/>
      <c r="B373" s="54" t="s">
        <v>398</v>
      </c>
      <c r="C373" s="246" t="s">
        <v>399</v>
      </c>
      <c r="D373" s="250"/>
      <c r="E373" s="250"/>
      <c r="F373" s="132">
        <f>TrialBalanceA!I373-TrialBalanceA!K373</f>
        <v>0</v>
      </c>
      <c r="G373" s="132">
        <f>TrialBalanceB!I373-TrialBalanceB!K373</f>
        <v>0</v>
      </c>
      <c r="H373" s="132">
        <f>TrialBalanceC!I373-TrialBalanceC!K373</f>
        <v>0</v>
      </c>
      <c r="I373" s="79">
        <f t="shared" si="104"/>
        <v>0</v>
      </c>
      <c r="J373" s="198">
        <f>SUMIF(Journals!D$14:D$920,TrialBalance!P373,Journals!J$14:J$920)+SUMIF(Journals!E$14:E$920,TrialBalance!P373,Journals!J$14:J$920)</f>
        <v>0</v>
      </c>
      <c r="K373" s="253"/>
      <c r="L373" s="255">
        <f t="shared" ref="L373:L401" si="105">ROUND(D373-E373+F373+G373+H373+J373+I373,0)</f>
        <v>0</v>
      </c>
      <c r="M373" s="75"/>
      <c r="N373" s="48">
        <f t="shared" si="71"/>
        <v>0</v>
      </c>
      <c r="P373" s="140" t="str">
        <f t="shared" si="95"/>
        <v>8500/000Cash on hand</v>
      </c>
      <c r="Q373" s="70"/>
      <c r="R373" s="31"/>
      <c r="S373" s="71"/>
      <c r="T373" s="51"/>
      <c r="U373" s="31"/>
    </row>
    <row r="374" spans="1:21" x14ac:dyDescent="0.2">
      <c r="A374" s="238"/>
      <c r="B374" s="54" t="s">
        <v>400</v>
      </c>
      <c r="C374" s="244" t="s">
        <v>262</v>
      </c>
      <c r="D374" s="250"/>
      <c r="E374" s="251"/>
      <c r="F374" s="132"/>
      <c r="G374" s="132"/>
      <c r="H374" s="132"/>
      <c r="I374" s="79"/>
      <c r="J374" s="198">
        <f>SUMIF(Journals!D$14:D$920,TrialBalance!P374,Journals!J$14:J$920)+SUMIF(Journals!E$14:E$920,TrialBalance!P374,Journals!J$14:J$920)</f>
        <v>0</v>
      </c>
      <c r="K374" s="253"/>
      <c r="L374" s="255">
        <f t="shared" si="105"/>
        <v>0</v>
      </c>
      <c r="M374" s="75"/>
      <c r="N374" s="48">
        <f t="shared" si="71"/>
        <v>0</v>
      </c>
      <c r="P374" s="140" t="str">
        <f t="shared" ref="P374:P401" si="106">CONCATENATE(B374,C374)</f>
        <v>8900/000SHORT TERM LOANS</v>
      </c>
      <c r="Q374" s="70"/>
      <c r="R374" s="31"/>
      <c r="S374" s="71"/>
      <c r="T374" s="51"/>
      <c r="U374" s="31"/>
    </row>
    <row r="375" spans="1:21" x14ac:dyDescent="0.2">
      <c r="A375" s="238"/>
      <c r="B375" s="54" t="s">
        <v>401</v>
      </c>
      <c r="C375" s="243"/>
      <c r="D375" s="250"/>
      <c r="E375" s="251"/>
      <c r="F375" s="132">
        <f>TrialBalanceA!I375-TrialBalanceA!K375</f>
        <v>0</v>
      </c>
      <c r="G375" s="132">
        <f>TrialBalanceB!I375-TrialBalanceB!K375</f>
        <v>0</v>
      </c>
      <c r="H375" s="132">
        <f>TrialBalanceC!I375-TrialBalanceC!K375</f>
        <v>0</v>
      </c>
      <c r="I375" s="79">
        <f>N375</f>
        <v>0</v>
      </c>
      <c r="J375" s="198">
        <f>SUMIF(Journals!D$14:D$920,TrialBalance!P375,Journals!J$14:J$920)+SUMIF(Journals!E$14:E$920,TrialBalance!P375,Journals!J$14:J$920)</f>
        <v>0</v>
      </c>
      <c r="K375" s="253"/>
      <c r="L375" s="255">
        <f t="shared" si="105"/>
        <v>0</v>
      </c>
      <c r="M375" s="75"/>
      <c r="N375" s="48">
        <f t="shared" si="71"/>
        <v>0</v>
      </c>
      <c r="P375" s="140" t="str">
        <f t="shared" si="106"/>
        <v>8900/001</v>
      </c>
      <c r="Q375" s="72"/>
      <c r="R375" s="31"/>
      <c r="S375" s="71"/>
      <c r="T375" s="51"/>
      <c r="U375" s="31"/>
    </row>
    <row r="376" spans="1:21" x14ac:dyDescent="0.2">
      <c r="A376" s="238"/>
      <c r="B376" s="54" t="s">
        <v>402</v>
      </c>
      <c r="C376" s="243"/>
      <c r="D376" s="250"/>
      <c r="E376" s="251"/>
      <c r="F376" s="132">
        <f>TrialBalanceA!I376-TrialBalanceA!K376</f>
        <v>0</v>
      </c>
      <c r="G376" s="132">
        <f>TrialBalanceB!I376-TrialBalanceB!K376</f>
        <v>0</v>
      </c>
      <c r="H376" s="132">
        <f>TrialBalanceC!I376-TrialBalanceC!K376</f>
        <v>0</v>
      </c>
      <c r="I376" s="79">
        <f>N376</f>
        <v>0</v>
      </c>
      <c r="J376" s="198">
        <f>SUMIF(Journals!D$14:D$920,TrialBalance!P376,Journals!J$14:J$920)+SUMIF(Journals!E$14:E$920,TrialBalance!P376,Journals!J$14:J$920)</f>
        <v>0</v>
      </c>
      <c r="K376" s="253"/>
      <c r="L376" s="255">
        <f t="shared" si="105"/>
        <v>0</v>
      </c>
      <c r="M376" s="75"/>
      <c r="N376" s="48">
        <f t="shared" si="71"/>
        <v>0</v>
      </c>
      <c r="P376" s="140" t="str">
        <f t="shared" si="106"/>
        <v>8900/002</v>
      </c>
      <c r="Q376" s="72"/>
      <c r="R376" s="31"/>
      <c r="S376" s="71"/>
      <c r="T376" s="51"/>
      <c r="U376" s="31"/>
    </row>
    <row r="377" spans="1:21" x14ac:dyDescent="0.2">
      <c r="A377" s="238"/>
      <c r="B377" s="54" t="s">
        <v>403</v>
      </c>
      <c r="C377" s="243"/>
      <c r="D377" s="251"/>
      <c r="E377" s="251"/>
      <c r="F377" s="132">
        <f>TrialBalanceA!I377-TrialBalanceA!K377</f>
        <v>0</v>
      </c>
      <c r="G377" s="132">
        <f>TrialBalanceB!I377-TrialBalanceB!K377</f>
        <v>0</v>
      </c>
      <c r="H377" s="132">
        <f>TrialBalanceC!I377-TrialBalanceC!K377</f>
        <v>0</v>
      </c>
      <c r="I377" s="79">
        <f>N377</f>
        <v>0</v>
      </c>
      <c r="J377" s="198">
        <f>SUMIF(Journals!D$14:D$920,TrialBalance!P377,Journals!J$14:J$920)+SUMIF(Journals!E$14:E$920,TrialBalance!P377,Journals!J$14:J$920)</f>
        <v>0</v>
      </c>
      <c r="K377" s="253"/>
      <c r="L377" s="255">
        <f t="shared" si="105"/>
        <v>0</v>
      </c>
      <c r="M377" s="75"/>
      <c r="N377" s="48">
        <f t="shared" si="71"/>
        <v>0</v>
      </c>
      <c r="P377" s="140" t="str">
        <f t="shared" si="106"/>
        <v>8900/003</v>
      </c>
      <c r="Q377" s="72"/>
      <c r="R377" s="31"/>
      <c r="S377" s="71"/>
      <c r="T377" s="51"/>
      <c r="U377" s="31"/>
    </row>
    <row r="378" spans="1:21" x14ac:dyDescent="0.2">
      <c r="A378" s="238"/>
      <c r="B378" s="54" t="s">
        <v>404</v>
      </c>
      <c r="C378" s="239" t="s">
        <v>237</v>
      </c>
      <c r="D378" s="251"/>
      <c r="E378" s="251"/>
      <c r="F378" s="132"/>
      <c r="G378" s="132"/>
      <c r="H378" s="132"/>
      <c r="I378" s="79">
        <f>N378</f>
        <v>0</v>
      </c>
      <c r="J378" s="198">
        <f>SUMIF(Journals!D$14:D$920,TrialBalance!P378,Journals!J$14:J$920)+SUMIF(Journals!E$14:E$920,TrialBalance!P378,Journals!J$14:J$920)</f>
        <v>0</v>
      </c>
      <c r="K378" s="253"/>
      <c r="L378" s="255">
        <f t="shared" si="105"/>
        <v>0</v>
      </c>
      <c r="M378" s="75"/>
      <c r="N378" s="48">
        <f t="shared" si="71"/>
        <v>0</v>
      </c>
      <c r="P378" s="140" t="str">
        <f t="shared" si="106"/>
        <v>8900/004Short term portion of long term loans</v>
      </c>
      <c r="Q378" s="70"/>
      <c r="R378" s="31"/>
      <c r="S378" s="71"/>
      <c r="T378" s="51"/>
      <c r="U378" s="31"/>
    </row>
    <row r="379" spans="1:21" x14ac:dyDescent="0.2">
      <c r="A379" s="238"/>
      <c r="B379" s="54" t="s">
        <v>405</v>
      </c>
      <c r="C379" s="239" t="s">
        <v>406</v>
      </c>
      <c r="D379" s="252"/>
      <c r="E379" s="251"/>
      <c r="F379" s="132"/>
      <c r="G379" s="132"/>
      <c r="H379" s="132"/>
      <c r="I379" s="79"/>
      <c r="J379" s="198">
        <f>SUMIF(Journals!D$14:D$920,TrialBalance!P379,Journals!J$14:J$920)+SUMIF(Journals!E$14:E$920,TrialBalance!P379,Journals!J$14:J$920)</f>
        <v>0</v>
      </c>
      <c r="K379" s="254" t="s">
        <v>547</v>
      </c>
      <c r="L379" s="255">
        <f t="shared" si="105"/>
        <v>0</v>
      </c>
      <c r="M379" s="75"/>
      <c r="N379" s="48">
        <f t="shared" si="71"/>
        <v>0</v>
      </c>
      <c r="P379" s="140" t="str">
        <f t="shared" si="106"/>
        <v>9000/000CREDITORS</v>
      </c>
      <c r="Q379" s="70"/>
      <c r="R379" s="31"/>
      <c r="S379" s="71"/>
      <c r="T379" s="51"/>
      <c r="U379" s="31"/>
    </row>
    <row r="380" spans="1:21" x14ac:dyDescent="0.2">
      <c r="A380" s="238"/>
      <c r="B380" s="54" t="s">
        <v>407</v>
      </c>
      <c r="C380" s="240" t="s">
        <v>408</v>
      </c>
      <c r="D380" s="252"/>
      <c r="E380" s="251"/>
      <c r="F380" s="132">
        <f>TrialBalanceA!I380-TrialBalanceA!K380</f>
        <v>0</v>
      </c>
      <c r="G380" s="132">
        <f>TrialBalanceB!I380-TrialBalanceB!K380</f>
        <v>0</v>
      </c>
      <c r="H380" s="132">
        <f>TrialBalanceC!I380-TrialBalanceC!K380</f>
        <v>0</v>
      </c>
      <c r="I380" s="79">
        <f>N380</f>
        <v>0</v>
      </c>
      <c r="J380" s="198">
        <f>SUMIF(Journals!D$14:D$920,TrialBalance!P380,Journals!J$14:J$920)+SUMIF(Journals!E$14:E$920,TrialBalance!P380,Journals!J$14:J$920)</f>
        <v>0</v>
      </c>
      <c r="K380" s="253"/>
      <c r="L380" s="255">
        <f t="shared" si="105"/>
        <v>0</v>
      </c>
      <c r="M380" s="75"/>
      <c r="N380" s="48">
        <f t="shared" ref="N380:N402" si="107">ROUND(SUM(A380),0)</f>
        <v>0</v>
      </c>
      <c r="P380" s="140" t="str">
        <f t="shared" si="106"/>
        <v>9010/000Trade creditors</v>
      </c>
      <c r="Q380" s="72"/>
      <c r="R380" s="31"/>
      <c r="S380" s="71"/>
      <c r="T380" s="51"/>
      <c r="U380" s="31"/>
    </row>
    <row r="381" spans="1:21" x14ac:dyDescent="0.2">
      <c r="A381" s="238"/>
      <c r="B381" s="54" t="s">
        <v>409</v>
      </c>
      <c r="C381" s="242" t="s">
        <v>538</v>
      </c>
      <c r="D381" s="252"/>
      <c r="E381" s="251"/>
      <c r="F381" s="132">
        <f>TrialBalanceA!I381-TrialBalanceA!K381</f>
        <v>0</v>
      </c>
      <c r="G381" s="132">
        <f>TrialBalanceB!I381-TrialBalanceB!K381</f>
        <v>0</v>
      </c>
      <c r="H381" s="132">
        <f>TrialBalanceC!I381-TrialBalanceC!K381</f>
        <v>0</v>
      </c>
      <c r="I381" s="79">
        <f>N381</f>
        <v>0</v>
      </c>
      <c r="J381" s="198">
        <f>SUMIF(Journals!D$14:D$920,TrialBalance!P381,Journals!J$14:J$920)+SUMIF(Journals!E$14:E$920,TrialBalance!P381,Journals!J$14:J$920)</f>
        <v>0</v>
      </c>
      <c r="K381" s="253"/>
      <c r="L381" s="255">
        <f t="shared" si="105"/>
        <v>0</v>
      </c>
      <c r="M381" s="75"/>
      <c r="N381" s="48">
        <f t="shared" si="107"/>
        <v>0</v>
      </c>
      <c r="P381" s="140" t="str">
        <f t="shared" si="106"/>
        <v>9200/000Sundry suppliers</v>
      </c>
      <c r="Q381" s="70"/>
      <c r="R381" s="31"/>
      <c r="S381" s="71"/>
      <c r="T381" s="51"/>
      <c r="U381" s="31"/>
    </row>
    <row r="382" spans="1:21" x14ac:dyDescent="0.2">
      <c r="A382" s="238"/>
      <c r="B382" s="54" t="s">
        <v>410</v>
      </c>
      <c r="C382" s="242" t="s">
        <v>705</v>
      </c>
      <c r="D382" s="252"/>
      <c r="E382" s="251"/>
      <c r="F382" s="132">
        <f>TrialBalanceA!I382-TrialBalanceA!K382</f>
        <v>0</v>
      </c>
      <c r="G382" s="132">
        <f>TrialBalanceB!I382-TrialBalanceB!K382</f>
        <v>0</v>
      </c>
      <c r="H382" s="132">
        <f>TrialBalanceC!I382-TrialBalanceC!K382</f>
        <v>0</v>
      </c>
      <c r="I382" s="79">
        <f>N382</f>
        <v>0</v>
      </c>
      <c r="J382" s="198">
        <f>SUMIF(Journals!D$14:D$920,TrialBalance!P382,Journals!J$14:J$920)+SUMIF(Journals!E$14:E$920,TrialBalance!P382,Journals!J$14:J$920)</f>
        <v>0</v>
      </c>
      <c r="K382" s="253"/>
      <c r="L382" s="255">
        <f t="shared" si="105"/>
        <v>0</v>
      </c>
      <c r="M382" s="75"/>
      <c r="N382" s="48">
        <f t="shared" si="107"/>
        <v>0</v>
      </c>
      <c r="P382" s="140" t="str">
        <f t="shared" si="106"/>
        <v>9200/010Audit and accounting fee accrual</v>
      </c>
      <c r="Q382" s="70"/>
      <c r="R382" s="31"/>
      <c r="S382" s="71"/>
      <c r="T382" s="51"/>
      <c r="U382" s="31"/>
    </row>
    <row r="383" spans="1:21" x14ac:dyDescent="0.2">
      <c r="A383" s="238"/>
      <c r="B383" s="54" t="s">
        <v>411</v>
      </c>
      <c r="C383" s="242" t="s">
        <v>539</v>
      </c>
      <c r="D383" s="252"/>
      <c r="E383" s="251"/>
      <c r="F383" s="132">
        <f>TrialBalanceA!I383-TrialBalanceA!K383</f>
        <v>0</v>
      </c>
      <c r="G383" s="132">
        <f>TrialBalanceB!I383-TrialBalanceB!K383</f>
        <v>0</v>
      </c>
      <c r="H383" s="132">
        <f>TrialBalanceC!I383-TrialBalanceC!K383</f>
        <v>0</v>
      </c>
      <c r="I383" s="79">
        <f>N383</f>
        <v>0</v>
      </c>
      <c r="J383" s="198">
        <f>SUMIF(Journals!D$14:D$920,TrialBalance!P383,Journals!J$14:J$920)+SUMIF(Journals!E$14:E$920,TrialBalance!P383,Journals!J$14:J$920)</f>
        <v>0</v>
      </c>
      <c r="K383" s="253"/>
      <c r="L383" s="255">
        <f t="shared" si="105"/>
        <v>0</v>
      </c>
      <c r="M383" s="75"/>
      <c r="N383" s="48">
        <f t="shared" si="107"/>
        <v>0</v>
      </c>
      <c r="P383" s="140" t="str">
        <f t="shared" si="106"/>
        <v>9200/020Other accruals</v>
      </c>
      <c r="Q383" s="70"/>
      <c r="R383" s="31"/>
      <c r="S383" s="71"/>
      <c r="T383" s="51"/>
      <c r="U383" s="31"/>
    </row>
    <row r="384" spans="1:21" x14ac:dyDescent="0.2">
      <c r="A384" s="238"/>
      <c r="B384" s="54" t="s">
        <v>412</v>
      </c>
      <c r="C384" s="242" t="s">
        <v>701</v>
      </c>
      <c r="D384" s="252"/>
      <c r="E384" s="251"/>
      <c r="F384" s="132">
        <f>TrialBalanceA!I384-TrialBalanceA!K384</f>
        <v>0</v>
      </c>
      <c r="G384" s="132">
        <f>TrialBalanceB!I384-TrialBalanceB!K384</f>
        <v>0</v>
      </c>
      <c r="H384" s="132">
        <f>TrialBalanceC!I384-TrialBalanceC!K384</f>
        <v>0</v>
      </c>
      <c r="I384" s="79">
        <f>N384</f>
        <v>0</v>
      </c>
      <c r="J384" s="198">
        <f>SUMIF(Journals!D$14:D$920,TrialBalance!P384,Journals!J$14:J$920)+SUMIF(Journals!E$14:E$920,TrialBalance!P384,Journals!J$14:J$920)</f>
        <v>0</v>
      </c>
      <c r="K384" s="253"/>
      <c r="L384" s="255">
        <f t="shared" si="105"/>
        <v>0</v>
      </c>
      <c r="M384" s="75"/>
      <c r="N384" s="48">
        <f t="shared" si="107"/>
        <v>0</v>
      </c>
      <c r="P384" s="140" t="str">
        <f t="shared" si="106"/>
        <v>9250/000Salary and wages control</v>
      </c>
      <c r="Q384" s="72"/>
      <c r="R384" s="31"/>
      <c r="S384" s="71"/>
      <c r="T384" s="51"/>
      <c r="U384" s="31"/>
    </row>
    <row r="385" spans="1:21" x14ac:dyDescent="0.2">
      <c r="A385" s="238"/>
      <c r="B385" s="54" t="s">
        <v>313</v>
      </c>
      <c r="C385" s="239" t="s">
        <v>104</v>
      </c>
      <c r="D385" s="250"/>
      <c r="E385" s="251"/>
      <c r="F385" s="132"/>
      <c r="G385" s="132"/>
      <c r="H385" s="132"/>
      <c r="I385" s="79"/>
      <c r="J385" s="198">
        <f>SUMIF(Journals!D$14:D$920,TrialBalance!P385,Journals!J$14:J$920)+SUMIF(Journals!E$14:E$920,TrialBalance!P385,Journals!J$14:J$920)</f>
        <v>0</v>
      </c>
      <c r="K385" s="253"/>
      <c r="L385" s="255">
        <f t="shared" si="105"/>
        <v>0</v>
      </c>
      <c r="M385" s="75"/>
      <c r="N385" s="48">
        <f t="shared" si="107"/>
        <v>0</v>
      </c>
      <c r="P385" s="140" t="str">
        <f t="shared" si="106"/>
        <v>9300/000TAXATION</v>
      </c>
      <c r="Q385" s="70"/>
      <c r="R385" s="31"/>
      <c r="S385" s="71"/>
      <c r="T385" s="51"/>
      <c r="U385" s="31"/>
    </row>
    <row r="386" spans="1:21" x14ac:dyDescent="0.2">
      <c r="A386" s="238"/>
      <c r="B386" s="54" t="s">
        <v>423</v>
      </c>
      <c r="C386" s="240" t="s">
        <v>78</v>
      </c>
      <c r="D386" s="250"/>
      <c r="E386" s="251"/>
      <c r="F386" s="132"/>
      <c r="G386" s="132"/>
      <c r="H386" s="132"/>
      <c r="I386" s="79">
        <f>SUM(N386:N392)</f>
        <v>0</v>
      </c>
      <c r="J386" s="198">
        <f>SUMIF(Journals!D$14:D$920,TrialBalance!P386,Journals!J$14:J$920)+SUMIF(Journals!E$14:E$920,TrialBalance!P386,Journals!J$14:J$920)</f>
        <v>0</v>
      </c>
      <c r="K386" s="253"/>
      <c r="L386" s="255">
        <f t="shared" si="105"/>
        <v>0</v>
      </c>
      <c r="M386" s="75"/>
      <c r="N386" s="48">
        <f t="shared" si="107"/>
        <v>0</v>
      </c>
      <c r="P386" s="140" t="str">
        <f t="shared" si="106"/>
        <v>9300/010Balance b/fwd</v>
      </c>
      <c r="Q386" s="70"/>
      <c r="R386" s="31"/>
      <c r="S386" s="71"/>
      <c r="T386" s="71"/>
      <c r="U386" s="31"/>
    </row>
    <row r="387" spans="1:21" x14ac:dyDescent="0.2">
      <c r="A387" s="238"/>
      <c r="B387" s="54" t="s">
        <v>424</v>
      </c>
      <c r="C387" s="246" t="s">
        <v>110</v>
      </c>
      <c r="D387" s="251"/>
      <c r="E387" s="251"/>
      <c r="F387" s="132">
        <f>TrialBalanceA!I387</f>
        <v>0</v>
      </c>
      <c r="G387" s="132">
        <f>TrialBalanceB!I387</f>
        <v>0</v>
      </c>
      <c r="H387" s="132">
        <f>TrialBalanceC!I387</f>
        <v>0</v>
      </c>
      <c r="I387" s="79"/>
      <c r="J387" s="198">
        <f>SUMIF(Journals!D$14:D$920,TrialBalance!P387,Journals!J$14:J$920)+SUMIF(Journals!E$14:E$920,TrialBalance!P387,Journals!J$14:J$920)</f>
        <v>0</v>
      </c>
      <c r="K387" s="253"/>
      <c r="L387" s="255">
        <f t="shared" si="105"/>
        <v>0</v>
      </c>
      <c r="M387" s="75"/>
      <c r="N387" s="48">
        <f t="shared" si="107"/>
        <v>0</v>
      </c>
      <c r="P387" s="140" t="str">
        <f t="shared" si="106"/>
        <v>9300/020Tax provision this year</v>
      </c>
      <c r="Q387" s="70"/>
      <c r="R387" s="31"/>
      <c r="S387" s="71"/>
      <c r="T387" s="51"/>
      <c r="U387" s="31"/>
    </row>
    <row r="388" spans="1:21" x14ac:dyDescent="0.2">
      <c r="A388" s="238"/>
      <c r="B388" s="54" t="s">
        <v>425</v>
      </c>
      <c r="C388" s="242" t="s">
        <v>784</v>
      </c>
      <c r="D388" s="250"/>
      <c r="E388" s="251"/>
      <c r="F388" s="132">
        <f>TrialBalanceA!I388</f>
        <v>0</v>
      </c>
      <c r="G388" s="132">
        <f>TrialBalanceB!I388</f>
        <v>0</v>
      </c>
      <c r="H388" s="132">
        <f>TrialBalanceC!I388</f>
        <v>0</v>
      </c>
      <c r="I388" s="79"/>
      <c r="J388" s="198">
        <f>SUMIF(Journals!D$14:D$920,TrialBalance!P388,Journals!J$14:J$920)+SUMIF(Journals!E$14:E$920,TrialBalance!P388,Journals!J$14:J$920)</f>
        <v>0</v>
      </c>
      <c r="K388" s="253"/>
      <c r="L388" s="255">
        <f t="shared" si="105"/>
        <v>0</v>
      </c>
      <c r="M388" s="75"/>
      <c r="N388" s="48">
        <f t="shared" si="107"/>
        <v>0</v>
      </c>
      <c r="P388" s="140" t="str">
        <f t="shared" si="106"/>
        <v>9300/030Over-/(Under) provision previous year</v>
      </c>
      <c r="Q388" s="70"/>
      <c r="R388" s="31"/>
      <c r="S388" s="71"/>
      <c r="T388" s="51"/>
      <c r="U388" s="31"/>
    </row>
    <row r="389" spans="1:21" x14ac:dyDescent="0.2">
      <c r="A389" s="238"/>
      <c r="B389" s="54" t="s">
        <v>426</v>
      </c>
      <c r="C389" s="242" t="s">
        <v>785</v>
      </c>
      <c r="D389" s="250"/>
      <c r="E389" s="251"/>
      <c r="F389" s="132">
        <f>TrialBalanceA!I389</f>
        <v>0</v>
      </c>
      <c r="G389" s="132">
        <f>TrialBalanceB!I389</f>
        <v>0</v>
      </c>
      <c r="H389" s="132">
        <f>TrialBalanceC!I389</f>
        <v>0</v>
      </c>
      <c r="I389" s="79"/>
      <c r="J389" s="198">
        <f>SUMIF(Journals!D$14:D$920,TrialBalance!P389,Journals!J$14:J$920)+SUMIF(Journals!E$14:E$920,TrialBalance!P389,Journals!J$14:J$920)</f>
        <v>0</v>
      </c>
      <c r="K389" s="253"/>
      <c r="L389" s="255">
        <f t="shared" si="105"/>
        <v>0</v>
      </c>
      <c r="M389" s="75"/>
      <c r="N389" s="48">
        <f t="shared" si="107"/>
        <v>0</v>
      </c>
      <c r="P389" s="140" t="str">
        <f t="shared" si="106"/>
        <v>9300/040Tax paid/(refund) for previous year provisions</v>
      </c>
      <c r="Q389" s="70"/>
      <c r="R389" s="31"/>
      <c r="S389" s="71"/>
      <c r="T389" s="51"/>
      <c r="U389" s="31"/>
    </row>
    <row r="390" spans="1:21" x14ac:dyDescent="0.2">
      <c r="A390" s="238"/>
      <c r="B390" s="54" t="s">
        <v>427</v>
      </c>
      <c r="C390" s="242" t="s">
        <v>756</v>
      </c>
      <c r="D390" s="250"/>
      <c r="E390" s="251"/>
      <c r="F390" s="132">
        <f>TrialBalanceA!I390</f>
        <v>0</v>
      </c>
      <c r="G390" s="132">
        <f>TrialBalanceB!I390</f>
        <v>0</v>
      </c>
      <c r="H390" s="132">
        <f>TrialBalanceC!I390</f>
        <v>0</v>
      </c>
      <c r="I390" s="79"/>
      <c r="J390" s="198">
        <f>SUMIF(Journals!D$14:D$920,TrialBalance!P390,Journals!J$14:J$920)+SUMIF(Journals!E$14:E$920,TrialBalance!P390,Journals!J$14:J$920)</f>
        <v>0</v>
      </c>
      <c r="K390" s="253"/>
      <c r="L390" s="255">
        <f t="shared" si="105"/>
        <v>0</v>
      </c>
      <c r="M390" s="75"/>
      <c r="N390" s="48">
        <f t="shared" si="107"/>
        <v>0</v>
      </c>
      <c r="P390" s="140" t="str">
        <f t="shared" si="106"/>
        <v>9300/0501st Provisional paid</v>
      </c>
      <c r="Q390" s="70"/>
      <c r="R390" s="31"/>
      <c r="S390" s="71"/>
      <c r="T390" s="51"/>
      <c r="U390" s="31"/>
    </row>
    <row r="391" spans="1:21" x14ac:dyDescent="0.2">
      <c r="A391" s="238"/>
      <c r="B391" s="54" t="s">
        <v>428</v>
      </c>
      <c r="C391" s="242" t="s">
        <v>757</v>
      </c>
      <c r="D391" s="250"/>
      <c r="E391" s="251"/>
      <c r="F391" s="132">
        <f>TrialBalanceA!I391</f>
        <v>0</v>
      </c>
      <c r="G391" s="132">
        <f>TrialBalanceB!I391</f>
        <v>0</v>
      </c>
      <c r="H391" s="132">
        <f>TrialBalanceC!I391</f>
        <v>0</v>
      </c>
      <c r="I391" s="79"/>
      <c r="J391" s="198">
        <f>SUMIF(Journals!D$14:D$920,TrialBalance!P391,Journals!J$14:J$920)+SUMIF(Journals!E$14:E$920,TrialBalance!P391,Journals!J$14:J$920)</f>
        <v>0</v>
      </c>
      <c r="K391" s="253"/>
      <c r="L391" s="255">
        <f t="shared" si="105"/>
        <v>0</v>
      </c>
      <c r="M391" s="75"/>
      <c r="N391" s="48">
        <f t="shared" si="107"/>
        <v>0</v>
      </c>
      <c r="P391" s="140" t="str">
        <f t="shared" si="106"/>
        <v>9300/0602nd Provisional paid</v>
      </c>
      <c r="Q391" s="70"/>
      <c r="R391" s="31"/>
      <c r="S391" s="71"/>
      <c r="T391" s="51"/>
      <c r="U391" s="31"/>
    </row>
    <row r="392" spans="1:21" x14ac:dyDescent="0.2">
      <c r="A392" s="238"/>
      <c r="B392" s="54" t="s">
        <v>429</v>
      </c>
      <c r="C392" s="240" t="s">
        <v>111</v>
      </c>
      <c r="D392" s="250"/>
      <c r="E392" s="251"/>
      <c r="F392" s="132">
        <f>TrialBalanceA!I392</f>
        <v>0</v>
      </c>
      <c r="G392" s="132">
        <f>TrialBalanceB!I392</f>
        <v>0</v>
      </c>
      <c r="H392" s="132">
        <f>TrialBalanceC!I392</f>
        <v>0</v>
      </c>
      <c r="I392" s="79"/>
      <c r="J392" s="198">
        <f>SUMIF(Journals!D$14:D$920,TrialBalance!P392,Journals!J$14:J$920)+SUMIF(Journals!E$14:E$920,TrialBalance!P392,Journals!J$14:J$920)</f>
        <v>0</v>
      </c>
      <c r="K392" s="253"/>
      <c r="L392" s="255">
        <f t="shared" si="105"/>
        <v>0</v>
      </c>
      <c r="M392" s="75"/>
      <c r="N392" s="48">
        <f t="shared" si="107"/>
        <v>0</v>
      </c>
      <c r="P392" s="140" t="str">
        <f t="shared" si="106"/>
        <v>9300/0703rd Provisional paid</v>
      </c>
      <c r="Q392" s="70"/>
      <c r="R392" s="31"/>
      <c r="S392" s="71"/>
      <c r="T392" s="51"/>
      <c r="U392" s="31"/>
    </row>
    <row r="393" spans="1:21" x14ac:dyDescent="0.2">
      <c r="A393" s="238"/>
      <c r="B393" s="54" t="s">
        <v>430</v>
      </c>
      <c r="C393" s="242" t="s">
        <v>786</v>
      </c>
      <c r="D393" s="250"/>
      <c r="E393" s="251"/>
      <c r="F393" s="132"/>
      <c r="G393" s="132"/>
      <c r="H393" s="132"/>
      <c r="I393" s="79">
        <f>N393</f>
        <v>0</v>
      </c>
      <c r="J393" s="198">
        <f>SUMIF(Journals!D$14:D$920,TrialBalance!P393,Journals!J$14:J$920)+SUMIF(Journals!E$14:E$920,TrialBalance!P393,Journals!J$14:J$920)</f>
        <v>0</v>
      </c>
      <c r="K393" s="253"/>
      <c r="L393" s="255">
        <f t="shared" si="105"/>
        <v>0</v>
      </c>
      <c r="M393" s="75"/>
      <c r="N393" s="48">
        <f t="shared" si="107"/>
        <v>0</v>
      </c>
      <c r="P393" s="140" t="str">
        <f t="shared" si="106"/>
        <v>9300/090Dividends' tax provision</v>
      </c>
      <c r="Q393" s="70"/>
      <c r="R393" s="31"/>
      <c r="S393" s="71"/>
      <c r="T393" s="51"/>
      <c r="U393" s="31"/>
    </row>
    <row r="394" spans="1:21" x14ac:dyDescent="0.2">
      <c r="A394" s="238"/>
      <c r="B394" s="54" t="s">
        <v>314</v>
      </c>
      <c r="C394" s="242" t="s">
        <v>525</v>
      </c>
      <c r="D394" s="250"/>
      <c r="E394" s="251"/>
      <c r="F394" s="132"/>
      <c r="G394" s="132"/>
      <c r="H394" s="132"/>
      <c r="I394" s="79">
        <f>N394</f>
        <v>0</v>
      </c>
      <c r="J394" s="198">
        <f>SUMIF(Journals!D$14:D$920,TrialBalance!P394,Journals!J$14:J$920)+SUMIF(Journals!E$14:E$920,TrialBalance!P394,Journals!J$14:J$920)</f>
        <v>0</v>
      </c>
      <c r="K394" s="253"/>
      <c r="L394" s="255">
        <f t="shared" si="105"/>
        <v>0</v>
      </c>
      <c r="M394" s="75"/>
      <c r="N394" s="48">
        <f t="shared" si="107"/>
        <v>0</v>
      </c>
      <c r="P394" s="140" t="str">
        <f t="shared" si="106"/>
        <v>9350/000Dividends payable</v>
      </c>
      <c r="Q394" s="70"/>
      <c r="R394" s="31"/>
      <c r="S394" s="71"/>
      <c r="T394" s="51"/>
      <c r="U394" s="31"/>
    </row>
    <row r="395" spans="1:21" x14ac:dyDescent="0.2">
      <c r="A395" s="238"/>
      <c r="B395" s="54" t="s">
        <v>315</v>
      </c>
      <c r="C395" s="242" t="s">
        <v>526</v>
      </c>
      <c r="D395" s="250"/>
      <c r="E395" s="251"/>
      <c r="F395" s="132">
        <f>TrialBalanceA!I395-TrialBalanceA!K395</f>
        <v>0</v>
      </c>
      <c r="G395" s="132">
        <f>TrialBalanceB!I395-TrialBalanceB!K395</f>
        <v>0</v>
      </c>
      <c r="H395" s="132">
        <f>TrialBalanceC!I395-TrialBalanceC!K395</f>
        <v>0</v>
      </c>
      <c r="I395" s="79">
        <f>N395</f>
        <v>0</v>
      </c>
      <c r="J395" s="198">
        <f>SUMIF(Journals!D$14:D$920,TrialBalance!P395,Journals!J$14:J$920)+SUMIF(Journals!E$14:E$920,TrialBalance!P395,Journals!J$14:J$920)</f>
        <v>0</v>
      </c>
      <c r="K395" s="253"/>
      <c r="L395" s="255">
        <f t="shared" si="105"/>
        <v>0</v>
      </c>
      <c r="M395" s="75"/>
      <c r="N395" s="48">
        <f t="shared" si="107"/>
        <v>0</v>
      </c>
      <c r="P395" s="140" t="str">
        <f t="shared" si="106"/>
        <v>9400/000Provision for future expenses</v>
      </c>
      <c r="Q395" s="70"/>
      <c r="R395" s="31"/>
      <c r="S395" s="71"/>
      <c r="T395" s="51"/>
      <c r="U395" s="31"/>
    </row>
    <row r="396" spans="1:21" x14ac:dyDescent="0.2">
      <c r="A396" s="238"/>
      <c r="B396" s="54" t="s">
        <v>316</v>
      </c>
      <c r="C396" s="242" t="s">
        <v>527</v>
      </c>
      <c r="D396" s="250"/>
      <c r="E396" s="251"/>
      <c r="F396" s="132">
        <f>TrialBalanceA!I396-TrialBalanceA!K396</f>
        <v>0</v>
      </c>
      <c r="G396" s="132">
        <f>TrialBalanceB!I396-TrialBalanceB!K396</f>
        <v>0</v>
      </c>
      <c r="H396" s="132">
        <f>TrialBalanceC!I396-TrialBalanceC!K396</f>
        <v>0</v>
      </c>
      <c r="I396" s="79">
        <f>N396</f>
        <v>0</v>
      </c>
      <c r="J396" s="198">
        <f>SUMIF(Journals!D$14:D$920,TrialBalance!P396,Journals!J$14:J$920)+SUMIF(Journals!E$14:E$920,TrialBalance!P396,Journals!J$14:J$920)</f>
        <v>0</v>
      </c>
      <c r="K396" s="253"/>
      <c r="L396" s="255">
        <f t="shared" si="105"/>
        <v>0</v>
      </c>
      <c r="M396" s="75"/>
      <c r="N396" s="48">
        <f t="shared" si="107"/>
        <v>0</v>
      </c>
      <c r="P396" s="140" t="str">
        <f t="shared" si="106"/>
        <v>9400/010Provision for insurance</v>
      </c>
      <c r="Q396" s="70"/>
      <c r="R396" s="31"/>
      <c r="S396" s="71"/>
      <c r="T396" s="51"/>
      <c r="U396" s="31"/>
    </row>
    <row r="397" spans="1:21" x14ac:dyDescent="0.2">
      <c r="A397" s="238"/>
      <c r="B397" s="54" t="s">
        <v>317</v>
      </c>
      <c r="C397" s="242" t="s">
        <v>528</v>
      </c>
      <c r="D397" s="250"/>
      <c r="E397" s="251"/>
      <c r="F397" s="132">
        <f>TrialBalanceA!I397-TrialBalanceA!K397</f>
        <v>0</v>
      </c>
      <c r="G397" s="132">
        <f>TrialBalanceB!I397-TrialBalanceB!K397</f>
        <v>0</v>
      </c>
      <c r="H397" s="132">
        <f>TrialBalanceC!I397-TrialBalanceC!K397</f>
        <v>0</v>
      </c>
      <c r="I397" s="79">
        <f>N397</f>
        <v>0</v>
      </c>
      <c r="J397" s="198">
        <f>SUMIF(Journals!D$14:D$920,TrialBalance!P397,Journals!J$14:J$920)+SUMIF(Journals!E$14:E$920,TrialBalance!P397,Journals!J$14:J$920)</f>
        <v>0</v>
      </c>
      <c r="K397" s="253"/>
      <c r="L397" s="255">
        <f t="shared" si="105"/>
        <v>0</v>
      </c>
      <c r="M397" s="75"/>
      <c r="N397" s="48">
        <f t="shared" si="107"/>
        <v>0</v>
      </c>
      <c r="P397" s="140" t="str">
        <f t="shared" si="106"/>
        <v>9400/020Provision for salary bonus</v>
      </c>
      <c r="Q397" s="70"/>
      <c r="R397" s="31"/>
      <c r="S397" s="71"/>
      <c r="T397" s="51"/>
      <c r="U397" s="31"/>
    </row>
    <row r="398" spans="1:21" x14ac:dyDescent="0.2">
      <c r="A398" s="238"/>
      <c r="B398" s="54" t="s">
        <v>318</v>
      </c>
      <c r="C398" s="239" t="s">
        <v>319</v>
      </c>
      <c r="D398" s="250"/>
      <c r="E398" s="251"/>
      <c r="F398" s="132"/>
      <c r="G398" s="132"/>
      <c r="H398" s="132"/>
      <c r="I398" s="79"/>
      <c r="J398" s="198">
        <f>SUMIF(Journals!D$14:D$920,TrialBalance!P398,Journals!J$14:J$920)+SUMIF(Journals!E$14:E$920,TrialBalance!P398,Journals!J$14:J$920)</f>
        <v>0</v>
      </c>
      <c r="K398" s="253"/>
      <c r="L398" s="255">
        <f t="shared" si="105"/>
        <v>0</v>
      </c>
      <c r="M398" s="75"/>
      <c r="N398" s="48">
        <f t="shared" si="107"/>
        <v>0</v>
      </c>
      <c r="P398" s="140" t="str">
        <f t="shared" si="106"/>
        <v>9500/000VALUE ADDED TAX</v>
      </c>
      <c r="Q398" s="70"/>
      <c r="R398" s="31"/>
      <c r="S398" s="71"/>
      <c r="T398" s="51"/>
      <c r="U398" s="31"/>
    </row>
    <row r="399" spans="1:21" x14ac:dyDescent="0.2">
      <c r="A399" s="238"/>
      <c r="B399" s="54" t="s">
        <v>320</v>
      </c>
      <c r="C399" s="240" t="s">
        <v>321</v>
      </c>
      <c r="D399" s="251"/>
      <c r="E399" s="250"/>
      <c r="F399" s="132">
        <f>TrialBalanceA!I399-TrialBalanceA!K399</f>
        <v>0</v>
      </c>
      <c r="G399" s="132">
        <f>TrialBalanceB!I399-TrialBalanceB!K399</f>
        <v>0</v>
      </c>
      <c r="H399" s="132">
        <f>TrialBalanceC!I399-TrialBalanceC!K399</f>
        <v>0</v>
      </c>
      <c r="I399" s="79">
        <f>N399</f>
        <v>0</v>
      </c>
      <c r="J399" s="198">
        <f>SUMIF(Journals!D$14:D$920,TrialBalance!P399,Journals!J$14:J$920)+SUMIF(Journals!E$14:E$920,TrialBalance!P399,Journals!J$14:J$920)</f>
        <v>0</v>
      </c>
      <c r="K399" s="254" t="s">
        <v>547</v>
      </c>
      <c r="L399" s="255">
        <f t="shared" si="105"/>
        <v>0</v>
      </c>
      <c r="M399" s="75"/>
      <c r="N399" s="48">
        <f t="shared" si="107"/>
        <v>0</v>
      </c>
      <c r="P399" s="140" t="str">
        <f t="shared" si="106"/>
        <v>9501/000VAT account</v>
      </c>
      <c r="Q399" s="72"/>
      <c r="R399" s="31"/>
      <c r="S399" s="71"/>
      <c r="T399" s="51"/>
      <c r="U399" s="31"/>
    </row>
    <row r="400" spans="1:21" x14ac:dyDescent="0.2">
      <c r="A400" s="238"/>
      <c r="B400" s="54" t="s">
        <v>322</v>
      </c>
      <c r="C400" s="242" t="s">
        <v>578</v>
      </c>
      <c r="D400" s="250"/>
      <c r="E400" s="251"/>
      <c r="F400" s="132"/>
      <c r="G400" s="132"/>
      <c r="H400" s="132"/>
      <c r="I400" s="79"/>
      <c r="J400" s="198">
        <f>SUMIF(Journals!D$14:D$920,TrialBalance!P400,Journals!J$14:J$920)+SUMIF(Journals!E$14:E$920,TrialBalance!P400,Journals!J$14:J$920)</f>
        <v>0</v>
      </c>
      <c r="K400" s="253"/>
      <c r="L400" s="255">
        <f t="shared" si="105"/>
        <v>0</v>
      </c>
      <c r="M400" s="75"/>
      <c r="N400" s="48">
        <f t="shared" si="107"/>
        <v>0</v>
      </c>
      <c r="P400" s="140" t="str">
        <f t="shared" si="106"/>
        <v>9510/000--------------------------------------------------</v>
      </c>
      <c r="Q400" s="70"/>
      <c r="R400" s="31"/>
      <c r="S400" s="71"/>
      <c r="T400" s="51"/>
      <c r="U400" s="31"/>
    </row>
    <row r="401" spans="1:21" x14ac:dyDescent="0.2">
      <c r="A401" s="238"/>
      <c r="B401" s="54" t="s">
        <v>323</v>
      </c>
      <c r="C401" s="239" t="s">
        <v>758</v>
      </c>
      <c r="D401" s="250"/>
      <c r="E401" s="250"/>
      <c r="F401" s="132">
        <f>TrialBalanceA!I401-TrialBalanceA!K401</f>
        <v>0</v>
      </c>
      <c r="G401" s="132">
        <f>TrialBalanceB!I401-TrialBalanceB!K401</f>
        <v>0</v>
      </c>
      <c r="H401" s="132">
        <f>TrialBalanceC!I401-TrialBalanceC!K401</f>
        <v>0</v>
      </c>
      <c r="I401" s="79"/>
      <c r="J401" s="198">
        <f>SUMIF(Journals!D$14:D$920,TrialBalance!P401,Journals!J$14:J$920)+SUMIF(Journals!E$14:E$920,TrialBalance!P401,Journals!J$14:J$920)</f>
        <v>0</v>
      </c>
      <c r="K401" s="253"/>
      <c r="L401" s="255">
        <f t="shared" si="105"/>
        <v>0</v>
      </c>
      <c r="M401" s="75"/>
      <c r="N401" s="48">
        <f t="shared" si="107"/>
        <v>0</v>
      </c>
      <c r="P401" s="140" t="str">
        <f t="shared" si="106"/>
        <v>9990/000Suspense account</v>
      </c>
      <c r="Q401" s="72"/>
      <c r="R401" s="31"/>
      <c r="S401" s="71"/>
      <c r="T401" s="51"/>
      <c r="U401" s="31"/>
    </row>
    <row r="402" spans="1:21" x14ac:dyDescent="0.2">
      <c r="A402" s="238"/>
      <c r="B402" s="54" t="s">
        <v>212</v>
      </c>
      <c r="C402" s="239" t="s">
        <v>212</v>
      </c>
      <c r="D402" s="154"/>
      <c r="E402" s="83"/>
      <c r="F402" s="134"/>
      <c r="G402" s="134"/>
      <c r="H402" s="134"/>
      <c r="I402" s="81"/>
      <c r="J402" s="47"/>
      <c r="K402" s="253"/>
      <c r="L402" s="255"/>
      <c r="M402" s="75"/>
      <c r="N402" s="48">
        <f t="shared" si="107"/>
        <v>0</v>
      </c>
      <c r="P402" s="140">
        <v>0</v>
      </c>
      <c r="Q402" s="70"/>
      <c r="S402" s="46"/>
      <c r="T402" s="46"/>
      <c r="U402" s="31"/>
    </row>
    <row r="403" spans="1:21" x14ac:dyDescent="0.2">
      <c r="A403" s="238"/>
      <c r="B403" s="54" t="s">
        <v>212</v>
      </c>
      <c r="C403" s="55" t="s">
        <v>212</v>
      </c>
      <c r="D403" s="154"/>
      <c r="F403" s="135"/>
      <c r="G403" s="135"/>
      <c r="H403" s="135"/>
      <c r="I403" s="82"/>
      <c r="J403" s="47"/>
      <c r="K403" s="253"/>
      <c r="L403" s="255"/>
      <c r="M403" s="75"/>
      <c r="N403" s="48"/>
      <c r="P403" s="140">
        <v>0</v>
      </c>
      <c r="Q403" s="70"/>
      <c r="S403" s="73"/>
      <c r="T403" s="73"/>
      <c r="U403" s="31"/>
    </row>
    <row r="404" spans="1:21" ht="13.5" thickBot="1" x14ac:dyDescent="0.25">
      <c r="A404" s="41">
        <f>SUM(A5:A402)</f>
        <v>0</v>
      </c>
      <c r="B404" s="54" t="s">
        <v>212</v>
      </c>
      <c r="C404" s="55" t="s">
        <v>212</v>
      </c>
      <c r="D404" s="122">
        <f>SUM(D5:D403)</f>
        <v>0</v>
      </c>
      <c r="E404" s="122">
        <f>SUM(E5:E403)</f>
        <v>0</v>
      </c>
      <c r="F404" s="41">
        <f>SUM(F5:F403)</f>
        <v>0</v>
      </c>
      <c r="G404" s="41">
        <f>SUM(G5:G403)</f>
        <v>0</v>
      </c>
      <c r="H404" s="41">
        <f>SUM(H5:H403)</f>
        <v>0</v>
      </c>
      <c r="I404" s="41">
        <f>SUM(I5:I402)</f>
        <v>0</v>
      </c>
      <c r="J404" s="41">
        <f>ROUND(SUM(J5:J403),2)</f>
        <v>0</v>
      </c>
      <c r="K404" s="123"/>
      <c r="L404" s="122">
        <f>SUM(L5:L403)</f>
        <v>0</v>
      </c>
      <c r="M404" s="122"/>
      <c r="N404" s="41">
        <f>SUM(N5:N403)</f>
        <v>0</v>
      </c>
      <c r="P404" s="140">
        <v>0</v>
      </c>
      <c r="Q404" s="74"/>
      <c r="R404" s="74"/>
      <c r="S404" s="74"/>
      <c r="T404" s="74"/>
      <c r="U404" s="74"/>
    </row>
    <row r="405" spans="1:21" ht="13.5" thickTop="1" x14ac:dyDescent="0.2">
      <c r="A405" s="38"/>
      <c r="B405" s="42"/>
      <c r="C405" s="45"/>
      <c r="D405" s="154"/>
      <c r="F405" s="39"/>
      <c r="G405" s="39"/>
      <c r="H405" s="39"/>
      <c r="I405" s="39"/>
      <c r="J405" s="39"/>
      <c r="K405" s="39"/>
      <c r="L405" s="153"/>
      <c r="M405" s="59"/>
      <c r="N405" s="38"/>
      <c r="S405" s="39"/>
      <c r="T405" s="39"/>
    </row>
    <row r="406" spans="1:21" x14ac:dyDescent="0.2">
      <c r="A406" s="38"/>
      <c r="B406" s="42"/>
      <c r="C406" s="45"/>
      <c r="D406" s="154"/>
      <c r="F406" s="39"/>
      <c r="G406" s="39"/>
      <c r="H406" s="39"/>
      <c r="I406" s="39"/>
      <c r="J406" s="39"/>
      <c r="K406" s="39"/>
      <c r="N406" s="38"/>
      <c r="Q406" s="38"/>
      <c r="R406" s="38"/>
      <c r="S406" s="39"/>
      <c r="T406" s="39"/>
    </row>
    <row r="407" spans="1:21" x14ac:dyDescent="0.2">
      <c r="A407" s="38"/>
      <c r="B407" s="42"/>
      <c r="C407" s="45"/>
      <c r="D407" s="154"/>
      <c r="F407" s="39"/>
      <c r="G407" s="39"/>
      <c r="H407" s="39"/>
      <c r="I407" s="39"/>
      <c r="J407" s="39"/>
      <c r="K407" s="39"/>
      <c r="N407" s="38"/>
      <c r="Q407" s="38"/>
      <c r="S407" s="39"/>
      <c r="T407" s="39"/>
    </row>
    <row r="408" spans="1:21" x14ac:dyDescent="0.2">
      <c r="A408" s="38"/>
      <c r="B408" s="42"/>
      <c r="C408" s="45"/>
      <c r="D408" s="154"/>
      <c r="F408" s="39"/>
      <c r="G408" s="39"/>
      <c r="H408" s="39"/>
      <c r="I408" s="39"/>
      <c r="J408" s="39"/>
      <c r="K408" s="39"/>
      <c r="N408" s="38"/>
      <c r="S408" s="39"/>
      <c r="T408" s="39"/>
    </row>
    <row r="409" spans="1:21" x14ac:dyDescent="0.2">
      <c r="A409" s="38"/>
      <c r="B409" s="42"/>
      <c r="C409" s="45"/>
      <c r="D409" s="154"/>
      <c r="F409" s="39"/>
      <c r="G409" s="39"/>
      <c r="H409" s="39"/>
      <c r="I409" s="39"/>
      <c r="J409" s="39"/>
      <c r="K409" s="39"/>
      <c r="N409" s="38"/>
      <c r="S409" s="39"/>
      <c r="T409" s="39"/>
    </row>
    <row r="410" spans="1:21" x14ac:dyDescent="0.2">
      <c r="A410" s="38"/>
      <c r="B410" s="42"/>
      <c r="C410" s="45"/>
      <c r="D410" s="154"/>
      <c r="F410" s="39"/>
      <c r="G410" s="39"/>
      <c r="H410" s="39"/>
      <c r="I410" s="39"/>
      <c r="J410" s="39"/>
      <c r="K410" s="39"/>
      <c r="N410" s="42"/>
      <c r="S410" s="39"/>
      <c r="T410" s="39"/>
    </row>
    <row r="411" spans="1:21" x14ac:dyDescent="0.2">
      <c r="A411" s="38"/>
      <c r="B411" s="42"/>
      <c r="C411" s="45"/>
      <c r="D411" s="154"/>
      <c r="F411" s="39"/>
      <c r="G411" s="39"/>
      <c r="H411" s="39"/>
      <c r="I411" s="39"/>
      <c r="J411" s="39"/>
      <c r="K411" s="39"/>
      <c r="N411" s="42"/>
      <c r="S411" s="39"/>
      <c r="T411" s="39"/>
    </row>
    <row r="412" spans="1:21" x14ac:dyDescent="0.2">
      <c r="A412" s="38"/>
      <c r="B412" s="42"/>
      <c r="C412" s="45"/>
      <c r="D412" s="154"/>
      <c r="F412" s="39"/>
      <c r="G412" s="39"/>
      <c r="H412" s="39"/>
      <c r="I412" s="39"/>
      <c r="J412" s="39"/>
      <c r="K412" s="39"/>
      <c r="N412" s="42"/>
      <c r="S412" s="39"/>
      <c r="T412" s="39"/>
    </row>
    <row r="413" spans="1:21" x14ac:dyDescent="0.2">
      <c r="A413" s="38"/>
      <c r="B413" s="42"/>
      <c r="C413" s="45"/>
      <c r="F413" s="39"/>
      <c r="G413" s="39"/>
      <c r="H413" s="39"/>
      <c r="I413" s="39"/>
      <c r="J413" s="39"/>
      <c r="K413" s="39"/>
      <c r="N413" s="42"/>
      <c r="S413" s="39"/>
      <c r="T413" s="39"/>
    </row>
    <row r="414" spans="1:21" x14ac:dyDescent="0.2">
      <c r="A414" s="38"/>
      <c r="B414" s="42"/>
      <c r="C414" s="45"/>
      <c r="F414" s="39"/>
      <c r="G414" s="39"/>
      <c r="H414" s="39"/>
      <c r="I414" s="39"/>
      <c r="J414" s="39"/>
      <c r="K414" s="39"/>
      <c r="N414" s="42"/>
      <c r="S414" s="39"/>
      <c r="T414" s="39"/>
    </row>
    <row r="415" spans="1:21" x14ac:dyDescent="0.2">
      <c r="A415" s="38"/>
      <c r="B415" s="42"/>
      <c r="C415" s="45"/>
      <c r="F415" s="39"/>
      <c r="G415" s="39"/>
      <c r="H415" s="39"/>
      <c r="I415" s="39"/>
      <c r="J415" s="39"/>
      <c r="K415" s="39"/>
      <c r="N415" s="42"/>
      <c r="S415" s="39"/>
      <c r="T415" s="39"/>
    </row>
    <row r="416" spans="1:21" x14ac:dyDescent="0.2">
      <c r="A416" s="38"/>
      <c r="B416" s="42"/>
      <c r="C416" s="45"/>
      <c r="F416" s="39"/>
      <c r="G416" s="39"/>
      <c r="H416" s="39"/>
      <c r="I416" s="39"/>
      <c r="J416" s="39"/>
      <c r="K416" s="39"/>
      <c r="N416" s="42"/>
      <c r="S416" s="39"/>
      <c r="T416" s="39"/>
    </row>
    <row r="417" spans="1:20" x14ac:dyDescent="0.2">
      <c r="A417" s="38"/>
      <c r="B417" s="42"/>
      <c r="C417" s="45"/>
      <c r="F417" s="39"/>
      <c r="G417" s="39"/>
      <c r="H417" s="39"/>
      <c r="I417" s="39"/>
      <c r="J417" s="39"/>
      <c r="K417" s="39"/>
      <c r="N417" s="42"/>
      <c r="S417" s="39"/>
      <c r="T417" s="39"/>
    </row>
    <row r="418" spans="1:20" x14ac:dyDescent="0.2">
      <c r="A418" s="38"/>
      <c r="B418" s="42"/>
      <c r="C418" s="45"/>
      <c r="F418" s="39"/>
      <c r="G418" s="39"/>
      <c r="H418" s="39"/>
      <c r="I418" s="39"/>
      <c r="J418" s="39"/>
      <c r="K418" s="39"/>
      <c r="N418" s="42"/>
      <c r="S418" s="39"/>
      <c r="T418" s="39"/>
    </row>
    <row r="419" spans="1:20" x14ac:dyDescent="0.2">
      <c r="A419" s="38"/>
      <c r="B419" s="42"/>
      <c r="C419" s="45"/>
      <c r="F419" s="39"/>
      <c r="G419" s="39"/>
      <c r="H419" s="39"/>
      <c r="I419" s="39"/>
      <c r="J419" s="39"/>
      <c r="K419" s="39"/>
      <c r="N419" s="42"/>
      <c r="S419" s="39" t="s">
        <v>88</v>
      </c>
      <c r="T419" s="39" t="s">
        <v>88</v>
      </c>
    </row>
    <row r="420" spans="1:20" x14ac:dyDescent="0.2">
      <c r="A420" s="38"/>
      <c r="B420" s="42"/>
      <c r="C420" s="45"/>
      <c r="F420" s="39"/>
      <c r="G420" s="39"/>
      <c r="H420" s="39"/>
      <c r="I420" s="39"/>
      <c r="J420" s="39"/>
      <c r="K420" s="39"/>
      <c r="N420" s="42"/>
      <c r="S420" s="39" t="s">
        <v>88</v>
      </c>
      <c r="T420" s="39" t="s">
        <v>88</v>
      </c>
    </row>
    <row r="421" spans="1:20" x14ac:dyDescent="0.2">
      <c r="A421" s="38"/>
      <c r="B421" s="42"/>
      <c r="C421" s="45"/>
      <c r="F421" s="39"/>
      <c r="G421" s="39"/>
      <c r="H421" s="39"/>
      <c r="I421" s="39"/>
      <c r="J421" s="39"/>
      <c r="K421" s="39"/>
      <c r="N421" s="42"/>
      <c r="S421" s="39" t="s">
        <v>88</v>
      </c>
      <c r="T421" s="39" t="s">
        <v>88</v>
      </c>
    </row>
    <row r="422" spans="1:20" x14ac:dyDescent="0.2">
      <c r="A422" s="38"/>
      <c r="B422" s="42"/>
      <c r="C422" s="45"/>
      <c r="F422" s="39"/>
      <c r="G422" s="39"/>
      <c r="H422" s="39"/>
      <c r="I422" s="39"/>
      <c r="J422" s="39"/>
      <c r="K422" s="39"/>
      <c r="N422" s="42"/>
      <c r="S422" s="39" t="s">
        <v>88</v>
      </c>
      <c r="T422" s="39" t="s">
        <v>88</v>
      </c>
    </row>
    <row r="423" spans="1:20" x14ac:dyDescent="0.2">
      <c r="A423" s="38"/>
      <c r="B423" s="42"/>
      <c r="C423" s="45"/>
      <c r="F423" s="39"/>
      <c r="G423" s="39"/>
      <c r="H423" s="39"/>
      <c r="I423" s="39"/>
      <c r="J423" s="39"/>
      <c r="K423" s="39"/>
      <c r="N423" s="42"/>
      <c r="S423" s="39" t="s">
        <v>88</v>
      </c>
      <c r="T423" s="39" t="s">
        <v>88</v>
      </c>
    </row>
    <row r="424" spans="1:20" x14ac:dyDescent="0.2">
      <c r="A424" s="38"/>
      <c r="B424" s="42"/>
      <c r="C424" s="45"/>
      <c r="F424" s="39"/>
      <c r="G424" s="39"/>
      <c r="H424" s="39"/>
      <c r="I424" s="39"/>
      <c r="J424" s="39"/>
      <c r="K424" s="39"/>
      <c r="N424" s="42"/>
      <c r="S424" s="39"/>
      <c r="T424" s="39"/>
    </row>
    <row r="425" spans="1:20" x14ac:dyDescent="0.2">
      <c r="A425" s="38"/>
      <c r="B425" s="42"/>
      <c r="C425" s="45"/>
      <c r="F425" s="39"/>
      <c r="G425" s="39"/>
      <c r="H425" s="39"/>
      <c r="I425" s="39"/>
      <c r="J425" s="39"/>
      <c r="K425" s="39"/>
      <c r="N425" s="42"/>
      <c r="S425" s="39"/>
      <c r="T425" s="39"/>
    </row>
    <row r="426" spans="1:20" x14ac:dyDescent="0.2">
      <c r="A426" s="38"/>
      <c r="B426" s="42"/>
      <c r="C426" s="45"/>
      <c r="F426" s="39"/>
      <c r="G426" s="39"/>
      <c r="H426" s="39"/>
      <c r="I426" s="39"/>
      <c r="J426" s="39"/>
      <c r="K426" s="39"/>
      <c r="N426" s="42"/>
      <c r="S426" s="39"/>
      <c r="T426" s="39"/>
    </row>
    <row r="427" spans="1:20" x14ac:dyDescent="0.2">
      <c r="A427" s="38"/>
      <c r="B427" s="42"/>
      <c r="C427" s="45"/>
      <c r="F427" s="39"/>
      <c r="G427" s="39"/>
      <c r="H427" s="39"/>
      <c r="I427" s="39"/>
      <c r="J427" s="39"/>
      <c r="K427" s="39"/>
      <c r="N427" s="42"/>
      <c r="S427" s="39"/>
      <c r="T427" s="39"/>
    </row>
    <row r="428" spans="1:20" x14ac:dyDescent="0.2">
      <c r="A428" s="38"/>
      <c r="B428" s="42"/>
      <c r="C428" s="45"/>
      <c r="F428" s="39"/>
      <c r="G428" s="39"/>
      <c r="H428" s="39"/>
      <c r="I428" s="39"/>
      <c r="J428" s="39"/>
      <c r="K428" s="39"/>
      <c r="N428" s="42"/>
      <c r="S428" s="39"/>
      <c r="T428" s="39"/>
    </row>
    <row r="429" spans="1:20" x14ac:dyDescent="0.2">
      <c r="A429" s="38"/>
      <c r="B429" s="42"/>
      <c r="C429" s="45"/>
      <c r="F429" s="39"/>
      <c r="G429" s="39"/>
      <c r="H429" s="39"/>
      <c r="I429" s="39"/>
      <c r="J429" s="39"/>
      <c r="K429" s="39"/>
      <c r="N429" s="42"/>
      <c r="S429" s="39"/>
      <c r="T429" s="39"/>
    </row>
    <row r="430" spans="1:20" x14ac:dyDescent="0.2">
      <c r="A430" s="38"/>
      <c r="B430" s="42"/>
      <c r="C430" s="45"/>
      <c r="F430" s="39"/>
      <c r="G430" s="39"/>
      <c r="H430" s="39"/>
      <c r="I430" s="39"/>
      <c r="J430" s="39"/>
      <c r="K430" s="39"/>
      <c r="N430" s="42"/>
      <c r="S430" s="39"/>
      <c r="T430" s="39"/>
    </row>
    <row r="431" spans="1:20" x14ac:dyDescent="0.2">
      <c r="A431" s="38"/>
      <c r="B431" s="42"/>
      <c r="C431" s="45"/>
      <c r="F431" s="39"/>
      <c r="G431" s="39"/>
      <c r="H431" s="39"/>
      <c r="I431" s="39"/>
      <c r="J431" s="39"/>
      <c r="K431" s="39"/>
      <c r="N431" s="42"/>
      <c r="S431" s="39"/>
      <c r="T431" s="39"/>
    </row>
    <row r="432" spans="1:20" x14ac:dyDescent="0.2">
      <c r="A432" s="38"/>
      <c r="B432" s="42"/>
      <c r="C432" s="45"/>
      <c r="F432" s="39"/>
      <c r="G432" s="39"/>
      <c r="H432" s="39"/>
      <c r="I432" s="39"/>
      <c r="J432" s="39"/>
      <c r="K432" s="39"/>
      <c r="N432" s="42"/>
      <c r="S432" s="39"/>
      <c r="T432" s="39"/>
    </row>
    <row r="433" spans="1:20" x14ac:dyDescent="0.2">
      <c r="A433" s="38"/>
      <c r="B433" s="42"/>
      <c r="C433" s="45"/>
      <c r="F433" s="39"/>
      <c r="G433" s="39"/>
      <c r="H433" s="39"/>
      <c r="I433" s="39"/>
      <c r="J433" s="39"/>
      <c r="K433" s="39"/>
      <c r="N433" s="42"/>
      <c r="S433" s="39"/>
      <c r="T433" s="39"/>
    </row>
    <row r="434" spans="1:20" x14ac:dyDescent="0.2">
      <c r="A434" s="38"/>
      <c r="B434" s="42"/>
      <c r="C434" s="45"/>
      <c r="F434" s="39"/>
      <c r="G434" s="39"/>
      <c r="H434" s="39"/>
      <c r="I434" s="39"/>
      <c r="J434" s="39"/>
      <c r="K434" s="39"/>
      <c r="N434" s="42"/>
      <c r="S434" s="39"/>
      <c r="T434" s="39"/>
    </row>
    <row r="435" spans="1:20" x14ac:dyDescent="0.2">
      <c r="A435" s="38"/>
      <c r="B435" s="42"/>
      <c r="C435" s="45"/>
      <c r="F435" s="39"/>
      <c r="G435" s="39"/>
      <c r="H435" s="39"/>
      <c r="I435" s="39"/>
      <c r="J435" s="39"/>
      <c r="K435" s="39"/>
      <c r="N435" s="42"/>
      <c r="S435" s="39"/>
      <c r="T435" s="39"/>
    </row>
    <row r="436" spans="1:20" x14ac:dyDescent="0.2">
      <c r="A436" s="38"/>
      <c r="B436" s="42"/>
      <c r="C436" s="45"/>
      <c r="F436" s="39"/>
      <c r="G436" s="39"/>
      <c r="H436" s="39"/>
      <c r="I436" s="39"/>
      <c r="J436" s="39"/>
      <c r="K436" s="39"/>
      <c r="N436" s="42"/>
      <c r="S436" s="39"/>
      <c r="T436" s="39"/>
    </row>
    <row r="437" spans="1:20" x14ac:dyDescent="0.2">
      <c r="A437" s="38"/>
      <c r="B437" s="42"/>
      <c r="C437" s="45"/>
      <c r="F437" s="39"/>
      <c r="G437" s="39"/>
      <c r="H437" s="39"/>
      <c r="I437" s="39"/>
      <c r="J437" s="39"/>
      <c r="K437" s="39"/>
      <c r="N437" s="42"/>
      <c r="S437" s="39"/>
      <c r="T437" s="39"/>
    </row>
    <row r="438" spans="1:20" x14ac:dyDescent="0.2">
      <c r="A438" s="38"/>
      <c r="B438" s="42"/>
      <c r="C438" s="45"/>
      <c r="J438" s="39"/>
      <c r="K438" s="39"/>
      <c r="N438" s="42"/>
      <c r="S438" s="39"/>
      <c r="T438" s="39"/>
    </row>
    <row r="439" spans="1:20" x14ac:dyDescent="0.2">
      <c r="S439" s="13"/>
      <c r="T439" s="13"/>
    </row>
  </sheetData>
  <sheetProtection algorithmName="SHA-512" hashValue="iJ5BPB0NnlJ/Cq6DtfYMT4VafDRMQMh7FUH88ma0n1RN9xO7ek2Rc3pH9cwwlJVCHNkGoETY1lXMlzaf8fbEyQ==" saltValue="Mc6/4tMIfzDiZXowNY9rfA=="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5" location="ILoans!A1" display="WP" xr:uid="{DD87B0AE-34D9-4D00-AB47-B83757DB3EF3}"/>
    <hyperlink ref="K202" location="IFree!A1" display="WP" xr:uid="{EBC7A37C-A0A1-4933-9F09-264DF5AE3E05}"/>
    <hyperlink ref="K220" location="DTax!A1" display="WP" xr:uid="{6F3EFCA6-E697-48C3-AA8B-24CB9EC5356F}"/>
    <hyperlink ref="K359" location="Debtors!A1" display="WP" xr:uid="{9F5C3B23-ADE7-47AB-954D-44A0A51647C9}"/>
    <hyperlink ref="K366" location="Bank!A1" display="WP" xr:uid="{25E5B14C-73E5-46CC-9AE7-665F91E823BA}"/>
    <hyperlink ref="K354" location="Stock!A1" display="WP" xr:uid="{E207814A-5583-41E1-A4B9-6710A6A6D009}"/>
    <hyperlink ref="K379" location="Creditors!A1" display="WP" xr:uid="{0153CB00-D817-4D55-81DD-38CAA6BE29AA}"/>
    <hyperlink ref="K399"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9" location="FARegister!A1" display="WP" xr:uid="{5BCD2976-2EFF-4A4C-8142-77F58A56FDFE}"/>
    <hyperlink ref="K342" location="'NC Receivables'!A1" display="WP" xr:uid="{FB622B72-1B11-4EAA-9D36-583540A80C84}"/>
    <hyperlink ref="K40" location="Expenses!A1" display="WP" xr:uid="{CB3BDD2B-899A-493D-826A-A5914CECC940}"/>
    <hyperlink ref="K50" location="Expenses!A22" display="WP" xr:uid="{FECFF1A1-097F-42CD-855C-69383FE7C65C}"/>
    <hyperlink ref="B5" location="bank2!A1" display="1000/001" xr:uid="{872DA8B2-6770-48F4-B685-25E00BE2180F}"/>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76</v>
      </c>
      <c r="I3" s="77"/>
    </row>
    <row r="4" spans="1:13" x14ac:dyDescent="0.25">
      <c r="C4" s="3" t="s">
        <v>75</v>
      </c>
      <c r="D4" s="35" t="str">
        <f>Criteria!E20</f>
        <v>28 FEBRUARY 2025</v>
      </c>
    </row>
    <row r="5" spans="1:13" x14ac:dyDescent="0.25">
      <c r="H5" s="77" t="s">
        <v>77</v>
      </c>
      <c r="I5" s="77"/>
    </row>
    <row r="6" spans="1:13" x14ac:dyDescent="0.25">
      <c r="C6" s="3" t="s">
        <v>153</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267</v>
      </c>
      <c r="E9" s="8"/>
      <c r="F9" s="4">
        <f>F486</f>
        <v>0</v>
      </c>
    </row>
    <row r="10" spans="1:13" x14ac:dyDescent="0.25">
      <c r="D10" s="8"/>
      <c r="E10" s="8"/>
    </row>
    <row r="11" spans="1:13" x14ac:dyDescent="0.25">
      <c r="A11" s="34" t="s">
        <v>245</v>
      </c>
      <c r="F11" s="494"/>
      <c r="G11" s="494"/>
      <c r="H11" s="494"/>
      <c r="I11" s="494"/>
    </row>
    <row r="12" spans="1:13" x14ac:dyDescent="0.25">
      <c r="A12" s="34" t="s">
        <v>621</v>
      </c>
      <c r="F12" s="494" t="s">
        <v>327</v>
      </c>
      <c r="G12" s="494"/>
      <c r="H12" s="494" t="s">
        <v>87</v>
      </c>
      <c r="I12" s="494"/>
    </row>
    <row r="13" spans="1:13" x14ac:dyDescent="0.25">
      <c r="A13" s="34" t="s">
        <v>246</v>
      </c>
      <c r="B13" s="32" t="s">
        <v>656</v>
      </c>
      <c r="C13" s="32" t="s">
        <v>210</v>
      </c>
      <c r="D13" s="32" t="s">
        <v>229</v>
      </c>
      <c r="E13" s="32" t="s">
        <v>390</v>
      </c>
      <c r="F13" s="22" t="s">
        <v>213</v>
      </c>
      <c r="G13" s="22" t="s">
        <v>214</v>
      </c>
      <c r="H13" s="22" t="s">
        <v>213</v>
      </c>
      <c r="I13" s="22" t="s">
        <v>214</v>
      </c>
    </row>
    <row r="14" spans="1:13" x14ac:dyDescent="0.25">
      <c r="A14" s="34"/>
    </row>
    <row r="15" spans="1:13" x14ac:dyDescent="0.25">
      <c r="A15" s="34" t="str">
        <f t="shared" ref="A15:A78" si="0">IF(COUNTIF(K15:M15,"ERROR")&gt;0,"ERROR"," ")</f>
        <v xml:space="preserve"> </v>
      </c>
      <c r="B15" s="5">
        <v>1</v>
      </c>
      <c r="D15" s="33"/>
      <c r="E15" s="33"/>
      <c r="J15" s="14">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4" t="str">
        <f t="shared" si="0"/>
        <v xml:space="preserve"> </v>
      </c>
      <c r="B16" s="25"/>
      <c r="D16" s="33"/>
      <c r="E16" s="33"/>
      <c r="J16" s="14">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4" t="str">
        <f t="shared" si="0"/>
        <v xml:space="preserve"> </v>
      </c>
      <c r="D17" s="33"/>
      <c r="E17" s="33"/>
      <c r="J17" s="14">
        <f t="shared" si="1"/>
        <v>0</v>
      </c>
      <c r="K17" s="2" t="str">
        <f t="shared" si="2"/>
        <v xml:space="preserve"> </v>
      </c>
      <c r="L17" s="2" t="str">
        <f t="shared" si="3"/>
        <v xml:space="preserve"> </v>
      </c>
      <c r="M17" s="2" t="str">
        <f t="shared" si="4"/>
        <v xml:space="preserve"> </v>
      </c>
    </row>
    <row r="18" spans="1:13" x14ac:dyDescent="0.25">
      <c r="A18" s="34" t="str">
        <f t="shared" si="0"/>
        <v xml:space="preserve"> </v>
      </c>
      <c r="D18" s="33"/>
      <c r="E18" s="33"/>
      <c r="J18" s="14">
        <f t="shared" si="1"/>
        <v>0</v>
      </c>
      <c r="K18" s="2" t="str">
        <f t="shared" si="2"/>
        <v xml:space="preserve"> </v>
      </c>
      <c r="L18" s="2" t="str">
        <f t="shared" si="3"/>
        <v xml:space="preserve"> </v>
      </c>
      <c r="M18" s="2" t="str">
        <f t="shared" si="4"/>
        <v xml:space="preserve"> </v>
      </c>
    </row>
    <row r="19" spans="1:13" x14ac:dyDescent="0.25">
      <c r="A19" s="34" t="str">
        <f t="shared" si="0"/>
        <v xml:space="preserve"> </v>
      </c>
      <c r="D19" s="33"/>
      <c r="E19" s="33"/>
      <c r="J19" s="14">
        <f t="shared" si="1"/>
        <v>0</v>
      </c>
      <c r="K19" s="2" t="str">
        <f t="shared" si="2"/>
        <v xml:space="preserve"> </v>
      </c>
      <c r="L19" s="2" t="str">
        <f t="shared" si="3"/>
        <v xml:space="preserve"> </v>
      </c>
      <c r="M19" s="2" t="str">
        <f t="shared" si="4"/>
        <v xml:space="preserve"> </v>
      </c>
    </row>
    <row r="20" spans="1:13" x14ac:dyDescent="0.25">
      <c r="A20" s="34" t="str">
        <f t="shared" si="0"/>
        <v xml:space="preserve"> </v>
      </c>
      <c r="B20" s="25"/>
      <c r="D20" s="33"/>
      <c r="E20" s="33"/>
      <c r="J20" s="14">
        <f t="shared" si="1"/>
        <v>0</v>
      </c>
      <c r="K20" s="2" t="str">
        <f t="shared" si="2"/>
        <v xml:space="preserve"> </v>
      </c>
      <c r="L20" s="2" t="str">
        <f t="shared" si="3"/>
        <v xml:space="preserve"> </v>
      </c>
      <c r="M20" s="2" t="str">
        <f t="shared" si="4"/>
        <v xml:space="preserve"> </v>
      </c>
    </row>
    <row r="21" spans="1:13" x14ac:dyDescent="0.25">
      <c r="A21" s="34" t="str">
        <f t="shared" si="0"/>
        <v xml:space="preserve"> </v>
      </c>
      <c r="D21" s="33"/>
      <c r="E21" s="33"/>
      <c r="J21" s="14">
        <f t="shared" si="1"/>
        <v>0</v>
      </c>
      <c r="K21" s="2" t="str">
        <f t="shared" si="2"/>
        <v xml:space="preserve"> </v>
      </c>
      <c r="L21" s="2" t="str">
        <f t="shared" si="3"/>
        <v xml:space="preserve"> </v>
      </c>
      <c r="M21" s="2" t="str">
        <f t="shared" si="4"/>
        <v xml:space="preserve"> </v>
      </c>
    </row>
    <row r="22" spans="1:13" x14ac:dyDescent="0.25">
      <c r="A22" s="34" t="str">
        <f t="shared" si="0"/>
        <v xml:space="preserve"> </v>
      </c>
      <c r="D22" s="33"/>
      <c r="E22" s="33"/>
      <c r="J22" s="14">
        <f t="shared" si="1"/>
        <v>0</v>
      </c>
      <c r="K22" s="2" t="str">
        <f t="shared" si="2"/>
        <v xml:space="preserve"> </v>
      </c>
      <c r="L22" s="2" t="str">
        <f t="shared" si="3"/>
        <v xml:space="preserve"> </v>
      </c>
      <c r="M22" s="2" t="str">
        <f t="shared" si="4"/>
        <v xml:space="preserve"> </v>
      </c>
    </row>
    <row r="23" spans="1:13" x14ac:dyDescent="0.25">
      <c r="A23" s="34" t="str">
        <f t="shared" si="0"/>
        <v xml:space="preserve"> </v>
      </c>
      <c r="D23" s="33"/>
      <c r="E23" s="33"/>
      <c r="J23" s="14">
        <f t="shared" si="1"/>
        <v>0</v>
      </c>
      <c r="K23" s="2" t="str">
        <f t="shared" si="2"/>
        <v xml:space="preserve"> </v>
      </c>
      <c r="L23" s="2" t="str">
        <f t="shared" si="3"/>
        <v xml:space="preserve"> </v>
      </c>
      <c r="M23" s="2" t="str">
        <f t="shared" si="4"/>
        <v xml:space="preserve"> </v>
      </c>
    </row>
    <row r="24" spans="1:13" x14ac:dyDescent="0.25">
      <c r="A24" s="34" t="str">
        <f t="shared" si="0"/>
        <v xml:space="preserve"> </v>
      </c>
      <c r="D24" s="33"/>
      <c r="E24" s="33"/>
      <c r="J24" s="14">
        <f t="shared" si="1"/>
        <v>0</v>
      </c>
      <c r="K24" s="2" t="str">
        <f t="shared" si="2"/>
        <v xml:space="preserve"> </v>
      </c>
      <c r="L24" s="2" t="str">
        <f t="shared" si="3"/>
        <v xml:space="preserve"> </v>
      </c>
      <c r="M24" s="2" t="str">
        <f t="shared" si="4"/>
        <v xml:space="preserve"> </v>
      </c>
    </row>
    <row r="25" spans="1:13" x14ac:dyDescent="0.25">
      <c r="A25" s="34" t="str">
        <f t="shared" si="0"/>
        <v xml:space="preserve"> </v>
      </c>
      <c r="B25" s="25"/>
      <c r="D25" s="33"/>
      <c r="E25" s="33"/>
      <c r="J25" s="14">
        <f t="shared" si="1"/>
        <v>0</v>
      </c>
      <c r="K25" s="2" t="str">
        <f t="shared" si="2"/>
        <v xml:space="preserve"> </v>
      </c>
      <c r="L25" s="2" t="str">
        <f t="shared" si="3"/>
        <v xml:space="preserve"> </v>
      </c>
      <c r="M25" s="2" t="str">
        <f t="shared" si="4"/>
        <v xml:space="preserve"> </v>
      </c>
    </row>
    <row r="26" spans="1:13" x14ac:dyDescent="0.25">
      <c r="A26" s="34" t="str">
        <f t="shared" si="0"/>
        <v xml:space="preserve"> </v>
      </c>
      <c r="D26" s="33"/>
      <c r="E26" s="33"/>
      <c r="J26" s="14">
        <f t="shared" si="1"/>
        <v>0</v>
      </c>
      <c r="K26" s="2" t="str">
        <f t="shared" si="2"/>
        <v xml:space="preserve"> </v>
      </c>
      <c r="L26" s="2" t="str">
        <f t="shared" si="3"/>
        <v xml:space="preserve"> </v>
      </c>
      <c r="M26" s="2" t="str">
        <f t="shared" si="4"/>
        <v xml:space="preserve"> </v>
      </c>
    </row>
    <row r="27" spans="1:13" x14ac:dyDescent="0.25">
      <c r="A27" s="34" t="str">
        <f t="shared" si="0"/>
        <v xml:space="preserve"> </v>
      </c>
      <c r="D27" s="33"/>
      <c r="E27" s="33"/>
      <c r="J27" s="14">
        <f t="shared" si="1"/>
        <v>0</v>
      </c>
      <c r="K27" s="2" t="str">
        <f t="shared" si="2"/>
        <v xml:space="preserve"> </v>
      </c>
      <c r="L27" s="2" t="str">
        <f t="shared" si="3"/>
        <v xml:space="preserve"> </v>
      </c>
      <c r="M27" s="2" t="str">
        <f t="shared" si="4"/>
        <v xml:space="preserve"> </v>
      </c>
    </row>
    <row r="28" spans="1:13" x14ac:dyDescent="0.25">
      <c r="A28" s="34" t="str">
        <f t="shared" si="0"/>
        <v xml:space="preserve"> </v>
      </c>
      <c r="D28" s="33"/>
      <c r="E28" s="33"/>
      <c r="J28" s="14">
        <f t="shared" si="1"/>
        <v>0</v>
      </c>
      <c r="K28" s="2" t="str">
        <f t="shared" si="2"/>
        <v xml:space="preserve"> </v>
      </c>
      <c r="L28" s="2" t="str">
        <f t="shared" si="3"/>
        <v xml:space="preserve"> </v>
      </c>
      <c r="M28" s="2" t="str">
        <f t="shared" si="4"/>
        <v xml:space="preserve"> </v>
      </c>
    </row>
    <row r="29" spans="1:13" x14ac:dyDescent="0.25">
      <c r="A29" s="34" t="str">
        <f t="shared" si="0"/>
        <v xml:space="preserve"> </v>
      </c>
      <c r="D29" s="33"/>
      <c r="E29" s="33"/>
      <c r="J29" s="14">
        <f t="shared" si="1"/>
        <v>0</v>
      </c>
      <c r="K29" s="2" t="str">
        <f t="shared" si="2"/>
        <v xml:space="preserve"> </v>
      </c>
      <c r="L29" s="2" t="str">
        <f t="shared" si="3"/>
        <v xml:space="preserve"> </v>
      </c>
      <c r="M29" s="2" t="str">
        <f t="shared" si="4"/>
        <v xml:space="preserve"> </v>
      </c>
    </row>
    <row r="30" spans="1:13" x14ac:dyDescent="0.25">
      <c r="A30" s="34" t="str">
        <f t="shared" si="0"/>
        <v xml:space="preserve"> </v>
      </c>
      <c r="D30" s="33"/>
      <c r="E30" s="33"/>
      <c r="J30" s="14">
        <f t="shared" si="1"/>
        <v>0</v>
      </c>
      <c r="K30" s="2" t="str">
        <f t="shared" si="2"/>
        <v xml:space="preserve"> </v>
      </c>
      <c r="L30" s="2" t="str">
        <f t="shared" si="3"/>
        <v xml:space="preserve"> </v>
      </c>
      <c r="M30" s="2" t="str">
        <f t="shared" si="4"/>
        <v xml:space="preserve"> </v>
      </c>
    </row>
    <row r="31" spans="1:13" x14ac:dyDescent="0.25">
      <c r="A31" s="34" t="str">
        <f t="shared" si="0"/>
        <v xml:space="preserve"> </v>
      </c>
      <c r="D31" s="33"/>
      <c r="E31" s="33"/>
      <c r="J31" s="14">
        <f t="shared" si="1"/>
        <v>0</v>
      </c>
      <c r="K31" s="2" t="str">
        <f t="shared" si="2"/>
        <v xml:space="preserve"> </v>
      </c>
      <c r="L31" s="2" t="str">
        <f t="shared" si="3"/>
        <v xml:space="preserve"> </v>
      </c>
      <c r="M31" s="2" t="str">
        <f t="shared" si="4"/>
        <v xml:space="preserve"> </v>
      </c>
    </row>
    <row r="32" spans="1:13" x14ac:dyDescent="0.25">
      <c r="A32" s="34" t="str">
        <f t="shared" si="0"/>
        <v xml:space="preserve"> </v>
      </c>
      <c r="D32" s="33"/>
      <c r="E32" s="33"/>
      <c r="J32" s="14">
        <f t="shared" si="1"/>
        <v>0</v>
      </c>
      <c r="K32" s="2" t="str">
        <f t="shared" si="2"/>
        <v xml:space="preserve"> </v>
      </c>
      <c r="L32" s="2" t="str">
        <f t="shared" si="3"/>
        <v xml:space="preserve"> </v>
      </c>
      <c r="M32" s="2" t="str">
        <f t="shared" si="4"/>
        <v xml:space="preserve"> </v>
      </c>
    </row>
    <row r="33" spans="1:13" x14ac:dyDescent="0.25">
      <c r="A33" s="34" t="str">
        <f t="shared" si="0"/>
        <v xml:space="preserve"> </v>
      </c>
      <c r="D33" s="33"/>
      <c r="E33" s="33"/>
      <c r="J33" s="14">
        <f t="shared" si="1"/>
        <v>0</v>
      </c>
      <c r="K33" s="2" t="str">
        <f t="shared" si="2"/>
        <v xml:space="preserve"> </v>
      </c>
      <c r="L33" s="2" t="str">
        <f t="shared" si="3"/>
        <v xml:space="preserve"> </v>
      </c>
      <c r="M33" s="2" t="str">
        <f t="shared" si="4"/>
        <v xml:space="preserve"> </v>
      </c>
    </row>
    <row r="34" spans="1:13" x14ac:dyDescent="0.25">
      <c r="A34" s="34" t="str">
        <f t="shared" si="0"/>
        <v xml:space="preserve"> </v>
      </c>
      <c r="D34" s="33"/>
      <c r="E34" s="33"/>
      <c r="J34" s="14">
        <f t="shared" si="1"/>
        <v>0</v>
      </c>
      <c r="K34" s="2" t="str">
        <f t="shared" si="2"/>
        <v xml:space="preserve"> </v>
      </c>
      <c r="L34" s="2" t="str">
        <f t="shared" si="3"/>
        <v xml:space="preserve"> </v>
      </c>
      <c r="M34" s="2" t="str">
        <f t="shared" si="4"/>
        <v xml:space="preserve"> </v>
      </c>
    </row>
    <row r="35" spans="1:13" x14ac:dyDescent="0.25">
      <c r="A35" s="34" t="str">
        <f t="shared" si="0"/>
        <v xml:space="preserve"> </v>
      </c>
      <c r="D35" s="33"/>
      <c r="E35" s="33"/>
      <c r="J35" s="14">
        <f t="shared" si="1"/>
        <v>0</v>
      </c>
      <c r="K35" s="2" t="str">
        <f t="shared" si="2"/>
        <v xml:space="preserve"> </v>
      </c>
      <c r="L35" s="2" t="str">
        <f t="shared" si="3"/>
        <v xml:space="preserve"> </v>
      </c>
      <c r="M35" s="2" t="str">
        <f t="shared" si="4"/>
        <v xml:space="preserve"> </v>
      </c>
    </row>
    <row r="36" spans="1:13" x14ac:dyDescent="0.25">
      <c r="A36" s="34" t="str">
        <f t="shared" si="0"/>
        <v xml:space="preserve"> </v>
      </c>
      <c r="D36" s="33"/>
      <c r="E36" s="33"/>
      <c r="J36" s="14">
        <f t="shared" si="1"/>
        <v>0</v>
      </c>
      <c r="K36" s="2" t="str">
        <f t="shared" si="2"/>
        <v xml:space="preserve"> </v>
      </c>
      <c r="L36" s="2" t="str">
        <f t="shared" si="3"/>
        <v xml:space="preserve"> </v>
      </c>
      <c r="M36" s="2" t="str">
        <f t="shared" si="4"/>
        <v xml:space="preserve"> </v>
      </c>
    </row>
    <row r="37" spans="1:13" x14ac:dyDescent="0.25">
      <c r="A37" s="34" t="str">
        <f t="shared" si="0"/>
        <v xml:space="preserve"> </v>
      </c>
      <c r="D37" s="33"/>
      <c r="E37" s="33"/>
      <c r="J37" s="14">
        <f t="shared" si="1"/>
        <v>0</v>
      </c>
      <c r="K37" s="2" t="str">
        <f t="shared" si="2"/>
        <v xml:space="preserve"> </v>
      </c>
      <c r="L37" s="2" t="str">
        <f t="shared" si="3"/>
        <v xml:space="preserve"> </v>
      </c>
      <c r="M37" s="2" t="str">
        <f t="shared" si="4"/>
        <v xml:space="preserve"> </v>
      </c>
    </row>
    <row r="38" spans="1:13" x14ac:dyDescent="0.25">
      <c r="A38" s="34" t="str">
        <f t="shared" si="0"/>
        <v xml:space="preserve"> </v>
      </c>
      <c r="D38" s="33"/>
      <c r="E38" s="33"/>
      <c r="J38" s="14">
        <f t="shared" si="1"/>
        <v>0</v>
      </c>
      <c r="K38" s="2" t="str">
        <f t="shared" si="2"/>
        <v xml:space="preserve"> </v>
      </c>
      <c r="L38" s="2" t="str">
        <f t="shared" si="3"/>
        <v xml:space="preserve"> </v>
      </c>
      <c r="M38" s="2" t="str">
        <f t="shared" si="4"/>
        <v xml:space="preserve"> </v>
      </c>
    </row>
    <row r="39" spans="1:13" x14ac:dyDescent="0.25">
      <c r="A39" s="34" t="str">
        <f t="shared" si="0"/>
        <v xml:space="preserve"> </v>
      </c>
      <c r="D39" s="33"/>
      <c r="E39" s="33"/>
      <c r="J39" s="14">
        <f t="shared" si="1"/>
        <v>0</v>
      </c>
      <c r="K39" s="2" t="str">
        <f t="shared" si="2"/>
        <v xml:space="preserve"> </v>
      </c>
      <c r="L39" s="2" t="str">
        <f t="shared" si="3"/>
        <v xml:space="preserve"> </v>
      </c>
      <c r="M39" s="2" t="str">
        <f t="shared" si="4"/>
        <v xml:space="preserve"> </v>
      </c>
    </row>
    <row r="40" spans="1:13" x14ac:dyDescent="0.25">
      <c r="A40" s="34" t="str">
        <f t="shared" si="0"/>
        <v xml:space="preserve"> </v>
      </c>
      <c r="D40" s="33"/>
      <c r="E40" s="33"/>
      <c r="J40" s="14">
        <f t="shared" si="1"/>
        <v>0</v>
      </c>
      <c r="K40" s="2" t="str">
        <f t="shared" si="2"/>
        <v xml:space="preserve"> </v>
      </c>
      <c r="L40" s="2" t="str">
        <f t="shared" si="3"/>
        <v xml:space="preserve"> </v>
      </c>
      <c r="M40" s="2" t="str">
        <f t="shared" si="4"/>
        <v xml:space="preserve"> </v>
      </c>
    </row>
    <row r="41" spans="1:13" x14ac:dyDescent="0.25">
      <c r="A41" s="34" t="str">
        <f t="shared" si="0"/>
        <v xml:space="preserve"> </v>
      </c>
      <c r="D41" s="33"/>
      <c r="E41" s="33"/>
      <c r="J41" s="14">
        <f t="shared" si="1"/>
        <v>0</v>
      </c>
      <c r="K41" s="2" t="str">
        <f t="shared" si="2"/>
        <v xml:space="preserve"> </v>
      </c>
      <c r="L41" s="2" t="str">
        <f t="shared" si="3"/>
        <v xml:space="preserve"> </v>
      </c>
      <c r="M41" s="2" t="str">
        <f t="shared" si="4"/>
        <v xml:space="preserve"> </v>
      </c>
    </row>
    <row r="42" spans="1:13" x14ac:dyDescent="0.25">
      <c r="A42" s="34" t="str">
        <f t="shared" si="0"/>
        <v xml:space="preserve"> </v>
      </c>
      <c r="D42" s="33"/>
      <c r="E42" s="33"/>
      <c r="J42" s="14">
        <f t="shared" si="1"/>
        <v>0</v>
      </c>
      <c r="K42" s="2" t="str">
        <f t="shared" si="2"/>
        <v xml:space="preserve"> </v>
      </c>
      <c r="L42" s="2" t="str">
        <f t="shared" si="3"/>
        <v xml:space="preserve"> </v>
      </c>
      <c r="M42" s="2" t="str">
        <f t="shared" si="4"/>
        <v xml:space="preserve"> </v>
      </c>
    </row>
    <row r="43" spans="1:13" x14ac:dyDescent="0.25">
      <c r="A43" s="34" t="str">
        <f t="shared" si="0"/>
        <v xml:space="preserve"> </v>
      </c>
      <c r="D43" s="33"/>
      <c r="E43" s="33"/>
      <c r="J43" s="14">
        <f t="shared" si="1"/>
        <v>0</v>
      </c>
      <c r="K43" s="2" t="str">
        <f t="shared" si="2"/>
        <v xml:space="preserve"> </v>
      </c>
      <c r="L43" s="2" t="str">
        <f t="shared" si="3"/>
        <v xml:space="preserve"> </v>
      </c>
      <c r="M43" s="2" t="str">
        <f t="shared" si="4"/>
        <v xml:space="preserve"> </v>
      </c>
    </row>
    <row r="44" spans="1:13" x14ac:dyDescent="0.25">
      <c r="A44" s="34" t="str">
        <f t="shared" si="0"/>
        <v xml:space="preserve"> </v>
      </c>
      <c r="D44" s="33"/>
      <c r="E44" s="33"/>
      <c r="J44" s="14">
        <f t="shared" si="1"/>
        <v>0</v>
      </c>
      <c r="K44" s="2" t="str">
        <f t="shared" si="2"/>
        <v xml:space="preserve"> </v>
      </c>
      <c r="L44" s="2" t="str">
        <f t="shared" si="3"/>
        <v xml:space="preserve"> </v>
      </c>
      <c r="M44" s="2" t="str">
        <f t="shared" si="4"/>
        <v xml:space="preserve"> </v>
      </c>
    </row>
    <row r="45" spans="1:13" x14ac:dyDescent="0.25">
      <c r="A45" s="34" t="str">
        <f t="shared" si="0"/>
        <v xml:space="preserve"> </v>
      </c>
      <c r="D45" s="33"/>
      <c r="E45" s="33"/>
      <c r="J45" s="14">
        <f t="shared" si="1"/>
        <v>0</v>
      </c>
      <c r="K45" s="2" t="str">
        <f t="shared" si="2"/>
        <v xml:space="preserve"> </v>
      </c>
      <c r="L45" s="2" t="str">
        <f t="shared" si="3"/>
        <v xml:space="preserve"> </v>
      </c>
      <c r="M45" s="2" t="str">
        <f t="shared" si="4"/>
        <v xml:space="preserve"> </v>
      </c>
    </row>
    <row r="46" spans="1:13" x14ac:dyDescent="0.25">
      <c r="A46" s="34" t="str">
        <f t="shared" si="0"/>
        <v xml:space="preserve"> </v>
      </c>
      <c r="D46" s="33"/>
      <c r="E46" s="33"/>
      <c r="J46" s="14">
        <f t="shared" si="1"/>
        <v>0</v>
      </c>
      <c r="K46" s="2" t="str">
        <f t="shared" si="2"/>
        <v xml:space="preserve"> </v>
      </c>
      <c r="L46" s="2" t="str">
        <f t="shared" si="3"/>
        <v xml:space="preserve"> </v>
      </c>
      <c r="M46" s="2" t="str">
        <f t="shared" si="4"/>
        <v xml:space="preserve"> </v>
      </c>
    </row>
    <row r="47" spans="1:13" x14ac:dyDescent="0.25">
      <c r="A47" s="34" t="str">
        <f t="shared" si="0"/>
        <v xml:space="preserve"> </v>
      </c>
      <c r="D47" s="33"/>
      <c r="E47" s="33"/>
      <c r="J47" s="14">
        <f t="shared" si="1"/>
        <v>0</v>
      </c>
      <c r="K47" s="2" t="str">
        <f t="shared" si="2"/>
        <v xml:space="preserve"> </v>
      </c>
      <c r="L47" s="2" t="str">
        <f t="shared" si="3"/>
        <v xml:space="preserve"> </v>
      </c>
      <c r="M47" s="2" t="str">
        <f t="shared" si="4"/>
        <v xml:space="preserve"> </v>
      </c>
    </row>
    <row r="48" spans="1:13" x14ac:dyDescent="0.25">
      <c r="A48" s="34" t="str">
        <f t="shared" si="0"/>
        <v xml:space="preserve"> </v>
      </c>
      <c r="D48" s="33"/>
      <c r="E48" s="33"/>
      <c r="J48" s="14">
        <f t="shared" si="1"/>
        <v>0</v>
      </c>
      <c r="K48" s="2" t="str">
        <f t="shared" si="2"/>
        <v xml:space="preserve"> </v>
      </c>
      <c r="L48" s="2" t="str">
        <f t="shared" si="3"/>
        <v xml:space="preserve"> </v>
      </c>
      <c r="M48" s="2" t="str">
        <f t="shared" si="4"/>
        <v xml:space="preserve"> </v>
      </c>
    </row>
    <row r="49" spans="1:13" x14ac:dyDescent="0.25">
      <c r="A49" s="34" t="str">
        <f t="shared" si="0"/>
        <v xml:space="preserve"> </v>
      </c>
      <c r="D49" s="33"/>
      <c r="E49" s="33"/>
      <c r="J49" s="14">
        <f t="shared" si="1"/>
        <v>0</v>
      </c>
      <c r="K49" s="2" t="str">
        <f t="shared" si="2"/>
        <v xml:space="preserve"> </v>
      </c>
      <c r="L49" s="2" t="str">
        <f t="shared" si="3"/>
        <v xml:space="preserve"> </v>
      </c>
      <c r="M49" s="2" t="str">
        <f t="shared" si="4"/>
        <v xml:space="preserve"> </v>
      </c>
    </row>
    <row r="50" spans="1:13" x14ac:dyDescent="0.25">
      <c r="A50" s="34" t="str">
        <f t="shared" si="0"/>
        <v xml:space="preserve"> </v>
      </c>
      <c r="C50" s="14"/>
      <c r="D50" s="33"/>
      <c r="E50" s="33"/>
      <c r="J50" s="14">
        <f t="shared" si="1"/>
        <v>0</v>
      </c>
      <c r="K50" s="2" t="str">
        <f t="shared" si="2"/>
        <v xml:space="preserve"> </v>
      </c>
      <c r="L50" s="2" t="str">
        <f t="shared" si="3"/>
        <v xml:space="preserve"> </v>
      </c>
      <c r="M50" s="2" t="str">
        <f t="shared" si="4"/>
        <v xml:space="preserve"> </v>
      </c>
    </row>
    <row r="51" spans="1:13" x14ac:dyDescent="0.25">
      <c r="A51" s="34" t="str">
        <f t="shared" si="0"/>
        <v xml:space="preserve"> </v>
      </c>
      <c r="D51" s="33"/>
      <c r="E51" s="33"/>
      <c r="J51" s="14">
        <f t="shared" si="1"/>
        <v>0</v>
      </c>
      <c r="K51" s="2" t="str">
        <f t="shared" si="2"/>
        <v xml:space="preserve"> </v>
      </c>
      <c r="L51" s="2" t="str">
        <f t="shared" si="3"/>
        <v xml:space="preserve"> </v>
      </c>
      <c r="M51" s="2" t="str">
        <f t="shared" si="4"/>
        <v xml:space="preserve"> </v>
      </c>
    </row>
    <row r="52" spans="1:13" x14ac:dyDescent="0.25">
      <c r="A52" s="34" t="str">
        <f t="shared" si="0"/>
        <v xml:space="preserve"> </v>
      </c>
      <c r="C52" s="14"/>
      <c r="D52" s="33"/>
      <c r="E52" s="33"/>
      <c r="J52" s="14">
        <f t="shared" si="1"/>
        <v>0</v>
      </c>
      <c r="K52" s="2" t="str">
        <f t="shared" si="2"/>
        <v xml:space="preserve"> </v>
      </c>
      <c r="L52" s="2" t="str">
        <f t="shared" si="3"/>
        <v xml:space="preserve"> </v>
      </c>
      <c r="M52" s="2" t="str">
        <f t="shared" si="4"/>
        <v xml:space="preserve"> </v>
      </c>
    </row>
    <row r="53" spans="1:13" x14ac:dyDescent="0.25">
      <c r="A53" s="34" t="str">
        <f t="shared" si="0"/>
        <v xml:space="preserve"> </v>
      </c>
      <c r="D53" s="33"/>
      <c r="E53" s="33"/>
      <c r="J53" s="14">
        <f t="shared" si="1"/>
        <v>0</v>
      </c>
      <c r="K53" s="2" t="str">
        <f t="shared" si="2"/>
        <v xml:space="preserve"> </v>
      </c>
      <c r="L53" s="2" t="str">
        <f t="shared" si="3"/>
        <v xml:space="preserve"> </v>
      </c>
      <c r="M53" s="2" t="str">
        <f t="shared" si="4"/>
        <v xml:space="preserve"> </v>
      </c>
    </row>
    <row r="54" spans="1:13" x14ac:dyDescent="0.25">
      <c r="A54" s="34" t="str">
        <f t="shared" si="0"/>
        <v xml:space="preserve"> </v>
      </c>
      <c r="C54" s="14"/>
      <c r="D54" s="33"/>
      <c r="E54" s="33"/>
      <c r="J54" s="14">
        <f t="shared" si="1"/>
        <v>0</v>
      </c>
      <c r="K54" s="2" t="str">
        <f t="shared" si="2"/>
        <v xml:space="preserve"> </v>
      </c>
      <c r="L54" s="2" t="str">
        <f t="shared" si="3"/>
        <v xml:space="preserve"> </v>
      </c>
      <c r="M54" s="2" t="str">
        <f t="shared" si="4"/>
        <v xml:space="preserve"> </v>
      </c>
    </row>
    <row r="55" spans="1:13" x14ac:dyDescent="0.25">
      <c r="A55" s="34" t="str">
        <f t="shared" si="0"/>
        <v xml:space="preserve"> </v>
      </c>
      <c r="D55" s="33"/>
      <c r="E55" s="33"/>
      <c r="J55" s="14">
        <f t="shared" si="1"/>
        <v>0</v>
      </c>
      <c r="K55" s="2" t="str">
        <f t="shared" si="2"/>
        <v xml:space="preserve"> </v>
      </c>
      <c r="L55" s="2" t="str">
        <f t="shared" si="3"/>
        <v xml:space="preserve"> </v>
      </c>
      <c r="M55" s="2" t="str">
        <f t="shared" si="4"/>
        <v xml:space="preserve"> </v>
      </c>
    </row>
    <row r="56" spans="1:13" x14ac:dyDescent="0.25">
      <c r="A56" s="34" t="str">
        <f t="shared" si="0"/>
        <v xml:space="preserve"> </v>
      </c>
      <c r="D56" s="33"/>
      <c r="E56" s="33"/>
      <c r="J56" s="14">
        <f t="shared" si="1"/>
        <v>0</v>
      </c>
      <c r="K56" s="2" t="str">
        <f t="shared" si="2"/>
        <v xml:space="preserve"> </v>
      </c>
      <c r="L56" s="2" t="str">
        <f t="shared" si="3"/>
        <v xml:space="preserve"> </v>
      </c>
      <c r="M56" s="2" t="str">
        <f t="shared" si="4"/>
        <v xml:space="preserve"> </v>
      </c>
    </row>
    <row r="57" spans="1:13" x14ac:dyDescent="0.25">
      <c r="A57" s="34" t="str">
        <f t="shared" si="0"/>
        <v xml:space="preserve"> </v>
      </c>
      <c r="D57" s="33"/>
      <c r="E57" s="33"/>
      <c r="J57" s="14">
        <f t="shared" si="1"/>
        <v>0</v>
      </c>
      <c r="K57" s="2" t="str">
        <f t="shared" si="2"/>
        <v xml:space="preserve"> </v>
      </c>
      <c r="L57" s="2" t="str">
        <f t="shared" si="3"/>
        <v xml:space="preserve"> </v>
      </c>
      <c r="M57" s="2" t="str">
        <f t="shared" si="4"/>
        <v xml:space="preserve"> </v>
      </c>
    </row>
    <row r="58" spans="1:13" x14ac:dyDescent="0.25">
      <c r="A58" s="34" t="str">
        <f t="shared" si="0"/>
        <v xml:space="preserve"> </v>
      </c>
      <c r="D58" s="33"/>
      <c r="E58" s="33"/>
      <c r="J58" s="14">
        <f t="shared" si="1"/>
        <v>0</v>
      </c>
      <c r="K58" s="2" t="str">
        <f t="shared" si="2"/>
        <v xml:space="preserve"> </v>
      </c>
      <c r="L58" s="2" t="str">
        <f t="shared" si="3"/>
        <v xml:space="preserve"> </v>
      </c>
      <c r="M58" s="2" t="str">
        <f t="shared" si="4"/>
        <v xml:space="preserve"> </v>
      </c>
    </row>
    <row r="59" spans="1:13" x14ac:dyDescent="0.25">
      <c r="A59" s="34" t="str">
        <f t="shared" si="0"/>
        <v xml:space="preserve"> </v>
      </c>
      <c r="D59" s="33"/>
      <c r="E59" s="33"/>
      <c r="J59" s="14">
        <f t="shared" si="1"/>
        <v>0</v>
      </c>
      <c r="K59" s="2" t="str">
        <f t="shared" si="2"/>
        <v xml:space="preserve"> </v>
      </c>
      <c r="L59" s="2" t="str">
        <f t="shared" si="3"/>
        <v xml:space="preserve"> </v>
      </c>
      <c r="M59" s="2" t="str">
        <f t="shared" si="4"/>
        <v xml:space="preserve"> </v>
      </c>
    </row>
    <row r="60" spans="1:13" x14ac:dyDescent="0.25">
      <c r="A60" s="34" t="str">
        <f t="shared" si="0"/>
        <v xml:space="preserve"> </v>
      </c>
      <c r="D60" s="33"/>
      <c r="E60" s="33"/>
      <c r="J60" s="14">
        <f t="shared" si="1"/>
        <v>0</v>
      </c>
      <c r="K60" s="2" t="str">
        <f t="shared" si="2"/>
        <v xml:space="preserve"> </v>
      </c>
      <c r="L60" s="2" t="str">
        <f t="shared" si="3"/>
        <v xml:space="preserve"> </v>
      </c>
      <c r="M60" s="2" t="str">
        <f t="shared" si="4"/>
        <v xml:space="preserve"> </v>
      </c>
    </row>
    <row r="61" spans="1:13" x14ac:dyDescent="0.25">
      <c r="A61" s="34" t="str">
        <f t="shared" si="0"/>
        <v xml:space="preserve"> </v>
      </c>
      <c r="D61" s="33"/>
      <c r="E61" s="33"/>
      <c r="J61" s="14">
        <f t="shared" si="1"/>
        <v>0</v>
      </c>
      <c r="K61" s="2" t="str">
        <f t="shared" si="2"/>
        <v xml:space="preserve"> </v>
      </c>
      <c r="L61" s="2" t="str">
        <f t="shared" si="3"/>
        <v xml:space="preserve"> </v>
      </c>
      <c r="M61" s="2" t="str">
        <f t="shared" si="4"/>
        <v xml:space="preserve"> </v>
      </c>
    </row>
    <row r="62" spans="1:13" x14ac:dyDescent="0.25">
      <c r="A62" s="34" t="str">
        <f t="shared" si="0"/>
        <v xml:space="preserve"> </v>
      </c>
      <c r="D62" s="33"/>
      <c r="E62" s="33"/>
      <c r="J62" s="14">
        <f t="shared" si="1"/>
        <v>0</v>
      </c>
      <c r="K62" s="2" t="str">
        <f t="shared" si="2"/>
        <v xml:space="preserve"> </v>
      </c>
      <c r="L62" s="2" t="str">
        <f t="shared" si="3"/>
        <v xml:space="preserve"> </v>
      </c>
      <c r="M62" s="2" t="str">
        <f t="shared" si="4"/>
        <v xml:space="preserve"> </v>
      </c>
    </row>
    <row r="63" spans="1:13" x14ac:dyDescent="0.25">
      <c r="A63" s="34" t="str">
        <f t="shared" si="0"/>
        <v xml:space="preserve"> </v>
      </c>
      <c r="D63" s="33"/>
      <c r="E63" s="33"/>
      <c r="J63" s="14">
        <f t="shared" si="1"/>
        <v>0</v>
      </c>
      <c r="K63" s="2" t="str">
        <f t="shared" si="2"/>
        <v xml:space="preserve"> </v>
      </c>
      <c r="L63" s="2" t="str">
        <f t="shared" si="3"/>
        <v xml:space="preserve"> </v>
      </c>
      <c r="M63" s="2" t="str">
        <f t="shared" si="4"/>
        <v xml:space="preserve"> </v>
      </c>
    </row>
    <row r="64" spans="1:13" x14ac:dyDescent="0.25">
      <c r="A64" s="34" t="str">
        <f t="shared" si="0"/>
        <v xml:space="preserve"> </v>
      </c>
      <c r="D64" s="33"/>
      <c r="E64" s="33"/>
      <c r="J64" s="14">
        <f t="shared" si="1"/>
        <v>0</v>
      </c>
      <c r="K64" s="2" t="str">
        <f t="shared" si="2"/>
        <v xml:space="preserve"> </v>
      </c>
      <c r="L64" s="2" t="str">
        <f t="shared" si="3"/>
        <v xml:space="preserve"> </v>
      </c>
      <c r="M64" s="2" t="str">
        <f t="shared" si="4"/>
        <v xml:space="preserve"> </v>
      </c>
    </row>
    <row r="65" spans="1:13" x14ac:dyDescent="0.25">
      <c r="A65" s="34" t="str">
        <f t="shared" si="0"/>
        <v xml:space="preserve"> </v>
      </c>
      <c r="D65" s="33"/>
      <c r="E65" s="33"/>
      <c r="J65" s="14">
        <f t="shared" si="1"/>
        <v>0</v>
      </c>
      <c r="K65" s="2" t="str">
        <f t="shared" si="2"/>
        <v xml:space="preserve"> </v>
      </c>
      <c r="L65" s="2" t="str">
        <f t="shared" si="3"/>
        <v xml:space="preserve"> </v>
      </c>
      <c r="M65" s="2" t="str">
        <f t="shared" si="4"/>
        <v xml:space="preserve"> </v>
      </c>
    </row>
    <row r="66" spans="1:13" x14ac:dyDescent="0.25">
      <c r="A66" s="34" t="str">
        <f t="shared" si="0"/>
        <v xml:space="preserve"> </v>
      </c>
      <c r="D66" s="33"/>
      <c r="E66" s="33"/>
      <c r="J66" s="14">
        <f t="shared" si="1"/>
        <v>0</v>
      </c>
      <c r="K66" s="2" t="str">
        <f t="shared" si="2"/>
        <v xml:space="preserve"> </v>
      </c>
      <c r="L66" s="2" t="str">
        <f t="shared" si="3"/>
        <v xml:space="preserve"> </v>
      </c>
      <c r="M66" s="2" t="str">
        <f t="shared" si="4"/>
        <v xml:space="preserve"> </v>
      </c>
    </row>
    <row r="67" spans="1:13" x14ac:dyDescent="0.25">
      <c r="A67" s="34" t="str">
        <f t="shared" si="0"/>
        <v xml:space="preserve"> </v>
      </c>
      <c r="D67" s="33"/>
      <c r="E67" s="33"/>
      <c r="J67" s="14">
        <f t="shared" si="1"/>
        <v>0</v>
      </c>
      <c r="K67" s="2" t="str">
        <f t="shared" si="2"/>
        <v xml:space="preserve"> </v>
      </c>
      <c r="L67" s="2" t="str">
        <f t="shared" si="3"/>
        <v xml:space="preserve"> </v>
      </c>
      <c r="M67" s="2" t="str">
        <f t="shared" si="4"/>
        <v xml:space="preserve"> </v>
      </c>
    </row>
    <row r="68" spans="1:13" x14ac:dyDescent="0.25">
      <c r="A68" s="34" t="str">
        <f t="shared" si="0"/>
        <v xml:space="preserve"> </v>
      </c>
      <c r="D68" s="33"/>
      <c r="E68" s="33"/>
      <c r="J68" s="14">
        <f t="shared" si="1"/>
        <v>0</v>
      </c>
      <c r="K68" s="2" t="str">
        <f t="shared" si="2"/>
        <v xml:space="preserve"> </v>
      </c>
      <c r="L68" s="2" t="str">
        <f t="shared" si="3"/>
        <v xml:space="preserve"> </v>
      </c>
      <c r="M68" s="2" t="str">
        <f t="shared" si="4"/>
        <v xml:space="preserve"> </v>
      </c>
    </row>
    <row r="69" spans="1:13" x14ac:dyDescent="0.25">
      <c r="A69" s="34" t="str">
        <f t="shared" si="0"/>
        <v xml:space="preserve"> </v>
      </c>
      <c r="D69" s="33"/>
      <c r="E69" s="33"/>
      <c r="J69" s="14">
        <f>F69-G69+H69-I69</f>
        <v>0</v>
      </c>
      <c r="K69" s="2" t="str">
        <f t="shared" si="2"/>
        <v xml:space="preserve"> </v>
      </c>
      <c r="L69" s="2" t="str">
        <f t="shared" si="3"/>
        <v xml:space="preserve"> </v>
      </c>
      <c r="M69" s="2" t="str">
        <f t="shared" si="4"/>
        <v xml:space="preserve"> </v>
      </c>
    </row>
    <row r="70" spans="1:13" x14ac:dyDescent="0.25">
      <c r="A70" s="34" t="str">
        <f t="shared" si="0"/>
        <v xml:space="preserve"> </v>
      </c>
      <c r="D70" s="33"/>
      <c r="E70" s="33"/>
      <c r="J70" s="14">
        <f>F70-G70+H70-I70</f>
        <v>0</v>
      </c>
      <c r="K70" s="2" t="str">
        <f t="shared" si="2"/>
        <v xml:space="preserve"> </v>
      </c>
      <c r="L70" s="2" t="str">
        <f t="shared" si="3"/>
        <v xml:space="preserve"> </v>
      </c>
      <c r="M70" s="2" t="str">
        <f t="shared" si="4"/>
        <v xml:space="preserve"> </v>
      </c>
    </row>
    <row r="71" spans="1:13" x14ac:dyDescent="0.25">
      <c r="A71" s="34" t="str">
        <f t="shared" si="0"/>
        <v xml:space="preserve"> </v>
      </c>
      <c r="D71" s="33"/>
      <c r="E71" s="33"/>
      <c r="J71" s="14">
        <f t="shared" si="1"/>
        <v>0</v>
      </c>
      <c r="K71" s="2" t="str">
        <f t="shared" si="2"/>
        <v xml:space="preserve"> </v>
      </c>
      <c r="L71" s="2" t="str">
        <f t="shared" si="3"/>
        <v xml:space="preserve"> </v>
      </c>
      <c r="M71" s="2" t="str">
        <f t="shared" si="4"/>
        <v xml:space="preserve"> </v>
      </c>
    </row>
    <row r="72" spans="1:13" x14ac:dyDescent="0.25">
      <c r="A72" s="34" t="str">
        <f t="shared" si="0"/>
        <v xml:space="preserve"> </v>
      </c>
      <c r="D72" s="33"/>
      <c r="E72" s="33"/>
      <c r="J72" s="14">
        <f t="shared" si="1"/>
        <v>0</v>
      </c>
      <c r="K72" s="2" t="str">
        <f t="shared" si="2"/>
        <v xml:space="preserve"> </v>
      </c>
      <c r="L72" s="2" t="str">
        <f t="shared" si="3"/>
        <v xml:space="preserve"> </v>
      </c>
      <c r="M72" s="2" t="str">
        <f t="shared" si="4"/>
        <v xml:space="preserve"> </v>
      </c>
    </row>
    <row r="73" spans="1:13" x14ac:dyDescent="0.25">
      <c r="A73" s="34" t="str">
        <f t="shared" si="0"/>
        <v xml:space="preserve"> </v>
      </c>
      <c r="D73" s="33"/>
      <c r="E73" s="33"/>
      <c r="J73" s="14">
        <f t="shared" si="1"/>
        <v>0</v>
      </c>
      <c r="K73" s="2" t="str">
        <f t="shared" si="2"/>
        <v xml:space="preserve"> </v>
      </c>
      <c r="L73" s="2" t="str">
        <f t="shared" si="3"/>
        <v xml:space="preserve"> </v>
      </c>
      <c r="M73" s="2" t="str">
        <f t="shared" si="4"/>
        <v xml:space="preserve"> </v>
      </c>
    </row>
    <row r="74" spans="1:13" x14ac:dyDescent="0.25">
      <c r="A74" s="34" t="str">
        <f t="shared" si="0"/>
        <v xml:space="preserve"> </v>
      </c>
      <c r="D74" s="33"/>
      <c r="E74" s="33"/>
      <c r="J74" s="14">
        <f t="shared" si="1"/>
        <v>0</v>
      </c>
      <c r="K74" s="2" t="str">
        <f t="shared" si="2"/>
        <v xml:space="preserve"> </v>
      </c>
      <c r="L74" s="2" t="str">
        <f t="shared" si="3"/>
        <v xml:space="preserve"> </v>
      </c>
      <c r="M74" s="2" t="str">
        <f t="shared" si="4"/>
        <v xml:space="preserve"> </v>
      </c>
    </row>
    <row r="75" spans="1:13" x14ac:dyDescent="0.25">
      <c r="A75" s="34" t="str">
        <f t="shared" si="0"/>
        <v xml:space="preserve"> </v>
      </c>
      <c r="D75" s="33"/>
      <c r="E75" s="33"/>
      <c r="J75" s="14">
        <f t="shared" si="1"/>
        <v>0</v>
      </c>
      <c r="K75" s="2" t="str">
        <f t="shared" si="2"/>
        <v xml:space="preserve"> </v>
      </c>
      <c r="L75" s="2" t="str">
        <f t="shared" si="3"/>
        <v xml:space="preserve"> </v>
      </c>
      <c r="M75" s="2" t="str">
        <f t="shared" si="4"/>
        <v xml:space="preserve"> </v>
      </c>
    </row>
    <row r="76" spans="1:13" x14ac:dyDescent="0.25">
      <c r="A76" s="34" t="str">
        <f t="shared" si="0"/>
        <v xml:space="preserve"> </v>
      </c>
      <c r="D76" s="33"/>
      <c r="E76" s="33"/>
      <c r="J76" s="14">
        <f t="shared" si="1"/>
        <v>0</v>
      </c>
      <c r="K76" s="2" t="str">
        <f t="shared" si="2"/>
        <v xml:space="preserve"> </v>
      </c>
      <c r="L76" s="2" t="str">
        <f t="shared" si="3"/>
        <v xml:space="preserve"> </v>
      </c>
      <c r="M76" s="2" t="str">
        <f t="shared" si="4"/>
        <v xml:space="preserve"> </v>
      </c>
    </row>
    <row r="77" spans="1:13" x14ac:dyDescent="0.25">
      <c r="A77" s="34" t="str">
        <f t="shared" si="0"/>
        <v xml:space="preserve"> </v>
      </c>
      <c r="D77" s="33"/>
      <c r="E77" s="33"/>
      <c r="J77" s="14">
        <f t="shared" si="1"/>
        <v>0</v>
      </c>
      <c r="K77" s="2" t="str">
        <f t="shared" si="2"/>
        <v xml:space="preserve"> </v>
      </c>
      <c r="L77" s="2" t="str">
        <f t="shared" si="3"/>
        <v xml:space="preserve"> </v>
      </c>
      <c r="M77" s="2" t="str">
        <f t="shared" si="4"/>
        <v xml:space="preserve"> </v>
      </c>
    </row>
    <row r="78" spans="1:13" x14ac:dyDescent="0.25">
      <c r="A78" s="34" t="str">
        <f t="shared" si="0"/>
        <v xml:space="preserve"> </v>
      </c>
      <c r="D78" s="33"/>
      <c r="E78" s="33"/>
      <c r="J78" s="14">
        <f t="shared" si="1"/>
        <v>0</v>
      </c>
      <c r="K78" s="2" t="str">
        <f t="shared" si="2"/>
        <v xml:space="preserve"> </v>
      </c>
      <c r="L78" s="2" t="str">
        <f t="shared" si="3"/>
        <v xml:space="preserve"> </v>
      </c>
      <c r="M78" s="2" t="str">
        <f t="shared" si="4"/>
        <v xml:space="preserve"> </v>
      </c>
    </row>
    <row r="79" spans="1:13" x14ac:dyDescent="0.25">
      <c r="A79" s="34" t="str">
        <f t="shared" ref="A79:A142" si="5">IF(COUNTIF(K79:M79,"ERROR")&gt;0,"ERROR"," ")</f>
        <v xml:space="preserve"> </v>
      </c>
      <c r="D79" s="33"/>
      <c r="E79" s="33"/>
      <c r="J79" s="14">
        <f t="shared" ref="J79:J142" si="6">F79-G79+H79-I79</f>
        <v>0</v>
      </c>
      <c r="K79" s="2" t="str">
        <f t="shared" si="2"/>
        <v xml:space="preserve"> </v>
      </c>
      <c r="L79" s="2" t="str">
        <f t="shared" si="3"/>
        <v xml:space="preserve"> </v>
      </c>
      <c r="M79" s="2" t="str">
        <f t="shared" si="4"/>
        <v xml:space="preserve"> </v>
      </c>
    </row>
    <row r="80" spans="1:13" x14ac:dyDescent="0.25">
      <c r="A80" s="34" t="str">
        <f t="shared" si="5"/>
        <v xml:space="preserve"> </v>
      </c>
      <c r="D80" s="33"/>
      <c r="E80" s="33"/>
      <c r="J80" s="14">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4" t="str">
        <f t="shared" si="5"/>
        <v xml:space="preserve"> </v>
      </c>
      <c r="D81" s="33"/>
      <c r="E81" s="33"/>
      <c r="J81" s="14">
        <f t="shared" si="6"/>
        <v>0</v>
      </c>
      <c r="K81" s="2" t="str">
        <f t="shared" si="7"/>
        <v xml:space="preserve"> </v>
      </c>
      <c r="L81" s="2" t="str">
        <f t="shared" si="8"/>
        <v xml:space="preserve"> </v>
      </c>
      <c r="M81" s="2" t="str">
        <f t="shared" si="9"/>
        <v xml:space="preserve"> </v>
      </c>
    </row>
    <row r="82" spans="1:13" x14ac:dyDescent="0.25">
      <c r="A82" s="34" t="str">
        <f t="shared" si="5"/>
        <v xml:space="preserve"> </v>
      </c>
      <c r="D82" s="33"/>
      <c r="E82" s="33"/>
      <c r="J82" s="14">
        <f t="shared" si="6"/>
        <v>0</v>
      </c>
      <c r="K82" s="2" t="str">
        <f t="shared" si="7"/>
        <v xml:space="preserve"> </v>
      </c>
      <c r="L82" s="2" t="str">
        <f t="shared" si="8"/>
        <v xml:space="preserve"> </v>
      </c>
      <c r="M82" s="2" t="str">
        <f t="shared" si="9"/>
        <v xml:space="preserve"> </v>
      </c>
    </row>
    <row r="83" spans="1:13" x14ac:dyDescent="0.25">
      <c r="A83" s="34" t="str">
        <f t="shared" si="5"/>
        <v xml:space="preserve"> </v>
      </c>
      <c r="D83" s="33"/>
      <c r="E83" s="33"/>
      <c r="J83" s="14">
        <f t="shared" si="6"/>
        <v>0</v>
      </c>
      <c r="K83" s="2" t="str">
        <f t="shared" si="7"/>
        <v xml:space="preserve"> </v>
      </c>
      <c r="L83" s="2" t="str">
        <f t="shared" si="8"/>
        <v xml:space="preserve"> </v>
      </c>
      <c r="M83" s="2" t="str">
        <f t="shared" si="9"/>
        <v xml:space="preserve"> </v>
      </c>
    </row>
    <row r="84" spans="1:13" x14ac:dyDescent="0.25">
      <c r="A84" s="34" t="str">
        <f t="shared" si="5"/>
        <v xml:space="preserve"> </v>
      </c>
      <c r="D84" s="33"/>
      <c r="E84" s="33"/>
      <c r="J84" s="14">
        <f t="shared" si="6"/>
        <v>0</v>
      </c>
      <c r="K84" s="2" t="str">
        <f t="shared" si="7"/>
        <v xml:space="preserve"> </v>
      </c>
      <c r="L84" s="2" t="str">
        <f t="shared" si="8"/>
        <v xml:space="preserve"> </v>
      </c>
      <c r="M84" s="2" t="str">
        <f t="shared" si="9"/>
        <v xml:space="preserve"> </v>
      </c>
    </row>
    <row r="85" spans="1:13" x14ac:dyDescent="0.25">
      <c r="A85" s="34" t="str">
        <f t="shared" si="5"/>
        <v xml:space="preserve"> </v>
      </c>
      <c r="D85" s="33"/>
      <c r="E85" s="33"/>
      <c r="J85" s="14">
        <f t="shared" si="6"/>
        <v>0</v>
      </c>
      <c r="K85" s="2" t="str">
        <f t="shared" si="7"/>
        <v xml:space="preserve"> </v>
      </c>
      <c r="L85" s="2" t="str">
        <f t="shared" si="8"/>
        <v xml:space="preserve"> </v>
      </c>
      <c r="M85" s="2" t="str">
        <f t="shared" si="9"/>
        <v xml:space="preserve"> </v>
      </c>
    </row>
    <row r="86" spans="1:13" x14ac:dyDescent="0.25">
      <c r="A86" s="34" t="str">
        <f t="shared" si="5"/>
        <v xml:space="preserve"> </v>
      </c>
      <c r="D86" s="33"/>
      <c r="E86" s="33"/>
      <c r="J86" s="14">
        <f t="shared" si="6"/>
        <v>0</v>
      </c>
      <c r="K86" s="2" t="str">
        <f t="shared" si="7"/>
        <v xml:space="preserve"> </v>
      </c>
      <c r="L86" s="2" t="str">
        <f t="shared" si="8"/>
        <v xml:space="preserve"> </v>
      </c>
      <c r="M86" s="2" t="str">
        <f t="shared" si="9"/>
        <v xml:space="preserve"> </v>
      </c>
    </row>
    <row r="87" spans="1:13" x14ac:dyDescent="0.25">
      <c r="A87" s="34" t="str">
        <f t="shared" si="5"/>
        <v xml:space="preserve"> </v>
      </c>
      <c r="D87" s="53"/>
      <c r="E87" s="33"/>
      <c r="J87" s="14">
        <f t="shared" si="6"/>
        <v>0</v>
      </c>
      <c r="K87" s="2" t="str">
        <f t="shared" si="7"/>
        <v xml:space="preserve"> </v>
      </c>
      <c r="L87" s="2" t="str">
        <f t="shared" si="8"/>
        <v xml:space="preserve"> </v>
      </c>
      <c r="M87" s="2" t="str">
        <f t="shared" si="9"/>
        <v xml:space="preserve"> </v>
      </c>
    </row>
    <row r="88" spans="1:13" x14ac:dyDescent="0.25">
      <c r="A88" s="34" t="str">
        <f t="shared" si="5"/>
        <v xml:space="preserve"> </v>
      </c>
      <c r="D88" s="33"/>
      <c r="E88" s="33"/>
      <c r="J88" s="14">
        <f t="shared" si="6"/>
        <v>0</v>
      </c>
      <c r="K88" s="2" t="str">
        <f t="shared" si="7"/>
        <v xml:space="preserve"> </v>
      </c>
      <c r="L88" s="2" t="str">
        <f t="shared" si="8"/>
        <v xml:space="preserve"> </v>
      </c>
      <c r="M88" s="2" t="str">
        <f t="shared" si="9"/>
        <v xml:space="preserve"> </v>
      </c>
    </row>
    <row r="89" spans="1:13" x14ac:dyDescent="0.25">
      <c r="A89" s="34" t="str">
        <f t="shared" si="5"/>
        <v xml:space="preserve"> </v>
      </c>
      <c r="D89" s="33"/>
      <c r="E89" s="33"/>
      <c r="J89" s="14">
        <f t="shared" si="6"/>
        <v>0</v>
      </c>
      <c r="K89" s="2" t="str">
        <f t="shared" si="7"/>
        <v xml:space="preserve"> </v>
      </c>
      <c r="L89" s="2" t="str">
        <f t="shared" si="8"/>
        <v xml:space="preserve"> </v>
      </c>
      <c r="M89" s="2" t="str">
        <f t="shared" si="9"/>
        <v xml:space="preserve"> </v>
      </c>
    </row>
    <row r="90" spans="1:13" x14ac:dyDescent="0.25">
      <c r="A90" s="34" t="str">
        <f t="shared" si="5"/>
        <v xml:space="preserve"> </v>
      </c>
      <c r="D90" s="33"/>
      <c r="E90" s="33"/>
      <c r="J90" s="14">
        <f t="shared" si="6"/>
        <v>0</v>
      </c>
      <c r="K90" s="2" t="str">
        <f t="shared" si="7"/>
        <v xml:space="preserve"> </v>
      </c>
      <c r="L90" s="2" t="str">
        <f t="shared" si="8"/>
        <v xml:space="preserve"> </v>
      </c>
      <c r="M90" s="2" t="str">
        <f t="shared" si="9"/>
        <v xml:space="preserve"> </v>
      </c>
    </row>
    <row r="91" spans="1:13" x14ac:dyDescent="0.25">
      <c r="A91" s="34" t="str">
        <f t="shared" si="5"/>
        <v xml:space="preserve"> </v>
      </c>
      <c r="D91" s="33"/>
      <c r="E91" s="33"/>
      <c r="J91" s="14">
        <f t="shared" si="6"/>
        <v>0</v>
      </c>
      <c r="K91" s="2" t="str">
        <f t="shared" si="7"/>
        <v xml:space="preserve"> </v>
      </c>
      <c r="L91" s="2" t="str">
        <f t="shared" si="8"/>
        <v xml:space="preserve"> </v>
      </c>
      <c r="M91" s="2" t="str">
        <f t="shared" si="9"/>
        <v xml:space="preserve"> </v>
      </c>
    </row>
    <row r="92" spans="1:13" x14ac:dyDescent="0.25">
      <c r="A92" s="34" t="str">
        <f t="shared" si="5"/>
        <v xml:space="preserve"> </v>
      </c>
      <c r="D92" s="33"/>
      <c r="E92" s="33"/>
      <c r="J92" s="14">
        <f t="shared" si="6"/>
        <v>0</v>
      </c>
      <c r="K92" s="2" t="str">
        <f t="shared" si="7"/>
        <v xml:space="preserve"> </v>
      </c>
      <c r="L92" s="2" t="str">
        <f t="shared" si="8"/>
        <v xml:space="preserve"> </v>
      </c>
      <c r="M92" s="2" t="str">
        <f t="shared" si="9"/>
        <v xml:space="preserve"> </v>
      </c>
    </row>
    <row r="93" spans="1:13" x14ac:dyDescent="0.25">
      <c r="A93" s="34" t="str">
        <f t="shared" si="5"/>
        <v xml:space="preserve"> </v>
      </c>
      <c r="D93" s="33"/>
      <c r="E93" s="33"/>
      <c r="J93" s="14">
        <f t="shared" si="6"/>
        <v>0</v>
      </c>
      <c r="K93" s="2" t="str">
        <f t="shared" si="7"/>
        <v xml:space="preserve"> </v>
      </c>
      <c r="L93" s="2" t="str">
        <f t="shared" si="8"/>
        <v xml:space="preserve"> </v>
      </c>
      <c r="M93" s="2" t="str">
        <f t="shared" si="9"/>
        <v xml:space="preserve"> </v>
      </c>
    </row>
    <row r="94" spans="1:13" x14ac:dyDescent="0.25">
      <c r="A94" s="34" t="str">
        <f t="shared" si="5"/>
        <v xml:space="preserve"> </v>
      </c>
      <c r="D94" s="33"/>
      <c r="E94" s="33"/>
      <c r="J94" s="14">
        <f t="shared" si="6"/>
        <v>0</v>
      </c>
      <c r="K94" s="2" t="str">
        <f t="shared" si="7"/>
        <v xml:space="preserve"> </v>
      </c>
      <c r="L94" s="2" t="str">
        <f t="shared" si="8"/>
        <v xml:space="preserve"> </v>
      </c>
      <c r="M94" s="2" t="str">
        <f t="shared" si="9"/>
        <v xml:space="preserve"> </v>
      </c>
    </row>
    <row r="95" spans="1:13" x14ac:dyDescent="0.25">
      <c r="A95" s="34" t="str">
        <f t="shared" si="5"/>
        <v xml:space="preserve"> </v>
      </c>
      <c r="D95" s="33"/>
      <c r="E95" s="33"/>
      <c r="J95" s="14">
        <f t="shared" si="6"/>
        <v>0</v>
      </c>
      <c r="K95" s="2" t="str">
        <f t="shared" si="7"/>
        <v xml:space="preserve"> </v>
      </c>
      <c r="L95" s="2" t="str">
        <f t="shared" si="8"/>
        <v xml:space="preserve"> </v>
      </c>
      <c r="M95" s="2" t="str">
        <f t="shared" si="9"/>
        <v xml:space="preserve"> </v>
      </c>
    </row>
    <row r="96" spans="1:13" x14ac:dyDescent="0.25">
      <c r="A96" s="34" t="str">
        <f t="shared" si="5"/>
        <v xml:space="preserve"> </v>
      </c>
      <c r="D96" s="33"/>
      <c r="E96" s="33"/>
      <c r="J96" s="14">
        <f t="shared" si="6"/>
        <v>0</v>
      </c>
      <c r="K96" s="2" t="str">
        <f t="shared" si="7"/>
        <v xml:space="preserve"> </v>
      </c>
      <c r="L96" s="2" t="str">
        <f t="shared" si="8"/>
        <v xml:space="preserve"> </v>
      </c>
      <c r="M96" s="2" t="str">
        <f t="shared" si="9"/>
        <v xml:space="preserve"> </v>
      </c>
    </row>
    <row r="97" spans="1:13" x14ac:dyDescent="0.25">
      <c r="A97" s="34" t="str">
        <f t="shared" si="5"/>
        <v xml:space="preserve"> </v>
      </c>
      <c r="D97" s="33"/>
      <c r="E97" s="33"/>
      <c r="J97" s="14">
        <f t="shared" si="6"/>
        <v>0</v>
      </c>
      <c r="K97" s="2" t="str">
        <f t="shared" si="7"/>
        <v xml:space="preserve"> </v>
      </c>
      <c r="L97" s="2" t="str">
        <f t="shared" si="8"/>
        <v xml:space="preserve"> </v>
      </c>
      <c r="M97" s="2" t="str">
        <f t="shared" si="9"/>
        <v xml:space="preserve"> </v>
      </c>
    </row>
    <row r="98" spans="1:13" x14ac:dyDescent="0.25">
      <c r="A98" s="34" t="str">
        <f t="shared" si="5"/>
        <v xml:space="preserve"> </v>
      </c>
      <c r="D98" s="33"/>
      <c r="E98" s="33"/>
      <c r="J98" s="14">
        <f t="shared" si="6"/>
        <v>0</v>
      </c>
      <c r="K98" s="2" t="str">
        <f t="shared" si="7"/>
        <v xml:space="preserve"> </v>
      </c>
      <c r="L98" s="2" t="str">
        <f t="shared" si="8"/>
        <v xml:space="preserve"> </v>
      </c>
      <c r="M98" s="2" t="str">
        <f t="shared" si="9"/>
        <v xml:space="preserve"> </v>
      </c>
    </row>
    <row r="99" spans="1:13" x14ac:dyDescent="0.25">
      <c r="A99" s="34" t="str">
        <f t="shared" si="5"/>
        <v xml:space="preserve"> </v>
      </c>
      <c r="D99" s="33"/>
      <c r="E99" s="33"/>
      <c r="J99" s="14">
        <f t="shared" si="6"/>
        <v>0</v>
      </c>
      <c r="K99" s="2" t="str">
        <f t="shared" si="7"/>
        <v xml:space="preserve"> </v>
      </c>
      <c r="L99" s="2" t="str">
        <f t="shared" si="8"/>
        <v xml:space="preserve"> </v>
      </c>
      <c r="M99" s="2" t="str">
        <f t="shared" si="9"/>
        <v xml:space="preserve"> </v>
      </c>
    </row>
    <row r="100" spans="1:13" x14ac:dyDescent="0.25">
      <c r="A100" s="34" t="str">
        <f t="shared" si="5"/>
        <v xml:space="preserve"> </v>
      </c>
      <c r="D100" s="33"/>
      <c r="E100" s="33"/>
      <c r="J100" s="14">
        <f t="shared" si="6"/>
        <v>0</v>
      </c>
      <c r="K100" s="2" t="str">
        <f t="shared" si="7"/>
        <v xml:space="preserve"> </v>
      </c>
      <c r="L100" s="2" t="str">
        <f t="shared" si="8"/>
        <v xml:space="preserve"> </v>
      </c>
      <c r="M100" s="2" t="str">
        <f t="shared" si="9"/>
        <v xml:space="preserve"> </v>
      </c>
    </row>
    <row r="101" spans="1:13" x14ac:dyDescent="0.25">
      <c r="A101" s="34" t="str">
        <f t="shared" si="5"/>
        <v xml:space="preserve"> </v>
      </c>
      <c r="D101" s="33"/>
      <c r="E101" s="33"/>
      <c r="J101" s="14">
        <f t="shared" si="6"/>
        <v>0</v>
      </c>
      <c r="K101" s="2" t="str">
        <f t="shared" si="7"/>
        <v xml:space="preserve"> </v>
      </c>
      <c r="L101" s="2" t="str">
        <f t="shared" si="8"/>
        <v xml:space="preserve"> </v>
      </c>
      <c r="M101" s="2" t="str">
        <f t="shared" si="9"/>
        <v xml:space="preserve"> </v>
      </c>
    </row>
    <row r="102" spans="1:13" x14ac:dyDescent="0.25">
      <c r="A102" s="34" t="str">
        <f t="shared" si="5"/>
        <v xml:space="preserve"> </v>
      </c>
      <c r="D102" s="33"/>
      <c r="E102" s="33"/>
      <c r="J102" s="14">
        <f t="shared" si="6"/>
        <v>0</v>
      </c>
      <c r="K102" s="2" t="str">
        <f t="shared" si="7"/>
        <v xml:space="preserve"> </v>
      </c>
      <c r="L102" s="2" t="str">
        <f t="shared" si="8"/>
        <v xml:space="preserve"> </v>
      </c>
      <c r="M102" s="2" t="str">
        <f t="shared" si="9"/>
        <v xml:space="preserve"> </v>
      </c>
    </row>
    <row r="103" spans="1:13" x14ac:dyDescent="0.25">
      <c r="A103" s="34" t="str">
        <f t="shared" si="5"/>
        <v xml:space="preserve"> </v>
      </c>
      <c r="D103" s="33"/>
      <c r="E103" s="33"/>
      <c r="J103" s="14">
        <f t="shared" si="6"/>
        <v>0</v>
      </c>
      <c r="K103" s="2" t="str">
        <f t="shared" si="7"/>
        <v xml:space="preserve"> </v>
      </c>
      <c r="L103" s="2" t="str">
        <f t="shared" si="8"/>
        <v xml:space="preserve"> </v>
      </c>
      <c r="M103" s="2" t="str">
        <f t="shared" si="9"/>
        <v xml:space="preserve"> </v>
      </c>
    </row>
    <row r="104" spans="1:13" x14ac:dyDescent="0.25">
      <c r="A104" s="34" t="str">
        <f t="shared" si="5"/>
        <v xml:space="preserve"> </v>
      </c>
      <c r="D104" s="33"/>
      <c r="E104" s="33"/>
      <c r="J104" s="14">
        <f t="shared" si="6"/>
        <v>0</v>
      </c>
      <c r="K104" s="2" t="str">
        <f t="shared" si="7"/>
        <v xml:space="preserve"> </v>
      </c>
      <c r="L104" s="2" t="str">
        <f t="shared" si="8"/>
        <v xml:space="preserve"> </v>
      </c>
      <c r="M104" s="2" t="str">
        <f t="shared" si="9"/>
        <v xml:space="preserve"> </v>
      </c>
    </row>
    <row r="105" spans="1:13" x14ac:dyDescent="0.25">
      <c r="A105" s="34" t="str">
        <f t="shared" si="5"/>
        <v xml:space="preserve"> </v>
      </c>
      <c r="D105" s="33"/>
      <c r="E105" s="33"/>
      <c r="J105" s="14">
        <f t="shared" si="6"/>
        <v>0</v>
      </c>
      <c r="K105" s="2" t="str">
        <f t="shared" si="7"/>
        <v xml:space="preserve"> </v>
      </c>
      <c r="L105" s="2" t="str">
        <f t="shared" si="8"/>
        <v xml:space="preserve"> </v>
      </c>
      <c r="M105" s="2" t="str">
        <f t="shared" si="9"/>
        <v xml:space="preserve"> </v>
      </c>
    </row>
    <row r="106" spans="1:13" x14ac:dyDescent="0.25">
      <c r="A106" s="34" t="str">
        <f t="shared" si="5"/>
        <v xml:space="preserve"> </v>
      </c>
      <c r="D106" s="33"/>
      <c r="E106" s="33"/>
      <c r="J106" s="14">
        <f t="shared" si="6"/>
        <v>0</v>
      </c>
      <c r="K106" s="2" t="str">
        <f t="shared" si="7"/>
        <v xml:space="preserve"> </v>
      </c>
      <c r="L106" s="2" t="str">
        <f t="shared" si="8"/>
        <v xml:space="preserve"> </v>
      </c>
      <c r="M106" s="2" t="str">
        <f t="shared" si="9"/>
        <v xml:space="preserve"> </v>
      </c>
    </row>
    <row r="107" spans="1:13" x14ac:dyDescent="0.25">
      <c r="A107" s="34" t="str">
        <f t="shared" si="5"/>
        <v xml:space="preserve"> </v>
      </c>
      <c r="D107" s="33"/>
      <c r="E107" s="33"/>
      <c r="J107" s="14">
        <f t="shared" si="6"/>
        <v>0</v>
      </c>
      <c r="K107" s="2" t="str">
        <f t="shared" si="7"/>
        <v xml:space="preserve"> </v>
      </c>
      <c r="L107" s="2" t="str">
        <f t="shared" si="8"/>
        <v xml:space="preserve"> </v>
      </c>
      <c r="M107" s="2" t="str">
        <f t="shared" si="9"/>
        <v xml:space="preserve"> </v>
      </c>
    </row>
    <row r="108" spans="1:13" x14ac:dyDescent="0.25">
      <c r="A108" s="34" t="str">
        <f t="shared" si="5"/>
        <v xml:space="preserve"> </v>
      </c>
      <c r="D108" s="33"/>
      <c r="E108" s="33"/>
      <c r="J108" s="14">
        <f t="shared" si="6"/>
        <v>0</v>
      </c>
      <c r="K108" s="2" t="str">
        <f t="shared" si="7"/>
        <v xml:space="preserve"> </v>
      </c>
      <c r="L108" s="2" t="str">
        <f t="shared" si="8"/>
        <v xml:space="preserve"> </v>
      </c>
      <c r="M108" s="2" t="str">
        <f t="shared" si="9"/>
        <v xml:space="preserve"> </v>
      </c>
    </row>
    <row r="109" spans="1:13" x14ac:dyDescent="0.25">
      <c r="A109" s="34" t="str">
        <f t="shared" si="5"/>
        <v xml:space="preserve"> </v>
      </c>
      <c r="D109" s="33"/>
      <c r="E109" s="33"/>
      <c r="J109" s="14">
        <f t="shared" si="6"/>
        <v>0</v>
      </c>
      <c r="K109" s="2" t="str">
        <f t="shared" si="7"/>
        <v xml:space="preserve"> </v>
      </c>
      <c r="L109" s="2" t="str">
        <f t="shared" si="8"/>
        <v xml:space="preserve"> </v>
      </c>
      <c r="M109" s="2" t="str">
        <f t="shared" si="9"/>
        <v xml:space="preserve"> </v>
      </c>
    </row>
    <row r="110" spans="1:13" x14ac:dyDescent="0.25">
      <c r="A110" s="34" t="str">
        <f t="shared" si="5"/>
        <v xml:space="preserve"> </v>
      </c>
      <c r="B110" s="17"/>
      <c r="D110" s="33"/>
      <c r="E110" s="33"/>
      <c r="J110" s="14">
        <f t="shared" si="6"/>
        <v>0</v>
      </c>
      <c r="K110" s="2" t="str">
        <f t="shared" si="7"/>
        <v xml:space="preserve"> </v>
      </c>
      <c r="L110" s="2" t="str">
        <f t="shared" si="8"/>
        <v xml:space="preserve"> </v>
      </c>
      <c r="M110" s="2" t="str">
        <f t="shared" si="9"/>
        <v xml:space="preserve"> </v>
      </c>
    </row>
    <row r="111" spans="1:13" x14ac:dyDescent="0.25">
      <c r="A111" s="34" t="str">
        <f t="shared" si="5"/>
        <v xml:space="preserve"> </v>
      </c>
      <c r="D111" s="33"/>
      <c r="E111" s="33"/>
      <c r="J111" s="14">
        <f t="shared" si="6"/>
        <v>0</v>
      </c>
      <c r="K111" s="2" t="str">
        <f t="shared" si="7"/>
        <v xml:space="preserve"> </v>
      </c>
      <c r="L111" s="2" t="str">
        <f t="shared" si="8"/>
        <v xml:space="preserve"> </v>
      </c>
      <c r="M111" s="2" t="str">
        <f t="shared" si="9"/>
        <v xml:space="preserve"> </v>
      </c>
    </row>
    <row r="112" spans="1:13" x14ac:dyDescent="0.25">
      <c r="A112" s="34" t="str">
        <f t="shared" si="5"/>
        <v xml:space="preserve"> </v>
      </c>
      <c r="D112" s="33"/>
      <c r="E112" s="33"/>
      <c r="J112" s="14">
        <f t="shared" si="6"/>
        <v>0</v>
      </c>
      <c r="K112" s="2" t="str">
        <f t="shared" si="7"/>
        <v xml:space="preserve"> </v>
      </c>
      <c r="L112" s="2" t="str">
        <f t="shared" si="8"/>
        <v xml:space="preserve"> </v>
      </c>
      <c r="M112" s="2" t="str">
        <f t="shared" si="9"/>
        <v xml:space="preserve"> </v>
      </c>
    </row>
    <row r="113" spans="1:13" x14ac:dyDescent="0.25">
      <c r="A113" s="34" t="str">
        <f t="shared" si="5"/>
        <v xml:space="preserve"> </v>
      </c>
      <c r="D113" s="33"/>
      <c r="E113" s="33"/>
      <c r="J113" s="14">
        <f t="shared" si="6"/>
        <v>0</v>
      </c>
      <c r="K113" s="2" t="str">
        <f t="shared" si="7"/>
        <v xml:space="preserve"> </v>
      </c>
      <c r="L113" s="2" t="str">
        <f t="shared" si="8"/>
        <v xml:space="preserve"> </v>
      </c>
      <c r="M113" s="2" t="str">
        <f t="shared" si="9"/>
        <v xml:space="preserve"> </v>
      </c>
    </row>
    <row r="114" spans="1:13" x14ac:dyDescent="0.25">
      <c r="A114" s="34" t="str">
        <f t="shared" si="5"/>
        <v xml:space="preserve"> </v>
      </c>
      <c r="D114" s="33"/>
      <c r="E114" s="33"/>
      <c r="J114" s="14">
        <f t="shared" si="6"/>
        <v>0</v>
      </c>
      <c r="K114" s="2" t="str">
        <f t="shared" si="7"/>
        <v xml:space="preserve"> </v>
      </c>
      <c r="L114" s="2" t="str">
        <f t="shared" si="8"/>
        <v xml:space="preserve"> </v>
      </c>
      <c r="M114" s="2" t="str">
        <f t="shared" si="9"/>
        <v xml:space="preserve"> </v>
      </c>
    </row>
    <row r="115" spans="1:13" x14ac:dyDescent="0.25">
      <c r="A115" s="34" t="str">
        <f t="shared" si="5"/>
        <v xml:space="preserve"> </v>
      </c>
      <c r="D115" s="33"/>
      <c r="E115" s="33"/>
      <c r="J115" s="14">
        <f t="shared" si="6"/>
        <v>0</v>
      </c>
      <c r="K115" s="2" t="str">
        <f t="shared" si="7"/>
        <v xml:space="preserve"> </v>
      </c>
      <c r="L115" s="2" t="str">
        <f t="shared" si="8"/>
        <v xml:space="preserve"> </v>
      </c>
      <c r="M115" s="2" t="str">
        <f t="shared" si="9"/>
        <v xml:space="preserve"> </v>
      </c>
    </row>
    <row r="116" spans="1:13" x14ac:dyDescent="0.25">
      <c r="A116" s="34" t="str">
        <f t="shared" si="5"/>
        <v xml:space="preserve"> </v>
      </c>
      <c r="D116" s="33"/>
      <c r="E116" s="33"/>
      <c r="J116" s="14">
        <f t="shared" si="6"/>
        <v>0</v>
      </c>
      <c r="K116" s="2" t="str">
        <f t="shared" si="7"/>
        <v xml:space="preserve"> </v>
      </c>
      <c r="L116" s="2" t="str">
        <f t="shared" si="8"/>
        <v xml:space="preserve"> </v>
      </c>
      <c r="M116" s="2" t="str">
        <f t="shared" si="9"/>
        <v xml:space="preserve"> </v>
      </c>
    </row>
    <row r="117" spans="1:13" x14ac:dyDescent="0.25">
      <c r="A117" s="34" t="str">
        <f t="shared" si="5"/>
        <v xml:space="preserve"> </v>
      </c>
      <c r="D117" s="33"/>
      <c r="E117" s="33"/>
      <c r="J117" s="14">
        <f t="shared" si="6"/>
        <v>0</v>
      </c>
      <c r="K117" s="2" t="str">
        <f t="shared" si="7"/>
        <v xml:space="preserve"> </v>
      </c>
      <c r="L117" s="2" t="str">
        <f t="shared" si="8"/>
        <v xml:space="preserve"> </v>
      </c>
      <c r="M117" s="2" t="str">
        <f t="shared" si="9"/>
        <v xml:space="preserve"> </v>
      </c>
    </row>
    <row r="118" spans="1:13" x14ac:dyDescent="0.25">
      <c r="A118" s="34" t="str">
        <f t="shared" si="5"/>
        <v xml:space="preserve"> </v>
      </c>
      <c r="D118" s="33"/>
      <c r="E118" s="33"/>
      <c r="J118" s="14">
        <f t="shared" si="6"/>
        <v>0</v>
      </c>
      <c r="K118" s="2" t="str">
        <f t="shared" si="7"/>
        <v xml:space="preserve"> </v>
      </c>
      <c r="L118" s="2" t="str">
        <f t="shared" si="8"/>
        <v xml:space="preserve"> </v>
      </c>
      <c r="M118" s="2" t="str">
        <f t="shared" si="9"/>
        <v xml:space="preserve"> </v>
      </c>
    </row>
    <row r="119" spans="1:13" x14ac:dyDescent="0.25">
      <c r="A119" s="34" t="str">
        <f t="shared" si="5"/>
        <v xml:space="preserve"> </v>
      </c>
      <c r="D119" s="33"/>
      <c r="E119" s="33"/>
      <c r="J119" s="14">
        <f t="shared" si="6"/>
        <v>0</v>
      </c>
      <c r="K119" s="2" t="str">
        <f t="shared" si="7"/>
        <v xml:space="preserve"> </v>
      </c>
      <c r="L119" s="2" t="str">
        <f t="shared" si="8"/>
        <v xml:space="preserve"> </v>
      </c>
      <c r="M119" s="2" t="str">
        <f t="shared" si="9"/>
        <v xml:space="preserve"> </v>
      </c>
    </row>
    <row r="120" spans="1:13" x14ac:dyDescent="0.25">
      <c r="A120" s="34" t="str">
        <f t="shared" si="5"/>
        <v xml:space="preserve"> </v>
      </c>
      <c r="D120" s="33"/>
      <c r="E120" s="33"/>
      <c r="J120" s="14">
        <f t="shared" si="6"/>
        <v>0</v>
      </c>
      <c r="K120" s="2" t="str">
        <f t="shared" si="7"/>
        <v xml:space="preserve"> </v>
      </c>
      <c r="L120" s="2" t="str">
        <f t="shared" si="8"/>
        <v xml:space="preserve"> </v>
      </c>
      <c r="M120" s="2" t="str">
        <f t="shared" si="9"/>
        <v xml:space="preserve"> </v>
      </c>
    </row>
    <row r="121" spans="1:13" x14ac:dyDescent="0.25">
      <c r="A121" s="34" t="str">
        <f t="shared" si="5"/>
        <v xml:space="preserve"> </v>
      </c>
      <c r="D121" s="33"/>
      <c r="E121" s="33"/>
      <c r="J121" s="14">
        <f t="shared" si="6"/>
        <v>0</v>
      </c>
      <c r="K121" s="2" t="str">
        <f t="shared" si="7"/>
        <v xml:space="preserve"> </v>
      </c>
      <c r="L121" s="2" t="str">
        <f t="shared" si="8"/>
        <v xml:space="preserve"> </v>
      </c>
      <c r="M121" s="2" t="str">
        <f t="shared" si="9"/>
        <v xml:space="preserve"> </v>
      </c>
    </row>
    <row r="122" spans="1:13" x14ac:dyDescent="0.25">
      <c r="A122" s="34" t="str">
        <f t="shared" si="5"/>
        <v xml:space="preserve"> </v>
      </c>
      <c r="D122" s="33"/>
      <c r="E122" s="33"/>
      <c r="J122" s="14">
        <f t="shared" si="6"/>
        <v>0</v>
      </c>
      <c r="K122" s="2" t="str">
        <f t="shared" si="7"/>
        <v xml:space="preserve"> </v>
      </c>
      <c r="L122" s="2" t="str">
        <f t="shared" si="8"/>
        <v xml:space="preserve"> </v>
      </c>
      <c r="M122" s="2" t="str">
        <f t="shared" si="9"/>
        <v xml:space="preserve"> </v>
      </c>
    </row>
    <row r="123" spans="1:13" x14ac:dyDescent="0.25">
      <c r="A123" s="34" t="str">
        <f t="shared" si="5"/>
        <v xml:space="preserve"> </v>
      </c>
      <c r="D123" s="33"/>
      <c r="E123" s="33"/>
      <c r="J123" s="14">
        <f t="shared" si="6"/>
        <v>0</v>
      </c>
      <c r="K123" s="2" t="str">
        <f t="shared" si="7"/>
        <v xml:space="preserve"> </v>
      </c>
      <c r="L123" s="2" t="str">
        <f t="shared" si="8"/>
        <v xml:space="preserve"> </v>
      </c>
      <c r="M123" s="2" t="str">
        <f t="shared" si="9"/>
        <v xml:space="preserve"> </v>
      </c>
    </row>
    <row r="124" spans="1:13" x14ac:dyDescent="0.25">
      <c r="A124" s="34" t="str">
        <f t="shared" si="5"/>
        <v xml:space="preserve"> </v>
      </c>
      <c r="C124" s="40"/>
      <c r="D124" s="33"/>
      <c r="E124" s="33"/>
      <c r="J124" s="14">
        <f t="shared" si="6"/>
        <v>0</v>
      </c>
      <c r="K124" s="2" t="str">
        <f t="shared" si="7"/>
        <v xml:space="preserve"> </v>
      </c>
      <c r="L124" s="2" t="str">
        <f t="shared" si="8"/>
        <v xml:space="preserve"> </v>
      </c>
      <c r="M124" s="2" t="str">
        <f t="shared" si="9"/>
        <v xml:space="preserve"> </v>
      </c>
    </row>
    <row r="125" spans="1:13" x14ac:dyDescent="0.25">
      <c r="A125" s="34" t="str">
        <f t="shared" si="5"/>
        <v xml:space="preserve"> </v>
      </c>
      <c r="D125" s="33"/>
      <c r="E125" s="33"/>
      <c r="J125" s="14">
        <f t="shared" si="6"/>
        <v>0</v>
      </c>
      <c r="K125" s="2" t="str">
        <f t="shared" si="7"/>
        <v xml:space="preserve"> </v>
      </c>
      <c r="L125" s="2" t="str">
        <f t="shared" si="8"/>
        <v xml:space="preserve"> </v>
      </c>
      <c r="M125" s="2" t="str">
        <f t="shared" si="9"/>
        <v xml:space="preserve"> </v>
      </c>
    </row>
    <row r="126" spans="1:13" x14ac:dyDescent="0.25">
      <c r="A126" s="34" t="str">
        <f t="shared" si="5"/>
        <v xml:space="preserve"> </v>
      </c>
      <c r="D126" s="33"/>
      <c r="E126" s="33"/>
      <c r="J126" s="14">
        <f t="shared" si="6"/>
        <v>0</v>
      </c>
      <c r="K126" s="2" t="str">
        <f t="shared" si="7"/>
        <v xml:space="preserve"> </v>
      </c>
      <c r="L126" s="2" t="str">
        <f t="shared" si="8"/>
        <v xml:space="preserve"> </v>
      </c>
      <c r="M126" s="2" t="str">
        <f t="shared" si="9"/>
        <v xml:space="preserve"> </v>
      </c>
    </row>
    <row r="127" spans="1:13" x14ac:dyDescent="0.25">
      <c r="A127" s="34" t="str">
        <f t="shared" si="5"/>
        <v xml:space="preserve"> </v>
      </c>
      <c r="D127" s="33"/>
      <c r="E127" s="33"/>
      <c r="J127" s="14">
        <f t="shared" si="6"/>
        <v>0</v>
      </c>
      <c r="K127" s="2" t="str">
        <f t="shared" si="7"/>
        <v xml:space="preserve"> </v>
      </c>
      <c r="L127" s="2" t="str">
        <f t="shared" si="8"/>
        <v xml:space="preserve"> </v>
      </c>
      <c r="M127" s="2" t="str">
        <f t="shared" si="9"/>
        <v xml:space="preserve"> </v>
      </c>
    </row>
    <row r="128" spans="1:13" x14ac:dyDescent="0.25">
      <c r="A128" s="34" t="str">
        <f t="shared" si="5"/>
        <v xml:space="preserve"> </v>
      </c>
      <c r="D128" s="33"/>
      <c r="E128" s="33"/>
      <c r="J128" s="14">
        <f t="shared" si="6"/>
        <v>0</v>
      </c>
      <c r="K128" s="2" t="str">
        <f t="shared" si="7"/>
        <v xml:space="preserve"> </v>
      </c>
      <c r="L128" s="2" t="str">
        <f t="shared" si="8"/>
        <v xml:space="preserve"> </v>
      </c>
      <c r="M128" s="2" t="str">
        <f t="shared" si="9"/>
        <v xml:space="preserve"> </v>
      </c>
    </row>
    <row r="129" spans="1:13" x14ac:dyDescent="0.25">
      <c r="A129" s="34" t="str">
        <f t="shared" si="5"/>
        <v xml:space="preserve"> </v>
      </c>
      <c r="D129" s="33"/>
      <c r="E129" s="33"/>
      <c r="J129" s="14">
        <f t="shared" si="6"/>
        <v>0</v>
      </c>
      <c r="K129" s="2" t="str">
        <f t="shared" si="7"/>
        <v xml:space="preserve"> </v>
      </c>
      <c r="L129" s="2" t="str">
        <f t="shared" si="8"/>
        <v xml:space="preserve"> </v>
      </c>
      <c r="M129" s="2" t="str">
        <f t="shared" si="9"/>
        <v xml:space="preserve"> </v>
      </c>
    </row>
    <row r="130" spans="1:13" x14ac:dyDescent="0.25">
      <c r="A130" s="34" t="str">
        <f t="shared" si="5"/>
        <v xml:space="preserve"> </v>
      </c>
      <c r="D130" s="33"/>
      <c r="E130" s="33"/>
      <c r="J130" s="14">
        <f t="shared" si="6"/>
        <v>0</v>
      </c>
      <c r="K130" s="2" t="str">
        <f t="shared" si="7"/>
        <v xml:space="preserve"> </v>
      </c>
      <c r="L130" s="2" t="str">
        <f t="shared" si="8"/>
        <v xml:space="preserve"> </v>
      </c>
      <c r="M130" s="2" t="str">
        <f t="shared" si="9"/>
        <v xml:space="preserve"> </v>
      </c>
    </row>
    <row r="131" spans="1:13" x14ac:dyDescent="0.25">
      <c r="A131" s="34" t="str">
        <f t="shared" si="5"/>
        <v xml:space="preserve"> </v>
      </c>
      <c r="D131" s="33"/>
      <c r="E131" s="33"/>
      <c r="J131" s="14">
        <f t="shared" si="6"/>
        <v>0</v>
      </c>
      <c r="K131" s="2" t="str">
        <f t="shared" si="7"/>
        <v xml:space="preserve"> </v>
      </c>
      <c r="L131" s="2" t="str">
        <f t="shared" si="8"/>
        <v xml:space="preserve"> </v>
      </c>
      <c r="M131" s="2" t="str">
        <f t="shared" si="9"/>
        <v xml:space="preserve"> </v>
      </c>
    </row>
    <row r="132" spans="1:13" x14ac:dyDescent="0.25">
      <c r="A132" s="34" t="str">
        <f t="shared" si="5"/>
        <v xml:space="preserve"> </v>
      </c>
      <c r="D132" s="33"/>
      <c r="E132" s="33"/>
      <c r="J132" s="14">
        <f t="shared" si="6"/>
        <v>0</v>
      </c>
      <c r="K132" s="2" t="str">
        <f t="shared" si="7"/>
        <v xml:space="preserve"> </v>
      </c>
      <c r="L132" s="2" t="str">
        <f t="shared" si="8"/>
        <v xml:space="preserve"> </v>
      </c>
      <c r="M132" s="2" t="str">
        <f t="shared" si="9"/>
        <v xml:space="preserve"> </v>
      </c>
    </row>
    <row r="133" spans="1:13" x14ac:dyDescent="0.25">
      <c r="A133" s="34" t="str">
        <f t="shared" si="5"/>
        <v xml:space="preserve"> </v>
      </c>
      <c r="D133" s="33"/>
      <c r="E133" s="33"/>
      <c r="J133" s="14">
        <f t="shared" si="6"/>
        <v>0</v>
      </c>
      <c r="K133" s="2" t="str">
        <f t="shared" si="7"/>
        <v xml:space="preserve"> </v>
      </c>
      <c r="L133" s="2" t="str">
        <f t="shared" si="8"/>
        <v xml:space="preserve"> </v>
      </c>
      <c r="M133" s="2" t="str">
        <f t="shared" si="9"/>
        <v xml:space="preserve"> </v>
      </c>
    </row>
    <row r="134" spans="1:13" x14ac:dyDescent="0.25">
      <c r="A134" s="34" t="str">
        <f t="shared" si="5"/>
        <v xml:space="preserve"> </v>
      </c>
      <c r="D134" s="33"/>
      <c r="E134" s="33"/>
      <c r="J134" s="14">
        <f t="shared" si="6"/>
        <v>0</v>
      </c>
      <c r="K134" s="2" t="str">
        <f t="shared" si="7"/>
        <v xml:space="preserve"> </v>
      </c>
      <c r="L134" s="2" t="str">
        <f t="shared" si="8"/>
        <v xml:space="preserve"> </v>
      </c>
      <c r="M134" s="2" t="str">
        <f t="shared" si="9"/>
        <v xml:space="preserve"> </v>
      </c>
    </row>
    <row r="135" spans="1:13" x14ac:dyDescent="0.25">
      <c r="A135" s="34" t="str">
        <f t="shared" si="5"/>
        <v xml:space="preserve"> </v>
      </c>
      <c r="D135" s="33"/>
      <c r="E135" s="33"/>
      <c r="J135" s="14">
        <f t="shared" si="6"/>
        <v>0</v>
      </c>
      <c r="K135" s="2" t="str">
        <f t="shared" si="7"/>
        <v xml:space="preserve"> </v>
      </c>
      <c r="L135" s="2" t="str">
        <f t="shared" si="8"/>
        <v xml:space="preserve"> </v>
      </c>
      <c r="M135" s="2" t="str">
        <f t="shared" si="9"/>
        <v xml:space="preserve"> </v>
      </c>
    </row>
    <row r="136" spans="1:13" x14ac:dyDescent="0.25">
      <c r="A136" s="34" t="str">
        <f t="shared" si="5"/>
        <v xml:space="preserve"> </v>
      </c>
      <c r="D136" s="33"/>
      <c r="E136" s="33"/>
      <c r="J136" s="14">
        <f t="shared" si="6"/>
        <v>0</v>
      </c>
      <c r="K136" s="2" t="str">
        <f t="shared" si="7"/>
        <v xml:space="preserve"> </v>
      </c>
      <c r="L136" s="2" t="str">
        <f t="shared" si="8"/>
        <v xml:space="preserve"> </v>
      </c>
      <c r="M136" s="2" t="str">
        <f t="shared" si="9"/>
        <v xml:space="preserve"> </v>
      </c>
    </row>
    <row r="137" spans="1:13" x14ac:dyDescent="0.25">
      <c r="A137" s="34" t="str">
        <f t="shared" si="5"/>
        <v xml:space="preserve"> </v>
      </c>
      <c r="D137" s="33"/>
      <c r="E137" s="33"/>
      <c r="J137" s="14">
        <f t="shared" si="6"/>
        <v>0</v>
      </c>
      <c r="K137" s="2" t="str">
        <f t="shared" si="7"/>
        <v xml:space="preserve"> </v>
      </c>
      <c r="L137" s="2" t="str">
        <f t="shared" si="8"/>
        <v xml:space="preserve"> </v>
      </c>
      <c r="M137" s="2" t="str">
        <f t="shared" si="9"/>
        <v xml:space="preserve"> </v>
      </c>
    </row>
    <row r="138" spans="1:13" x14ac:dyDescent="0.25">
      <c r="A138" s="34" t="str">
        <f t="shared" si="5"/>
        <v xml:space="preserve"> </v>
      </c>
      <c r="D138" s="33"/>
      <c r="E138" s="33"/>
      <c r="J138" s="14">
        <f t="shared" si="6"/>
        <v>0</v>
      </c>
      <c r="K138" s="2" t="str">
        <f t="shared" si="7"/>
        <v xml:space="preserve"> </v>
      </c>
      <c r="L138" s="2" t="str">
        <f t="shared" si="8"/>
        <v xml:space="preserve"> </v>
      </c>
      <c r="M138" s="2" t="str">
        <f t="shared" si="9"/>
        <v xml:space="preserve"> </v>
      </c>
    </row>
    <row r="139" spans="1:13" x14ac:dyDescent="0.25">
      <c r="A139" s="34" t="str">
        <f t="shared" si="5"/>
        <v xml:space="preserve"> </v>
      </c>
      <c r="D139" s="33"/>
      <c r="E139" s="33"/>
      <c r="J139" s="14">
        <f t="shared" si="6"/>
        <v>0</v>
      </c>
      <c r="K139" s="2" t="str">
        <f t="shared" si="7"/>
        <v xml:space="preserve"> </v>
      </c>
      <c r="L139" s="2" t="str">
        <f t="shared" si="8"/>
        <v xml:space="preserve"> </v>
      </c>
      <c r="M139" s="2" t="str">
        <f t="shared" si="9"/>
        <v xml:space="preserve"> </v>
      </c>
    </row>
    <row r="140" spans="1:13" x14ac:dyDescent="0.25">
      <c r="A140" s="34" t="str">
        <f t="shared" si="5"/>
        <v xml:space="preserve"> </v>
      </c>
      <c r="D140" s="33"/>
      <c r="E140" s="33"/>
      <c r="J140" s="14">
        <f t="shared" si="6"/>
        <v>0</v>
      </c>
      <c r="K140" s="2" t="str">
        <f t="shared" si="7"/>
        <v xml:space="preserve"> </v>
      </c>
      <c r="L140" s="2" t="str">
        <f t="shared" si="8"/>
        <v xml:space="preserve"> </v>
      </c>
      <c r="M140" s="2" t="str">
        <f t="shared" si="9"/>
        <v xml:space="preserve"> </v>
      </c>
    </row>
    <row r="141" spans="1:13" x14ac:dyDescent="0.25">
      <c r="A141" s="34" t="str">
        <f t="shared" si="5"/>
        <v xml:space="preserve"> </v>
      </c>
      <c r="D141" s="33"/>
      <c r="E141" s="33"/>
      <c r="J141" s="14">
        <f t="shared" si="6"/>
        <v>0</v>
      </c>
      <c r="K141" s="2" t="str">
        <f t="shared" si="7"/>
        <v xml:space="preserve"> </v>
      </c>
      <c r="L141" s="2" t="str">
        <f t="shared" si="8"/>
        <v xml:space="preserve"> </v>
      </c>
      <c r="M141" s="2" t="str">
        <f t="shared" si="9"/>
        <v xml:space="preserve"> </v>
      </c>
    </row>
    <row r="142" spans="1:13" x14ac:dyDescent="0.25">
      <c r="A142" s="34" t="str">
        <f t="shared" si="5"/>
        <v xml:space="preserve"> </v>
      </c>
      <c r="D142" s="33"/>
      <c r="E142" s="33"/>
      <c r="J142" s="14">
        <f t="shared" si="6"/>
        <v>0</v>
      </c>
      <c r="K142" s="2" t="str">
        <f t="shared" si="7"/>
        <v xml:space="preserve"> </v>
      </c>
      <c r="L142" s="2" t="str">
        <f t="shared" si="8"/>
        <v xml:space="preserve"> </v>
      </c>
      <c r="M142" s="2" t="str">
        <f t="shared" si="9"/>
        <v xml:space="preserve"> </v>
      </c>
    </row>
    <row r="143" spans="1:13" x14ac:dyDescent="0.25">
      <c r="A143" s="34" t="str">
        <f t="shared" ref="A143:A206" si="10">IF(COUNTIF(K143:M143,"ERROR")&gt;0,"ERROR"," ")</f>
        <v xml:space="preserve"> </v>
      </c>
      <c r="D143" s="33"/>
      <c r="E143" s="33"/>
      <c r="J143" s="14">
        <f t="shared" ref="J143:J206" si="11">F143-G143+H143-I143</f>
        <v>0</v>
      </c>
      <c r="K143" s="2" t="str">
        <f t="shared" si="7"/>
        <v xml:space="preserve"> </v>
      </c>
      <c r="L143" s="2" t="str">
        <f t="shared" si="8"/>
        <v xml:space="preserve"> </v>
      </c>
      <c r="M143" s="2" t="str">
        <f t="shared" si="9"/>
        <v xml:space="preserve"> </v>
      </c>
    </row>
    <row r="144" spans="1:13" x14ac:dyDescent="0.25">
      <c r="A144" s="34" t="str">
        <f t="shared" si="10"/>
        <v xml:space="preserve"> </v>
      </c>
      <c r="D144" s="33"/>
      <c r="E144" s="33"/>
      <c r="J144" s="14">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4" t="str">
        <f t="shared" si="10"/>
        <v xml:space="preserve"> </v>
      </c>
      <c r="D145" s="33"/>
      <c r="E145" s="33"/>
      <c r="J145" s="14">
        <f t="shared" si="11"/>
        <v>0</v>
      </c>
      <c r="K145" s="2" t="str">
        <f t="shared" si="12"/>
        <v xml:space="preserve"> </v>
      </c>
      <c r="L145" s="2" t="str">
        <f t="shared" si="13"/>
        <v xml:space="preserve"> </v>
      </c>
      <c r="M145" s="2" t="str">
        <f t="shared" si="14"/>
        <v xml:space="preserve"> </v>
      </c>
    </row>
    <row r="146" spans="1:13" x14ac:dyDescent="0.25">
      <c r="A146" s="34" t="str">
        <f t="shared" si="10"/>
        <v xml:space="preserve"> </v>
      </c>
      <c r="D146" s="33"/>
      <c r="E146" s="33"/>
      <c r="J146" s="14">
        <f t="shared" si="11"/>
        <v>0</v>
      </c>
      <c r="K146" s="2" t="str">
        <f t="shared" si="12"/>
        <v xml:space="preserve"> </v>
      </c>
      <c r="L146" s="2" t="str">
        <f t="shared" si="13"/>
        <v xml:space="preserve"> </v>
      </c>
      <c r="M146" s="2" t="str">
        <f t="shared" si="14"/>
        <v xml:space="preserve"> </v>
      </c>
    </row>
    <row r="147" spans="1:13" x14ac:dyDescent="0.25">
      <c r="A147" s="34" t="str">
        <f t="shared" si="10"/>
        <v xml:space="preserve"> </v>
      </c>
      <c r="D147" s="33"/>
      <c r="E147" s="33"/>
      <c r="J147" s="14">
        <f t="shared" si="11"/>
        <v>0</v>
      </c>
      <c r="K147" s="2" t="str">
        <f t="shared" si="12"/>
        <v xml:space="preserve"> </v>
      </c>
      <c r="L147" s="2" t="str">
        <f t="shared" si="13"/>
        <v xml:space="preserve"> </v>
      </c>
      <c r="M147" s="2" t="str">
        <f t="shared" si="14"/>
        <v xml:space="preserve"> </v>
      </c>
    </row>
    <row r="148" spans="1:13" x14ac:dyDescent="0.25">
      <c r="A148" s="34" t="str">
        <f t="shared" si="10"/>
        <v xml:space="preserve"> </v>
      </c>
      <c r="D148" s="33"/>
      <c r="E148" s="33"/>
      <c r="J148" s="14">
        <f t="shared" si="11"/>
        <v>0</v>
      </c>
      <c r="K148" s="2" t="str">
        <f t="shared" si="12"/>
        <v xml:space="preserve"> </v>
      </c>
      <c r="L148" s="2" t="str">
        <f t="shared" si="13"/>
        <v xml:space="preserve"> </v>
      </c>
      <c r="M148" s="2" t="str">
        <f t="shared" si="14"/>
        <v xml:space="preserve"> </v>
      </c>
    </row>
    <row r="149" spans="1:13" x14ac:dyDescent="0.25">
      <c r="A149" s="34" t="str">
        <f t="shared" si="10"/>
        <v xml:space="preserve"> </v>
      </c>
      <c r="D149" s="33"/>
      <c r="E149" s="33"/>
      <c r="J149" s="14">
        <f t="shared" si="11"/>
        <v>0</v>
      </c>
      <c r="K149" s="2" t="str">
        <f t="shared" si="12"/>
        <v xml:space="preserve"> </v>
      </c>
      <c r="L149" s="2" t="str">
        <f t="shared" si="13"/>
        <v xml:space="preserve"> </v>
      </c>
      <c r="M149" s="2" t="str">
        <f t="shared" si="14"/>
        <v xml:space="preserve"> </v>
      </c>
    </row>
    <row r="150" spans="1:13" x14ac:dyDescent="0.25">
      <c r="A150" s="34" t="str">
        <f t="shared" si="10"/>
        <v xml:space="preserve"> </v>
      </c>
      <c r="D150" s="33"/>
      <c r="E150" s="33"/>
      <c r="J150" s="14">
        <f t="shared" si="11"/>
        <v>0</v>
      </c>
      <c r="K150" s="2" t="str">
        <f t="shared" si="12"/>
        <v xml:space="preserve"> </v>
      </c>
      <c r="L150" s="2" t="str">
        <f t="shared" si="13"/>
        <v xml:space="preserve"> </v>
      </c>
      <c r="M150" s="2" t="str">
        <f t="shared" si="14"/>
        <v xml:space="preserve"> </v>
      </c>
    </row>
    <row r="151" spans="1:13" x14ac:dyDescent="0.25">
      <c r="A151" s="34" t="str">
        <f t="shared" si="10"/>
        <v xml:space="preserve"> </v>
      </c>
      <c r="D151" s="33"/>
      <c r="E151" s="33"/>
      <c r="J151" s="14">
        <f t="shared" si="11"/>
        <v>0</v>
      </c>
      <c r="K151" s="2" t="str">
        <f t="shared" si="12"/>
        <v xml:space="preserve"> </v>
      </c>
      <c r="L151" s="2" t="str">
        <f t="shared" si="13"/>
        <v xml:space="preserve"> </v>
      </c>
      <c r="M151" s="2" t="str">
        <f t="shared" si="14"/>
        <v xml:space="preserve"> </v>
      </c>
    </row>
    <row r="152" spans="1:13" x14ac:dyDescent="0.25">
      <c r="A152" s="34" t="str">
        <f t="shared" si="10"/>
        <v xml:space="preserve"> </v>
      </c>
      <c r="D152" s="33"/>
      <c r="E152" s="33"/>
      <c r="J152" s="14">
        <f t="shared" si="11"/>
        <v>0</v>
      </c>
      <c r="K152" s="2" t="str">
        <f t="shared" si="12"/>
        <v xml:space="preserve"> </v>
      </c>
      <c r="L152" s="2" t="str">
        <f t="shared" si="13"/>
        <v xml:space="preserve"> </v>
      </c>
      <c r="M152" s="2" t="str">
        <f t="shared" si="14"/>
        <v xml:space="preserve"> </v>
      </c>
    </row>
    <row r="153" spans="1:13" x14ac:dyDescent="0.25">
      <c r="A153" s="34" t="str">
        <f t="shared" si="10"/>
        <v xml:space="preserve"> </v>
      </c>
      <c r="D153" s="33"/>
      <c r="E153" s="33"/>
      <c r="J153" s="14">
        <f t="shared" si="11"/>
        <v>0</v>
      </c>
      <c r="K153" s="2" t="str">
        <f t="shared" si="12"/>
        <v xml:space="preserve"> </v>
      </c>
      <c r="L153" s="2" t="str">
        <f t="shared" si="13"/>
        <v xml:space="preserve"> </v>
      </c>
      <c r="M153" s="2" t="str">
        <f t="shared" si="14"/>
        <v xml:space="preserve"> </v>
      </c>
    </row>
    <row r="154" spans="1:13" x14ac:dyDescent="0.25">
      <c r="A154" s="34" t="str">
        <f t="shared" si="10"/>
        <v xml:space="preserve"> </v>
      </c>
      <c r="D154" s="33"/>
      <c r="E154" s="33"/>
      <c r="J154" s="14">
        <f t="shared" si="11"/>
        <v>0</v>
      </c>
      <c r="K154" s="2" t="str">
        <f t="shared" si="12"/>
        <v xml:space="preserve"> </v>
      </c>
      <c r="L154" s="2" t="str">
        <f t="shared" si="13"/>
        <v xml:space="preserve"> </v>
      </c>
      <c r="M154" s="2" t="str">
        <f t="shared" si="14"/>
        <v xml:space="preserve"> </v>
      </c>
    </row>
    <row r="155" spans="1:13" x14ac:dyDescent="0.25">
      <c r="A155" s="34" t="str">
        <f t="shared" si="10"/>
        <v xml:space="preserve"> </v>
      </c>
      <c r="D155" s="33"/>
      <c r="E155" s="33"/>
      <c r="J155" s="14">
        <f t="shared" si="11"/>
        <v>0</v>
      </c>
      <c r="K155" s="2" t="str">
        <f t="shared" si="12"/>
        <v xml:space="preserve"> </v>
      </c>
      <c r="L155" s="2" t="str">
        <f t="shared" si="13"/>
        <v xml:space="preserve"> </v>
      </c>
      <c r="M155" s="2" t="str">
        <f t="shared" si="14"/>
        <v xml:space="preserve"> </v>
      </c>
    </row>
    <row r="156" spans="1:13" x14ac:dyDescent="0.25">
      <c r="A156" s="34" t="str">
        <f t="shared" si="10"/>
        <v xml:space="preserve"> </v>
      </c>
      <c r="D156" s="33"/>
      <c r="E156" s="33"/>
      <c r="J156" s="14">
        <f t="shared" si="11"/>
        <v>0</v>
      </c>
      <c r="K156" s="2" t="str">
        <f t="shared" si="12"/>
        <v xml:space="preserve"> </v>
      </c>
      <c r="L156" s="2" t="str">
        <f t="shared" si="13"/>
        <v xml:space="preserve"> </v>
      </c>
      <c r="M156" s="2" t="str">
        <f t="shared" si="14"/>
        <v xml:space="preserve"> </v>
      </c>
    </row>
    <row r="157" spans="1:13" x14ac:dyDescent="0.25">
      <c r="A157" s="34" t="str">
        <f t="shared" si="10"/>
        <v xml:space="preserve"> </v>
      </c>
      <c r="D157" s="33"/>
      <c r="E157" s="33"/>
      <c r="J157" s="14">
        <f t="shared" si="11"/>
        <v>0</v>
      </c>
      <c r="K157" s="2" t="str">
        <f t="shared" si="12"/>
        <v xml:space="preserve"> </v>
      </c>
      <c r="L157" s="2" t="str">
        <f t="shared" si="13"/>
        <v xml:space="preserve"> </v>
      </c>
      <c r="M157" s="2" t="str">
        <f t="shared" si="14"/>
        <v xml:space="preserve"> </v>
      </c>
    </row>
    <row r="158" spans="1:13" x14ac:dyDescent="0.25">
      <c r="A158" s="34" t="str">
        <f t="shared" si="10"/>
        <v xml:space="preserve"> </v>
      </c>
      <c r="D158" s="33"/>
      <c r="E158" s="33"/>
      <c r="J158" s="14">
        <f t="shared" si="11"/>
        <v>0</v>
      </c>
      <c r="K158" s="2" t="str">
        <f t="shared" si="12"/>
        <v xml:space="preserve"> </v>
      </c>
      <c r="L158" s="2" t="str">
        <f t="shared" si="13"/>
        <v xml:space="preserve"> </v>
      </c>
      <c r="M158" s="2" t="str">
        <f t="shared" si="14"/>
        <v xml:space="preserve"> </v>
      </c>
    </row>
    <row r="159" spans="1:13" x14ac:dyDescent="0.25">
      <c r="A159" s="34" t="str">
        <f t="shared" si="10"/>
        <v xml:space="preserve"> </v>
      </c>
      <c r="D159" s="33"/>
      <c r="E159" s="33"/>
      <c r="J159" s="14">
        <f t="shared" si="11"/>
        <v>0</v>
      </c>
      <c r="K159" s="2" t="str">
        <f t="shared" si="12"/>
        <v xml:space="preserve"> </v>
      </c>
      <c r="L159" s="2" t="str">
        <f t="shared" si="13"/>
        <v xml:space="preserve"> </v>
      </c>
      <c r="M159" s="2" t="str">
        <f t="shared" si="14"/>
        <v xml:space="preserve"> </v>
      </c>
    </row>
    <row r="160" spans="1:13" x14ac:dyDescent="0.25">
      <c r="A160" s="34" t="str">
        <f t="shared" si="10"/>
        <v xml:space="preserve"> </v>
      </c>
      <c r="D160" s="33"/>
      <c r="E160" s="33"/>
      <c r="J160" s="14">
        <f t="shared" si="11"/>
        <v>0</v>
      </c>
      <c r="K160" s="2" t="str">
        <f t="shared" si="12"/>
        <v xml:space="preserve"> </v>
      </c>
      <c r="L160" s="2" t="str">
        <f t="shared" si="13"/>
        <v xml:space="preserve"> </v>
      </c>
      <c r="M160" s="2" t="str">
        <f t="shared" si="14"/>
        <v xml:space="preserve"> </v>
      </c>
    </row>
    <row r="161" spans="1:13" x14ac:dyDescent="0.25">
      <c r="A161" s="34" t="str">
        <f t="shared" si="10"/>
        <v xml:space="preserve"> </v>
      </c>
      <c r="D161" s="33"/>
      <c r="E161" s="33"/>
      <c r="J161" s="14">
        <f t="shared" si="11"/>
        <v>0</v>
      </c>
      <c r="K161" s="2" t="str">
        <f t="shared" si="12"/>
        <v xml:space="preserve"> </v>
      </c>
      <c r="L161" s="2" t="str">
        <f t="shared" si="13"/>
        <v xml:space="preserve"> </v>
      </c>
      <c r="M161" s="2" t="str">
        <f t="shared" si="14"/>
        <v xml:space="preserve"> </v>
      </c>
    </row>
    <row r="162" spans="1:13" x14ac:dyDescent="0.25">
      <c r="A162" s="34" t="str">
        <f t="shared" si="10"/>
        <v xml:space="preserve"> </v>
      </c>
      <c r="D162" s="33"/>
      <c r="E162" s="33"/>
      <c r="J162" s="14">
        <f t="shared" si="11"/>
        <v>0</v>
      </c>
      <c r="K162" s="2" t="str">
        <f t="shared" si="12"/>
        <v xml:space="preserve"> </v>
      </c>
      <c r="L162" s="2" t="str">
        <f t="shared" si="13"/>
        <v xml:space="preserve"> </v>
      </c>
      <c r="M162" s="2" t="str">
        <f t="shared" si="14"/>
        <v xml:space="preserve"> </v>
      </c>
    </row>
    <row r="163" spans="1:13" x14ac:dyDescent="0.25">
      <c r="A163" s="34" t="str">
        <f t="shared" si="10"/>
        <v xml:space="preserve"> </v>
      </c>
      <c r="D163" s="33"/>
      <c r="E163" s="33"/>
      <c r="J163" s="14">
        <f t="shared" si="11"/>
        <v>0</v>
      </c>
      <c r="K163" s="2" t="str">
        <f t="shared" si="12"/>
        <v xml:space="preserve"> </v>
      </c>
      <c r="L163" s="2" t="str">
        <f t="shared" si="13"/>
        <v xml:space="preserve"> </v>
      </c>
      <c r="M163" s="2" t="str">
        <f t="shared" si="14"/>
        <v xml:space="preserve"> </v>
      </c>
    </row>
    <row r="164" spans="1:13" x14ac:dyDescent="0.25">
      <c r="A164" s="34" t="str">
        <f t="shared" si="10"/>
        <v xml:space="preserve"> </v>
      </c>
      <c r="D164" s="33"/>
      <c r="E164" s="33"/>
      <c r="J164" s="14">
        <f t="shared" si="11"/>
        <v>0</v>
      </c>
      <c r="K164" s="2" t="str">
        <f t="shared" si="12"/>
        <v xml:space="preserve"> </v>
      </c>
      <c r="L164" s="2" t="str">
        <f t="shared" si="13"/>
        <v xml:space="preserve"> </v>
      </c>
      <c r="M164" s="2" t="str">
        <f t="shared" si="14"/>
        <v xml:space="preserve"> </v>
      </c>
    </row>
    <row r="165" spans="1:13" x14ac:dyDescent="0.25">
      <c r="A165" s="34" t="str">
        <f t="shared" si="10"/>
        <v xml:space="preserve"> </v>
      </c>
      <c r="D165" s="33"/>
      <c r="E165" s="33"/>
      <c r="J165" s="14">
        <f t="shared" si="11"/>
        <v>0</v>
      </c>
      <c r="K165" s="2" t="str">
        <f t="shared" si="12"/>
        <v xml:space="preserve"> </v>
      </c>
      <c r="L165" s="2" t="str">
        <f t="shared" si="13"/>
        <v xml:space="preserve"> </v>
      </c>
      <c r="M165" s="2" t="str">
        <f t="shared" si="14"/>
        <v xml:space="preserve"> </v>
      </c>
    </row>
    <row r="166" spans="1:13" x14ac:dyDescent="0.25">
      <c r="A166" s="34" t="str">
        <f t="shared" si="10"/>
        <v xml:space="preserve"> </v>
      </c>
      <c r="D166" s="33"/>
      <c r="E166" s="33"/>
      <c r="J166" s="14">
        <f t="shared" si="11"/>
        <v>0</v>
      </c>
      <c r="K166" s="2" t="str">
        <f t="shared" si="12"/>
        <v xml:space="preserve"> </v>
      </c>
      <c r="L166" s="2" t="str">
        <f t="shared" si="13"/>
        <v xml:space="preserve"> </v>
      </c>
      <c r="M166" s="2" t="str">
        <f t="shared" si="14"/>
        <v xml:space="preserve"> </v>
      </c>
    </row>
    <row r="167" spans="1:13" x14ac:dyDescent="0.25">
      <c r="A167" s="34" t="str">
        <f t="shared" si="10"/>
        <v xml:space="preserve"> </v>
      </c>
      <c r="D167" s="33"/>
      <c r="E167" s="33"/>
      <c r="J167" s="14">
        <f t="shared" si="11"/>
        <v>0</v>
      </c>
      <c r="K167" s="2" t="str">
        <f t="shared" si="12"/>
        <v xml:space="preserve"> </v>
      </c>
      <c r="L167" s="2" t="str">
        <f t="shared" si="13"/>
        <v xml:space="preserve"> </v>
      </c>
      <c r="M167" s="2" t="str">
        <f t="shared" si="14"/>
        <v xml:space="preserve"> </v>
      </c>
    </row>
    <row r="168" spans="1:13" x14ac:dyDescent="0.25">
      <c r="A168" s="34" t="str">
        <f t="shared" si="10"/>
        <v xml:space="preserve"> </v>
      </c>
      <c r="D168" s="33"/>
      <c r="E168" s="33"/>
      <c r="J168" s="14">
        <f t="shared" si="11"/>
        <v>0</v>
      </c>
      <c r="K168" s="2" t="str">
        <f t="shared" si="12"/>
        <v xml:space="preserve"> </v>
      </c>
      <c r="L168" s="2" t="str">
        <f t="shared" si="13"/>
        <v xml:space="preserve"> </v>
      </c>
      <c r="M168" s="2" t="str">
        <f t="shared" si="14"/>
        <v xml:space="preserve"> </v>
      </c>
    </row>
    <row r="169" spans="1:13" x14ac:dyDescent="0.25">
      <c r="A169" s="34" t="str">
        <f t="shared" si="10"/>
        <v xml:space="preserve"> </v>
      </c>
      <c r="D169" s="33"/>
      <c r="E169" s="33"/>
      <c r="J169" s="14">
        <f t="shared" si="11"/>
        <v>0</v>
      </c>
      <c r="K169" s="2" t="str">
        <f t="shared" si="12"/>
        <v xml:space="preserve"> </v>
      </c>
      <c r="L169" s="2" t="str">
        <f t="shared" si="13"/>
        <v xml:space="preserve"> </v>
      </c>
      <c r="M169" s="2" t="str">
        <f t="shared" si="14"/>
        <v xml:space="preserve"> </v>
      </c>
    </row>
    <row r="170" spans="1:13" x14ac:dyDescent="0.25">
      <c r="A170" s="34" t="str">
        <f t="shared" si="10"/>
        <v xml:space="preserve"> </v>
      </c>
      <c r="D170" s="33"/>
      <c r="E170" s="33"/>
      <c r="J170" s="14">
        <f t="shared" si="11"/>
        <v>0</v>
      </c>
      <c r="K170" s="2" t="str">
        <f t="shared" si="12"/>
        <v xml:space="preserve"> </v>
      </c>
      <c r="L170" s="2" t="str">
        <f t="shared" si="13"/>
        <v xml:space="preserve"> </v>
      </c>
      <c r="M170" s="2" t="str">
        <f t="shared" si="14"/>
        <v xml:space="preserve"> </v>
      </c>
    </row>
    <row r="171" spans="1:13" x14ac:dyDescent="0.25">
      <c r="A171" s="34" t="str">
        <f t="shared" si="10"/>
        <v xml:space="preserve"> </v>
      </c>
      <c r="D171" s="33"/>
      <c r="E171" s="33"/>
      <c r="J171" s="14">
        <f t="shared" si="11"/>
        <v>0</v>
      </c>
      <c r="K171" s="2" t="str">
        <f t="shared" si="12"/>
        <v xml:space="preserve"> </v>
      </c>
      <c r="L171" s="2" t="str">
        <f t="shared" si="13"/>
        <v xml:space="preserve"> </v>
      </c>
      <c r="M171" s="2" t="str">
        <f t="shared" si="14"/>
        <v xml:space="preserve"> </v>
      </c>
    </row>
    <row r="172" spans="1:13" x14ac:dyDescent="0.25">
      <c r="A172" s="34" t="str">
        <f t="shared" si="10"/>
        <v xml:space="preserve"> </v>
      </c>
      <c r="D172" s="33"/>
      <c r="E172" s="33"/>
      <c r="J172" s="14">
        <f t="shared" si="11"/>
        <v>0</v>
      </c>
      <c r="K172" s="2" t="str">
        <f t="shared" si="12"/>
        <v xml:space="preserve"> </v>
      </c>
      <c r="L172" s="2" t="str">
        <f t="shared" si="13"/>
        <v xml:space="preserve"> </v>
      </c>
      <c r="M172" s="2" t="str">
        <f t="shared" si="14"/>
        <v xml:space="preserve"> </v>
      </c>
    </row>
    <row r="173" spans="1:13" x14ac:dyDescent="0.25">
      <c r="A173" s="34" t="str">
        <f t="shared" si="10"/>
        <v xml:space="preserve"> </v>
      </c>
      <c r="D173" s="33"/>
      <c r="E173" s="33"/>
      <c r="J173" s="14">
        <f t="shared" si="11"/>
        <v>0</v>
      </c>
      <c r="K173" s="2" t="str">
        <f t="shared" si="12"/>
        <v xml:space="preserve"> </v>
      </c>
      <c r="L173" s="2" t="str">
        <f t="shared" si="13"/>
        <v xml:space="preserve"> </v>
      </c>
      <c r="M173" s="2" t="str">
        <f t="shared" si="14"/>
        <v xml:space="preserve"> </v>
      </c>
    </row>
    <row r="174" spans="1:13" x14ac:dyDescent="0.25">
      <c r="A174" s="34" t="str">
        <f t="shared" si="10"/>
        <v xml:space="preserve"> </v>
      </c>
      <c r="D174" s="33"/>
      <c r="E174" s="33"/>
      <c r="J174" s="14">
        <f t="shared" si="11"/>
        <v>0</v>
      </c>
      <c r="K174" s="2" t="str">
        <f t="shared" si="12"/>
        <v xml:space="preserve"> </v>
      </c>
      <c r="L174" s="2" t="str">
        <f t="shared" si="13"/>
        <v xml:space="preserve"> </v>
      </c>
      <c r="M174" s="2" t="str">
        <f t="shared" si="14"/>
        <v xml:space="preserve"> </v>
      </c>
    </row>
    <row r="175" spans="1:13" x14ac:dyDescent="0.25">
      <c r="A175" s="34" t="str">
        <f t="shared" si="10"/>
        <v xml:space="preserve"> </v>
      </c>
      <c r="D175" s="33"/>
      <c r="E175" s="33"/>
      <c r="J175" s="14">
        <f t="shared" si="11"/>
        <v>0</v>
      </c>
      <c r="K175" s="2" t="str">
        <f t="shared" si="12"/>
        <v xml:space="preserve"> </v>
      </c>
      <c r="L175" s="2" t="str">
        <f t="shared" si="13"/>
        <v xml:space="preserve"> </v>
      </c>
      <c r="M175" s="2" t="str">
        <f t="shared" si="14"/>
        <v xml:space="preserve"> </v>
      </c>
    </row>
    <row r="176" spans="1:13" x14ac:dyDescent="0.25">
      <c r="A176" s="34" t="str">
        <f t="shared" si="10"/>
        <v xml:space="preserve"> </v>
      </c>
      <c r="D176" s="33"/>
      <c r="E176" s="33"/>
      <c r="J176" s="14">
        <f t="shared" si="11"/>
        <v>0</v>
      </c>
      <c r="K176" s="2" t="str">
        <f t="shared" si="12"/>
        <v xml:space="preserve"> </v>
      </c>
      <c r="L176" s="2" t="str">
        <f t="shared" si="13"/>
        <v xml:space="preserve"> </v>
      </c>
      <c r="M176" s="2" t="str">
        <f t="shared" si="14"/>
        <v xml:space="preserve"> </v>
      </c>
    </row>
    <row r="177" spans="1:13" x14ac:dyDescent="0.25">
      <c r="A177" s="34" t="str">
        <f t="shared" si="10"/>
        <v xml:space="preserve"> </v>
      </c>
      <c r="D177" s="33"/>
      <c r="E177" s="33"/>
      <c r="J177" s="14">
        <f t="shared" si="11"/>
        <v>0</v>
      </c>
      <c r="K177" s="2" t="str">
        <f t="shared" si="12"/>
        <v xml:space="preserve"> </v>
      </c>
      <c r="L177" s="2" t="str">
        <f t="shared" si="13"/>
        <v xml:space="preserve"> </v>
      </c>
      <c r="M177" s="2" t="str">
        <f t="shared" si="14"/>
        <v xml:space="preserve"> </v>
      </c>
    </row>
    <row r="178" spans="1:13" x14ac:dyDescent="0.25">
      <c r="A178" s="34" t="str">
        <f t="shared" si="10"/>
        <v xml:space="preserve"> </v>
      </c>
      <c r="D178" s="33"/>
      <c r="E178" s="33"/>
      <c r="J178" s="14">
        <f t="shared" si="11"/>
        <v>0</v>
      </c>
      <c r="K178" s="2" t="str">
        <f t="shared" si="12"/>
        <v xml:space="preserve"> </v>
      </c>
      <c r="L178" s="2" t="str">
        <f t="shared" si="13"/>
        <v xml:space="preserve"> </v>
      </c>
      <c r="M178" s="2" t="str">
        <f t="shared" si="14"/>
        <v xml:space="preserve"> </v>
      </c>
    </row>
    <row r="179" spans="1:13" x14ac:dyDescent="0.25">
      <c r="A179" s="34" t="str">
        <f t="shared" si="10"/>
        <v xml:space="preserve"> </v>
      </c>
      <c r="D179" s="33"/>
      <c r="E179" s="33"/>
      <c r="J179" s="14">
        <f t="shared" si="11"/>
        <v>0</v>
      </c>
      <c r="K179" s="2" t="str">
        <f t="shared" si="12"/>
        <v xml:space="preserve"> </v>
      </c>
      <c r="L179" s="2" t="str">
        <f t="shared" si="13"/>
        <v xml:space="preserve"> </v>
      </c>
      <c r="M179" s="2" t="str">
        <f t="shared" si="14"/>
        <v xml:space="preserve"> </v>
      </c>
    </row>
    <row r="180" spans="1:13" x14ac:dyDescent="0.25">
      <c r="A180" s="34" t="str">
        <f t="shared" si="10"/>
        <v xml:space="preserve"> </v>
      </c>
      <c r="D180" s="33"/>
      <c r="E180" s="33"/>
      <c r="J180" s="14">
        <f t="shared" si="11"/>
        <v>0</v>
      </c>
      <c r="K180" s="2" t="str">
        <f t="shared" si="12"/>
        <v xml:space="preserve"> </v>
      </c>
      <c r="L180" s="2" t="str">
        <f t="shared" si="13"/>
        <v xml:space="preserve"> </v>
      </c>
      <c r="M180" s="2" t="str">
        <f t="shared" si="14"/>
        <v xml:space="preserve"> </v>
      </c>
    </row>
    <row r="181" spans="1:13" x14ac:dyDescent="0.25">
      <c r="A181" s="34" t="str">
        <f t="shared" si="10"/>
        <v xml:space="preserve"> </v>
      </c>
      <c r="D181" s="33"/>
      <c r="E181" s="33"/>
      <c r="J181" s="14">
        <f t="shared" si="11"/>
        <v>0</v>
      </c>
      <c r="K181" s="2" t="str">
        <f t="shared" si="12"/>
        <v xml:space="preserve"> </v>
      </c>
      <c r="L181" s="2" t="str">
        <f t="shared" si="13"/>
        <v xml:space="preserve"> </v>
      </c>
      <c r="M181" s="2" t="str">
        <f t="shared" si="14"/>
        <v xml:space="preserve"> </v>
      </c>
    </row>
    <row r="182" spans="1:13" x14ac:dyDescent="0.25">
      <c r="A182" s="34" t="str">
        <f t="shared" si="10"/>
        <v xml:space="preserve"> </v>
      </c>
      <c r="D182" s="33"/>
      <c r="E182" s="33"/>
      <c r="J182" s="14">
        <f t="shared" si="11"/>
        <v>0</v>
      </c>
      <c r="K182" s="2" t="str">
        <f t="shared" si="12"/>
        <v xml:space="preserve"> </v>
      </c>
      <c r="L182" s="2" t="str">
        <f t="shared" si="13"/>
        <v xml:space="preserve"> </v>
      </c>
      <c r="M182" s="2" t="str">
        <f t="shared" si="14"/>
        <v xml:space="preserve"> </v>
      </c>
    </row>
    <row r="183" spans="1:13" x14ac:dyDescent="0.25">
      <c r="A183" s="34" t="str">
        <f t="shared" si="10"/>
        <v xml:space="preserve"> </v>
      </c>
      <c r="D183" s="33"/>
      <c r="E183" s="33"/>
      <c r="J183" s="14">
        <f t="shared" si="11"/>
        <v>0</v>
      </c>
      <c r="K183" s="2" t="str">
        <f t="shared" si="12"/>
        <v xml:space="preserve"> </v>
      </c>
      <c r="L183" s="2" t="str">
        <f t="shared" si="13"/>
        <v xml:space="preserve"> </v>
      </c>
      <c r="M183" s="2" t="str">
        <f t="shared" si="14"/>
        <v xml:space="preserve"> </v>
      </c>
    </row>
    <row r="184" spans="1:13" x14ac:dyDescent="0.25">
      <c r="A184" s="34" t="str">
        <f t="shared" si="10"/>
        <v xml:space="preserve"> </v>
      </c>
      <c r="D184" s="33"/>
      <c r="E184" s="33"/>
      <c r="J184" s="14">
        <f t="shared" si="11"/>
        <v>0</v>
      </c>
      <c r="K184" s="2" t="str">
        <f t="shared" si="12"/>
        <v xml:space="preserve"> </v>
      </c>
      <c r="L184" s="2" t="str">
        <f t="shared" si="13"/>
        <v xml:space="preserve"> </v>
      </c>
      <c r="M184" s="2" t="str">
        <f t="shared" si="14"/>
        <v xml:space="preserve"> </v>
      </c>
    </row>
    <row r="185" spans="1:13" x14ac:dyDescent="0.25">
      <c r="A185" s="34" t="str">
        <f t="shared" si="10"/>
        <v xml:space="preserve"> </v>
      </c>
      <c r="D185" s="33"/>
      <c r="E185" s="33"/>
      <c r="J185" s="14">
        <f t="shared" si="11"/>
        <v>0</v>
      </c>
      <c r="K185" s="2" t="str">
        <f t="shared" si="12"/>
        <v xml:space="preserve"> </v>
      </c>
      <c r="L185" s="2" t="str">
        <f t="shared" si="13"/>
        <v xml:space="preserve"> </v>
      </c>
      <c r="M185" s="2" t="str">
        <f t="shared" si="14"/>
        <v xml:space="preserve"> </v>
      </c>
    </row>
    <row r="186" spans="1:13" x14ac:dyDescent="0.25">
      <c r="A186" s="34" t="str">
        <f t="shared" si="10"/>
        <v xml:space="preserve"> </v>
      </c>
      <c r="D186" s="33"/>
      <c r="E186" s="33"/>
      <c r="J186" s="14">
        <f t="shared" si="11"/>
        <v>0</v>
      </c>
      <c r="K186" s="2" t="str">
        <f t="shared" si="12"/>
        <v xml:space="preserve"> </v>
      </c>
      <c r="L186" s="2" t="str">
        <f t="shared" si="13"/>
        <v xml:space="preserve"> </v>
      </c>
      <c r="M186" s="2" t="str">
        <f t="shared" si="14"/>
        <v xml:space="preserve"> </v>
      </c>
    </row>
    <row r="187" spans="1:13" x14ac:dyDescent="0.25">
      <c r="A187" s="34" t="str">
        <f t="shared" si="10"/>
        <v xml:space="preserve"> </v>
      </c>
      <c r="D187" s="33"/>
      <c r="E187" s="33"/>
      <c r="J187" s="14">
        <f t="shared" si="11"/>
        <v>0</v>
      </c>
      <c r="K187" s="2" t="str">
        <f t="shared" si="12"/>
        <v xml:space="preserve"> </v>
      </c>
      <c r="L187" s="2" t="str">
        <f t="shared" si="13"/>
        <v xml:space="preserve"> </v>
      </c>
      <c r="M187" s="2" t="str">
        <f t="shared" si="14"/>
        <v xml:space="preserve"> </v>
      </c>
    </row>
    <row r="188" spans="1:13" x14ac:dyDescent="0.25">
      <c r="A188" s="34" t="str">
        <f t="shared" si="10"/>
        <v xml:space="preserve"> </v>
      </c>
      <c r="D188" s="33"/>
      <c r="E188" s="33"/>
      <c r="J188" s="14">
        <f t="shared" si="11"/>
        <v>0</v>
      </c>
      <c r="K188" s="2" t="str">
        <f t="shared" si="12"/>
        <v xml:space="preserve"> </v>
      </c>
      <c r="L188" s="2" t="str">
        <f t="shared" si="13"/>
        <v xml:space="preserve"> </v>
      </c>
      <c r="M188" s="2" t="str">
        <f t="shared" si="14"/>
        <v xml:space="preserve"> </v>
      </c>
    </row>
    <row r="189" spans="1:13" x14ac:dyDescent="0.25">
      <c r="A189" s="34" t="str">
        <f t="shared" si="10"/>
        <v xml:space="preserve"> </v>
      </c>
      <c r="D189" s="33"/>
      <c r="E189" s="33"/>
      <c r="J189" s="14">
        <f t="shared" si="11"/>
        <v>0</v>
      </c>
      <c r="K189" s="2" t="str">
        <f t="shared" si="12"/>
        <v xml:space="preserve"> </v>
      </c>
      <c r="L189" s="2" t="str">
        <f t="shared" si="13"/>
        <v xml:space="preserve"> </v>
      </c>
      <c r="M189" s="2" t="str">
        <f t="shared" si="14"/>
        <v xml:space="preserve"> </v>
      </c>
    </row>
    <row r="190" spans="1:13" x14ac:dyDescent="0.25">
      <c r="A190" s="34" t="str">
        <f t="shared" si="10"/>
        <v xml:space="preserve"> </v>
      </c>
      <c r="D190" s="33"/>
      <c r="E190" s="33"/>
      <c r="J190" s="14">
        <f t="shared" si="11"/>
        <v>0</v>
      </c>
      <c r="K190" s="2" t="str">
        <f t="shared" si="12"/>
        <v xml:space="preserve"> </v>
      </c>
      <c r="L190" s="2" t="str">
        <f t="shared" si="13"/>
        <v xml:space="preserve"> </v>
      </c>
      <c r="M190" s="2" t="str">
        <f t="shared" si="14"/>
        <v xml:space="preserve"> </v>
      </c>
    </row>
    <row r="191" spans="1:13" x14ac:dyDescent="0.25">
      <c r="A191" s="34" t="str">
        <f t="shared" si="10"/>
        <v xml:space="preserve"> </v>
      </c>
      <c r="D191" s="33"/>
      <c r="E191" s="33"/>
      <c r="J191" s="14">
        <f t="shared" si="11"/>
        <v>0</v>
      </c>
      <c r="K191" s="2" t="str">
        <f t="shared" si="12"/>
        <v xml:space="preserve"> </v>
      </c>
      <c r="L191" s="2" t="str">
        <f t="shared" si="13"/>
        <v xml:space="preserve"> </v>
      </c>
      <c r="M191" s="2" t="str">
        <f t="shared" si="14"/>
        <v xml:space="preserve"> </v>
      </c>
    </row>
    <row r="192" spans="1:13" x14ac:dyDescent="0.25">
      <c r="A192" s="34" t="str">
        <f t="shared" si="10"/>
        <v xml:space="preserve"> </v>
      </c>
      <c r="D192" s="33"/>
      <c r="E192" s="33"/>
      <c r="J192" s="14">
        <f t="shared" si="11"/>
        <v>0</v>
      </c>
      <c r="K192" s="2" t="str">
        <f t="shared" si="12"/>
        <v xml:space="preserve"> </v>
      </c>
      <c r="L192" s="2" t="str">
        <f t="shared" si="13"/>
        <v xml:space="preserve"> </v>
      </c>
      <c r="M192" s="2" t="str">
        <f t="shared" si="14"/>
        <v xml:space="preserve"> </v>
      </c>
    </row>
    <row r="193" spans="1:13" x14ac:dyDescent="0.25">
      <c r="A193" s="34" t="str">
        <f t="shared" si="10"/>
        <v xml:space="preserve"> </v>
      </c>
      <c r="D193" s="33"/>
      <c r="E193" s="33"/>
      <c r="J193" s="14">
        <f t="shared" si="11"/>
        <v>0</v>
      </c>
      <c r="K193" s="2" t="str">
        <f t="shared" si="12"/>
        <v xml:space="preserve"> </v>
      </c>
      <c r="L193" s="2" t="str">
        <f t="shared" si="13"/>
        <v xml:space="preserve"> </v>
      </c>
      <c r="M193" s="2" t="str">
        <f t="shared" si="14"/>
        <v xml:space="preserve"> </v>
      </c>
    </row>
    <row r="194" spans="1:13" x14ac:dyDescent="0.25">
      <c r="A194" s="34" t="str">
        <f t="shared" si="10"/>
        <v xml:space="preserve"> </v>
      </c>
      <c r="D194" s="33"/>
      <c r="E194" s="33"/>
      <c r="J194" s="14">
        <f t="shared" si="11"/>
        <v>0</v>
      </c>
      <c r="K194" s="2" t="str">
        <f t="shared" si="12"/>
        <v xml:space="preserve"> </v>
      </c>
      <c r="L194" s="2" t="str">
        <f t="shared" si="13"/>
        <v xml:space="preserve"> </v>
      </c>
      <c r="M194" s="2" t="str">
        <f t="shared" si="14"/>
        <v xml:space="preserve"> </v>
      </c>
    </row>
    <row r="195" spans="1:13" x14ac:dyDescent="0.25">
      <c r="A195" s="34" t="str">
        <f t="shared" si="10"/>
        <v xml:space="preserve"> </v>
      </c>
      <c r="D195" s="33"/>
      <c r="E195" s="33"/>
      <c r="J195" s="14">
        <f t="shared" si="11"/>
        <v>0</v>
      </c>
      <c r="K195" s="2" t="str">
        <f t="shared" si="12"/>
        <v xml:space="preserve"> </v>
      </c>
      <c r="L195" s="2" t="str">
        <f t="shared" si="13"/>
        <v xml:space="preserve"> </v>
      </c>
      <c r="M195" s="2" t="str">
        <f t="shared" si="14"/>
        <v xml:space="preserve"> </v>
      </c>
    </row>
    <row r="196" spans="1:13" x14ac:dyDescent="0.25">
      <c r="A196" s="34" t="str">
        <f t="shared" si="10"/>
        <v xml:space="preserve"> </v>
      </c>
      <c r="D196" s="33"/>
      <c r="E196" s="33"/>
      <c r="J196" s="14">
        <f t="shared" si="11"/>
        <v>0</v>
      </c>
      <c r="K196" s="2" t="str">
        <f t="shared" si="12"/>
        <v xml:space="preserve"> </v>
      </c>
      <c r="L196" s="2" t="str">
        <f t="shared" si="13"/>
        <v xml:space="preserve"> </v>
      </c>
      <c r="M196" s="2" t="str">
        <f t="shared" si="14"/>
        <v xml:space="preserve"> </v>
      </c>
    </row>
    <row r="197" spans="1:13" x14ac:dyDescent="0.25">
      <c r="A197" s="34" t="str">
        <f t="shared" si="10"/>
        <v xml:space="preserve"> </v>
      </c>
      <c r="D197" s="33"/>
      <c r="E197" s="33"/>
      <c r="J197" s="14">
        <f t="shared" si="11"/>
        <v>0</v>
      </c>
      <c r="K197" s="2" t="str">
        <f t="shared" si="12"/>
        <v xml:space="preserve"> </v>
      </c>
      <c r="L197" s="2" t="str">
        <f t="shared" si="13"/>
        <v xml:space="preserve"> </v>
      </c>
      <c r="M197" s="2" t="str">
        <f t="shared" si="14"/>
        <v xml:space="preserve"> </v>
      </c>
    </row>
    <row r="198" spans="1:13" x14ac:dyDescent="0.25">
      <c r="A198" s="34" t="str">
        <f t="shared" si="10"/>
        <v xml:space="preserve"> </v>
      </c>
      <c r="D198" s="33"/>
      <c r="E198" s="33"/>
      <c r="J198" s="14">
        <f t="shared" si="11"/>
        <v>0</v>
      </c>
      <c r="K198" s="2" t="str">
        <f t="shared" si="12"/>
        <v xml:space="preserve"> </v>
      </c>
      <c r="L198" s="2" t="str">
        <f t="shared" si="13"/>
        <v xml:space="preserve"> </v>
      </c>
      <c r="M198" s="2" t="str">
        <f t="shared" si="14"/>
        <v xml:space="preserve"> </v>
      </c>
    </row>
    <row r="199" spans="1:13" x14ac:dyDescent="0.25">
      <c r="A199" s="34" t="str">
        <f t="shared" si="10"/>
        <v xml:space="preserve"> </v>
      </c>
      <c r="D199" s="33"/>
      <c r="E199" s="33"/>
      <c r="J199" s="14">
        <f t="shared" si="11"/>
        <v>0</v>
      </c>
      <c r="K199" s="2" t="str">
        <f t="shared" si="12"/>
        <v xml:space="preserve"> </v>
      </c>
      <c r="L199" s="2" t="str">
        <f t="shared" si="13"/>
        <v xml:space="preserve"> </v>
      </c>
      <c r="M199" s="2" t="str">
        <f t="shared" si="14"/>
        <v xml:space="preserve"> </v>
      </c>
    </row>
    <row r="200" spans="1:13" x14ac:dyDescent="0.25">
      <c r="A200" s="34" t="str">
        <f t="shared" si="10"/>
        <v xml:space="preserve"> </v>
      </c>
      <c r="D200" s="33"/>
      <c r="E200" s="33"/>
      <c r="J200" s="14">
        <f t="shared" si="11"/>
        <v>0</v>
      </c>
      <c r="K200" s="2" t="str">
        <f t="shared" si="12"/>
        <v xml:space="preserve"> </v>
      </c>
      <c r="L200" s="2" t="str">
        <f t="shared" si="13"/>
        <v xml:space="preserve"> </v>
      </c>
      <c r="M200" s="2" t="str">
        <f t="shared" si="14"/>
        <v xml:space="preserve"> </v>
      </c>
    </row>
    <row r="201" spans="1:13" x14ac:dyDescent="0.25">
      <c r="A201" s="34" t="str">
        <f t="shared" si="10"/>
        <v xml:space="preserve"> </v>
      </c>
      <c r="D201" s="33"/>
      <c r="E201" s="33"/>
      <c r="J201" s="14">
        <f t="shared" si="11"/>
        <v>0</v>
      </c>
      <c r="K201" s="2" t="str">
        <f t="shared" si="12"/>
        <v xml:space="preserve"> </v>
      </c>
      <c r="L201" s="2" t="str">
        <f t="shared" si="13"/>
        <v xml:space="preserve"> </v>
      </c>
      <c r="M201" s="2" t="str">
        <f t="shared" si="14"/>
        <v xml:space="preserve"> </v>
      </c>
    </row>
    <row r="202" spans="1:13" x14ac:dyDescent="0.25">
      <c r="A202" s="34" t="str">
        <f t="shared" si="10"/>
        <v xml:space="preserve"> </v>
      </c>
      <c r="D202" s="33"/>
      <c r="E202" s="33"/>
      <c r="J202" s="14">
        <f t="shared" si="11"/>
        <v>0</v>
      </c>
      <c r="K202" s="2" t="str">
        <f t="shared" si="12"/>
        <v xml:space="preserve"> </v>
      </c>
      <c r="L202" s="2" t="str">
        <f t="shared" si="13"/>
        <v xml:space="preserve"> </v>
      </c>
      <c r="M202" s="2" t="str">
        <f t="shared" si="14"/>
        <v xml:space="preserve"> </v>
      </c>
    </row>
    <row r="203" spans="1:13" x14ac:dyDescent="0.25">
      <c r="A203" s="34" t="str">
        <f t="shared" si="10"/>
        <v xml:space="preserve"> </v>
      </c>
      <c r="D203" s="33"/>
      <c r="E203" s="33"/>
      <c r="J203" s="14">
        <f t="shared" si="11"/>
        <v>0</v>
      </c>
      <c r="K203" s="2" t="str">
        <f t="shared" si="12"/>
        <v xml:space="preserve"> </v>
      </c>
      <c r="L203" s="2" t="str">
        <f t="shared" si="13"/>
        <v xml:space="preserve"> </v>
      </c>
      <c r="M203" s="2" t="str">
        <f t="shared" si="14"/>
        <v xml:space="preserve"> </v>
      </c>
    </row>
    <row r="204" spans="1:13" x14ac:dyDescent="0.25">
      <c r="A204" s="34" t="str">
        <f t="shared" si="10"/>
        <v xml:space="preserve"> </v>
      </c>
      <c r="D204" s="33"/>
      <c r="E204" s="33"/>
      <c r="J204" s="14">
        <f t="shared" si="11"/>
        <v>0</v>
      </c>
      <c r="K204" s="2" t="str">
        <f t="shared" si="12"/>
        <v xml:space="preserve"> </v>
      </c>
      <c r="L204" s="2" t="str">
        <f t="shared" si="13"/>
        <v xml:space="preserve"> </v>
      </c>
      <c r="M204" s="2" t="str">
        <f t="shared" si="14"/>
        <v xml:space="preserve"> </v>
      </c>
    </row>
    <row r="205" spans="1:13" x14ac:dyDescent="0.25">
      <c r="A205" s="34" t="str">
        <f t="shared" si="10"/>
        <v xml:space="preserve"> </v>
      </c>
      <c r="D205" s="33"/>
      <c r="E205" s="33"/>
      <c r="J205" s="14">
        <f t="shared" si="11"/>
        <v>0</v>
      </c>
      <c r="K205" s="2" t="str">
        <f t="shared" si="12"/>
        <v xml:space="preserve"> </v>
      </c>
      <c r="L205" s="2" t="str">
        <f t="shared" si="13"/>
        <v xml:space="preserve"> </v>
      </c>
      <c r="M205" s="2" t="str">
        <f t="shared" si="14"/>
        <v xml:space="preserve"> </v>
      </c>
    </row>
    <row r="206" spans="1:13" x14ac:dyDescent="0.25">
      <c r="A206" s="34" t="str">
        <f t="shared" si="10"/>
        <v xml:space="preserve"> </v>
      </c>
      <c r="D206" s="33"/>
      <c r="E206" s="33"/>
      <c r="J206" s="14">
        <f t="shared" si="11"/>
        <v>0</v>
      </c>
      <c r="K206" s="2" t="str">
        <f t="shared" si="12"/>
        <v xml:space="preserve"> </v>
      </c>
      <c r="L206" s="2" t="str">
        <f t="shared" si="13"/>
        <v xml:space="preserve"> </v>
      </c>
      <c r="M206" s="2" t="str">
        <f t="shared" si="14"/>
        <v xml:space="preserve"> </v>
      </c>
    </row>
    <row r="207" spans="1:13" x14ac:dyDescent="0.25">
      <c r="A207" s="34" t="str">
        <f t="shared" ref="A207:A270" si="15">IF(COUNTIF(K207:M207,"ERROR")&gt;0,"ERROR"," ")</f>
        <v xml:space="preserve"> </v>
      </c>
      <c r="D207" s="33"/>
      <c r="E207" s="33"/>
      <c r="J207" s="14">
        <f t="shared" ref="J207:J270" si="16">F207-G207+H207-I207</f>
        <v>0</v>
      </c>
      <c r="K207" s="2" t="str">
        <f t="shared" si="12"/>
        <v xml:space="preserve"> </v>
      </c>
      <c r="L207" s="2" t="str">
        <f t="shared" si="13"/>
        <v xml:space="preserve"> </v>
      </c>
      <c r="M207" s="2" t="str">
        <f t="shared" si="14"/>
        <v xml:space="preserve"> </v>
      </c>
    </row>
    <row r="208" spans="1:13" x14ac:dyDescent="0.25">
      <c r="A208" s="34" t="str">
        <f t="shared" si="15"/>
        <v xml:space="preserve"> </v>
      </c>
      <c r="D208" s="33"/>
      <c r="E208" s="33"/>
      <c r="J208" s="14">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4" t="str">
        <f t="shared" si="15"/>
        <v xml:space="preserve"> </v>
      </c>
      <c r="D209" s="33"/>
      <c r="E209" s="33"/>
      <c r="J209" s="14">
        <f t="shared" si="16"/>
        <v>0</v>
      </c>
      <c r="K209" s="2" t="str">
        <f t="shared" si="17"/>
        <v xml:space="preserve"> </v>
      </c>
      <c r="L209" s="2" t="str">
        <f t="shared" si="18"/>
        <v xml:space="preserve"> </v>
      </c>
      <c r="M209" s="2" t="str">
        <f t="shared" si="19"/>
        <v xml:space="preserve"> </v>
      </c>
    </row>
    <row r="210" spans="1:13" x14ac:dyDescent="0.25">
      <c r="A210" s="34" t="str">
        <f t="shared" si="15"/>
        <v xml:space="preserve"> </v>
      </c>
      <c r="D210" s="33"/>
      <c r="E210" s="33"/>
      <c r="J210" s="14">
        <f t="shared" si="16"/>
        <v>0</v>
      </c>
      <c r="K210" s="2" t="str">
        <f t="shared" si="17"/>
        <v xml:space="preserve"> </v>
      </c>
      <c r="L210" s="2" t="str">
        <f t="shared" si="18"/>
        <v xml:space="preserve"> </v>
      </c>
      <c r="M210" s="2" t="str">
        <f t="shared" si="19"/>
        <v xml:space="preserve"> </v>
      </c>
    </row>
    <row r="211" spans="1:13" x14ac:dyDescent="0.25">
      <c r="A211" s="34" t="str">
        <f t="shared" si="15"/>
        <v xml:space="preserve"> </v>
      </c>
      <c r="D211" s="33"/>
      <c r="E211" s="33"/>
      <c r="J211" s="14">
        <f t="shared" si="16"/>
        <v>0</v>
      </c>
      <c r="K211" s="2" t="str">
        <f t="shared" si="17"/>
        <v xml:space="preserve"> </v>
      </c>
      <c r="L211" s="2" t="str">
        <f t="shared" si="18"/>
        <v xml:space="preserve"> </v>
      </c>
      <c r="M211" s="2" t="str">
        <f t="shared" si="19"/>
        <v xml:space="preserve"> </v>
      </c>
    </row>
    <row r="212" spans="1:13" x14ac:dyDescent="0.25">
      <c r="A212" s="34" t="str">
        <f t="shared" si="15"/>
        <v xml:space="preserve"> </v>
      </c>
      <c r="D212" s="33"/>
      <c r="E212" s="33"/>
      <c r="J212" s="14">
        <f t="shared" si="16"/>
        <v>0</v>
      </c>
      <c r="K212" s="2" t="str">
        <f t="shared" si="17"/>
        <v xml:space="preserve"> </v>
      </c>
      <c r="L212" s="2" t="str">
        <f t="shared" si="18"/>
        <v xml:space="preserve"> </v>
      </c>
      <c r="M212" s="2" t="str">
        <f t="shared" si="19"/>
        <v xml:space="preserve"> </v>
      </c>
    </row>
    <row r="213" spans="1:13" x14ac:dyDescent="0.25">
      <c r="A213" s="34" t="str">
        <f t="shared" si="15"/>
        <v xml:space="preserve"> </v>
      </c>
      <c r="D213" s="33"/>
      <c r="E213" s="33"/>
      <c r="J213" s="14">
        <f t="shared" si="16"/>
        <v>0</v>
      </c>
      <c r="K213" s="2" t="str">
        <f t="shared" si="17"/>
        <v xml:space="preserve"> </v>
      </c>
      <c r="L213" s="2" t="str">
        <f t="shared" si="18"/>
        <v xml:space="preserve"> </v>
      </c>
      <c r="M213" s="2" t="str">
        <f t="shared" si="19"/>
        <v xml:space="preserve"> </v>
      </c>
    </row>
    <row r="214" spans="1:13" x14ac:dyDescent="0.25">
      <c r="A214" s="34" t="str">
        <f t="shared" si="15"/>
        <v xml:space="preserve"> </v>
      </c>
      <c r="D214" s="33"/>
      <c r="E214" s="33"/>
      <c r="J214" s="14">
        <f t="shared" si="16"/>
        <v>0</v>
      </c>
      <c r="K214" s="2" t="str">
        <f t="shared" si="17"/>
        <v xml:space="preserve"> </v>
      </c>
      <c r="L214" s="2" t="str">
        <f t="shared" si="18"/>
        <v xml:space="preserve"> </v>
      </c>
      <c r="M214" s="2" t="str">
        <f t="shared" si="19"/>
        <v xml:space="preserve"> </v>
      </c>
    </row>
    <row r="215" spans="1:13" x14ac:dyDescent="0.25">
      <c r="A215" s="34" t="str">
        <f t="shared" si="15"/>
        <v xml:space="preserve"> </v>
      </c>
      <c r="D215" s="33"/>
      <c r="E215" s="33"/>
      <c r="J215" s="14">
        <f t="shared" si="16"/>
        <v>0</v>
      </c>
      <c r="K215" s="2" t="str">
        <f t="shared" si="17"/>
        <v xml:space="preserve"> </v>
      </c>
      <c r="L215" s="2" t="str">
        <f t="shared" si="18"/>
        <v xml:space="preserve"> </v>
      </c>
      <c r="M215" s="2" t="str">
        <f t="shared" si="19"/>
        <v xml:space="preserve"> </v>
      </c>
    </row>
    <row r="216" spans="1:13" x14ac:dyDescent="0.25">
      <c r="A216" s="34" t="str">
        <f t="shared" si="15"/>
        <v xml:space="preserve"> </v>
      </c>
      <c r="D216" s="33"/>
      <c r="E216" s="33"/>
      <c r="J216" s="14">
        <f t="shared" si="16"/>
        <v>0</v>
      </c>
      <c r="K216" s="2" t="str">
        <f t="shared" si="17"/>
        <v xml:space="preserve"> </v>
      </c>
      <c r="L216" s="2" t="str">
        <f t="shared" si="18"/>
        <v xml:space="preserve"> </v>
      </c>
      <c r="M216" s="2" t="str">
        <f t="shared" si="19"/>
        <v xml:space="preserve"> </v>
      </c>
    </row>
    <row r="217" spans="1:13" x14ac:dyDescent="0.25">
      <c r="A217" s="34" t="str">
        <f t="shared" si="15"/>
        <v xml:space="preserve"> </v>
      </c>
      <c r="D217" s="33"/>
      <c r="E217" s="33"/>
      <c r="J217" s="14">
        <f t="shared" si="16"/>
        <v>0</v>
      </c>
      <c r="K217" s="2" t="str">
        <f t="shared" si="17"/>
        <v xml:space="preserve"> </v>
      </c>
      <c r="L217" s="2" t="str">
        <f t="shared" si="18"/>
        <v xml:space="preserve"> </v>
      </c>
      <c r="M217" s="2" t="str">
        <f t="shared" si="19"/>
        <v xml:space="preserve"> </v>
      </c>
    </row>
    <row r="218" spans="1:13" x14ac:dyDescent="0.25">
      <c r="A218" s="34" t="str">
        <f t="shared" si="15"/>
        <v xml:space="preserve"> </v>
      </c>
      <c r="D218" s="33"/>
      <c r="E218" s="33"/>
      <c r="J218" s="14">
        <f t="shared" si="16"/>
        <v>0</v>
      </c>
      <c r="K218" s="2" t="str">
        <f t="shared" si="17"/>
        <v xml:space="preserve"> </v>
      </c>
      <c r="L218" s="2" t="str">
        <f t="shared" si="18"/>
        <v xml:space="preserve"> </v>
      </c>
      <c r="M218" s="2" t="str">
        <f t="shared" si="19"/>
        <v xml:space="preserve"> </v>
      </c>
    </row>
    <row r="219" spans="1:13" x14ac:dyDescent="0.25">
      <c r="A219" s="34" t="str">
        <f t="shared" si="15"/>
        <v xml:space="preserve"> </v>
      </c>
      <c r="D219" s="33"/>
      <c r="E219" s="33"/>
      <c r="J219" s="14">
        <f t="shared" si="16"/>
        <v>0</v>
      </c>
      <c r="K219" s="2" t="str">
        <f t="shared" si="17"/>
        <v xml:space="preserve"> </v>
      </c>
      <c r="L219" s="2" t="str">
        <f t="shared" si="18"/>
        <v xml:space="preserve"> </v>
      </c>
      <c r="M219" s="2" t="str">
        <f t="shared" si="19"/>
        <v xml:space="preserve"> </v>
      </c>
    </row>
    <row r="220" spans="1:13" x14ac:dyDescent="0.25">
      <c r="A220" s="34" t="str">
        <f t="shared" si="15"/>
        <v xml:space="preserve"> </v>
      </c>
      <c r="D220" s="33"/>
      <c r="E220" s="33"/>
      <c r="J220" s="14">
        <f t="shared" si="16"/>
        <v>0</v>
      </c>
      <c r="K220" s="2" t="str">
        <f t="shared" si="17"/>
        <v xml:space="preserve"> </v>
      </c>
      <c r="L220" s="2" t="str">
        <f t="shared" si="18"/>
        <v xml:space="preserve"> </v>
      </c>
      <c r="M220" s="2" t="str">
        <f t="shared" si="19"/>
        <v xml:space="preserve"> </v>
      </c>
    </row>
    <row r="221" spans="1:13" x14ac:dyDescent="0.25">
      <c r="A221" s="34" t="str">
        <f t="shared" si="15"/>
        <v xml:space="preserve"> </v>
      </c>
      <c r="D221" s="33"/>
      <c r="E221" s="33"/>
      <c r="J221" s="14">
        <f t="shared" si="16"/>
        <v>0</v>
      </c>
      <c r="K221" s="2" t="str">
        <f t="shared" si="17"/>
        <v xml:space="preserve"> </v>
      </c>
      <c r="L221" s="2" t="str">
        <f t="shared" si="18"/>
        <v xml:space="preserve"> </v>
      </c>
      <c r="M221" s="2" t="str">
        <f t="shared" si="19"/>
        <v xml:space="preserve"> </v>
      </c>
    </row>
    <row r="222" spans="1:13" x14ac:dyDescent="0.25">
      <c r="A222" s="34" t="str">
        <f t="shared" si="15"/>
        <v xml:space="preserve"> </v>
      </c>
      <c r="D222" s="33"/>
      <c r="E222" s="33"/>
      <c r="J222" s="14">
        <f t="shared" si="16"/>
        <v>0</v>
      </c>
      <c r="K222" s="2" t="str">
        <f t="shared" si="17"/>
        <v xml:space="preserve"> </v>
      </c>
      <c r="L222" s="2" t="str">
        <f t="shared" si="18"/>
        <v xml:space="preserve"> </v>
      </c>
      <c r="M222" s="2" t="str">
        <f t="shared" si="19"/>
        <v xml:space="preserve"> </v>
      </c>
    </row>
    <row r="223" spans="1:13" x14ac:dyDescent="0.25">
      <c r="A223" s="34" t="str">
        <f t="shared" si="15"/>
        <v xml:space="preserve"> </v>
      </c>
      <c r="D223" s="33"/>
      <c r="E223" s="33"/>
      <c r="J223" s="14">
        <f t="shared" si="16"/>
        <v>0</v>
      </c>
      <c r="K223" s="2" t="str">
        <f t="shared" si="17"/>
        <v xml:space="preserve"> </v>
      </c>
      <c r="L223" s="2" t="str">
        <f t="shared" si="18"/>
        <v xml:space="preserve"> </v>
      </c>
      <c r="M223" s="2" t="str">
        <f t="shared" si="19"/>
        <v xml:space="preserve"> </v>
      </c>
    </row>
    <row r="224" spans="1:13" x14ac:dyDescent="0.25">
      <c r="A224" s="34" t="str">
        <f t="shared" si="15"/>
        <v xml:space="preserve"> </v>
      </c>
      <c r="D224" s="33"/>
      <c r="E224" s="33"/>
      <c r="J224" s="14">
        <f t="shared" si="16"/>
        <v>0</v>
      </c>
      <c r="K224" s="2" t="str">
        <f t="shared" si="17"/>
        <v xml:space="preserve"> </v>
      </c>
      <c r="L224" s="2" t="str">
        <f t="shared" si="18"/>
        <v xml:space="preserve"> </v>
      </c>
      <c r="M224" s="2" t="str">
        <f t="shared" si="19"/>
        <v xml:space="preserve"> </v>
      </c>
    </row>
    <row r="225" spans="1:13" x14ac:dyDescent="0.25">
      <c r="A225" s="34" t="str">
        <f t="shared" si="15"/>
        <v xml:space="preserve"> </v>
      </c>
      <c r="D225" s="33"/>
      <c r="E225" s="33"/>
      <c r="J225" s="14">
        <f t="shared" si="16"/>
        <v>0</v>
      </c>
      <c r="K225" s="2" t="str">
        <f t="shared" si="17"/>
        <v xml:space="preserve"> </v>
      </c>
      <c r="L225" s="2" t="str">
        <f t="shared" si="18"/>
        <v xml:space="preserve"> </v>
      </c>
      <c r="M225" s="2" t="str">
        <f t="shared" si="19"/>
        <v xml:space="preserve"> </v>
      </c>
    </row>
    <row r="226" spans="1:13" x14ac:dyDescent="0.25">
      <c r="A226" s="34" t="str">
        <f t="shared" si="15"/>
        <v xml:space="preserve"> </v>
      </c>
      <c r="D226" s="33"/>
      <c r="E226" s="33"/>
      <c r="J226" s="14">
        <f t="shared" si="16"/>
        <v>0</v>
      </c>
      <c r="K226" s="2" t="str">
        <f t="shared" si="17"/>
        <v xml:space="preserve"> </v>
      </c>
      <c r="L226" s="2" t="str">
        <f t="shared" si="18"/>
        <v xml:space="preserve"> </v>
      </c>
      <c r="M226" s="2" t="str">
        <f t="shared" si="19"/>
        <v xml:space="preserve"> </v>
      </c>
    </row>
    <row r="227" spans="1:13" x14ac:dyDescent="0.25">
      <c r="A227" s="34" t="str">
        <f t="shared" si="15"/>
        <v xml:space="preserve"> </v>
      </c>
      <c r="D227" s="33"/>
      <c r="E227" s="33"/>
      <c r="J227" s="14">
        <f t="shared" si="16"/>
        <v>0</v>
      </c>
      <c r="K227" s="2" t="str">
        <f t="shared" si="17"/>
        <v xml:space="preserve"> </v>
      </c>
      <c r="L227" s="2" t="str">
        <f t="shared" si="18"/>
        <v xml:space="preserve"> </v>
      </c>
      <c r="M227" s="2" t="str">
        <f t="shared" si="19"/>
        <v xml:space="preserve"> </v>
      </c>
    </row>
    <row r="228" spans="1:13" x14ac:dyDescent="0.25">
      <c r="A228" s="34" t="str">
        <f t="shared" si="15"/>
        <v xml:space="preserve"> </v>
      </c>
      <c r="D228" s="33"/>
      <c r="E228" s="33"/>
      <c r="J228" s="14">
        <f t="shared" si="16"/>
        <v>0</v>
      </c>
      <c r="K228" s="2" t="str">
        <f t="shared" si="17"/>
        <v xml:space="preserve"> </v>
      </c>
      <c r="L228" s="2" t="str">
        <f t="shared" si="18"/>
        <v xml:space="preserve"> </v>
      </c>
      <c r="M228" s="2" t="str">
        <f t="shared" si="19"/>
        <v xml:space="preserve"> </v>
      </c>
    </row>
    <row r="229" spans="1:13" x14ac:dyDescent="0.25">
      <c r="A229" s="34" t="str">
        <f t="shared" si="15"/>
        <v xml:space="preserve"> </v>
      </c>
      <c r="D229" s="33"/>
      <c r="E229" s="33"/>
      <c r="J229" s="14">
        <f t="shared" si="16"/>
        <v>0</v>
      </c>
      <c r="K229" s="2" t="str">
        <f t="shared" si="17"/>
        <v xml:space="preserve"> </v>
      </c>
      <c r="L229" s="2" t="str">
        <f t="shared" si="18"/>
        <v xml:space="preserve"> </v>
      </c>
      <c r="M229" s="2" t="str">
        <f t="shared" si="19"/>
        <v xml:space="preserve"> </v>
      </c>
    </row>
    <row r="230" spans="1:13" x14ac:dyDescent="0.25">
      <c r="A230" s="34" t="str">
        <f t="shared" si="15"/>
        <v xml:space="preserve"> </v>
      </c>
      <c r="D230" s="33"/>
      <c r="E230" s="33"/>
      <c r="J230" s="14">
        <f t="shared" si="16"/>
        <v>0</v>
      </c>
      <c r="K230" s="2" t="str">
        <f t="shared" si="17"/>
        <v xml:space="preserve"> </v>
      </c>
      <c r="L230" s="2" t="str">
        <f t="shared" si="18"/>
        <v xml:space="preserve"> </v>
      </c>
      <c r="M230" s="2" t="str">
        <f t="shared" si="19"/>
        <v xml:space="preserve"> </v>
      </c>
    </row>
    <row r="231" spans="1:13" x14ac:dyDescent="0.25">
      <c r="A231" s="34" t="str">
        <f t="shared" si="15"/>
        <v xml:space="preserve"> </v>
      </c>
      <c r="D231" s="33"/>
      <c r="E231" s="33"/>
      <c r="J231" s="14">
        <f t="shared" si="16"/>
        <v>0</v>
      </c>
      <c r="K231" s="2" t="str">
        <f t="shared" si="17"/>
        <v xml:space="preserve"> </v>
      </c>
      <c r="L231" s="2" t="str">
        <f t="shared" si="18"/>
        <v xml:space="preserve"> </v>
      </c>
      <c r="M231" s="2" t="str">
        <f t="shared" si="19"/>
        <v xml:space="preserve"> </v>
      </c>
    </row>
    <row r="232" spans="1:13" x14ac:dyDescent="0.25">
      <c r="A232" s="34" t="str">
        <f t="shared" si="15"/>
        <v xml:space="preserve"> </v>
      </c>
      <c r="D232" s="33"/>
      <c r="E232" s="33"/>
      <c r="J232" s="14">
        <f t="shared" si="16"/>
        <v>0</v>
      </c>
      <c r="K232" s="2" t="str">
        <f t="shared" si="17"/>
        <v xml:space="preserve"> </v>
      </c>
      <c r="L232" s="2" t="str">
        <f t="shared" si="18"/>
        <v xml:space="preserve"> </v>
      </c>
      <c r="M232" s="2" t="str">
        <f t="shared" si="19"/>
        <v xml:space="preserve"> </v>
      </c>
    </row>
    <row r="233" spans="1:13" x14ac:dyDescent="0.25">
      <c r="A233" s="34" t="str">
        <f t="shared" si="15"/>
        <v xml:space="preserve"> </v>
      </c>
      <c r="D233" s="33"/>
      <c r="E233" s="33"/>
      <c r="J233" s="14">
        <f t="shared" si="16"/>
        <v>0</v>
      </c>
      <c r="K233" s="2" t="str">
        <f t="shared" si="17"/>
        <v xml:space="preserve"> </v>
      </c>
      <c r="L233" s="2" t="str">
        <f t="shared" si="18"/>
        <v xml:space="preserve"> </v>
      </c>
      <c r="M233" s="2" t="str">
        <f t="shared" si="19"/>
        <v xml:space="preserve"> </v>
      </c>
    </row>
    <row r="234" spans="1:13" x14ac:dyDescent="0.25">
      <c r="A234" s="34" t="str">
        <f t="shared" si="15"/>
        <v xml:space="preserve"> </v>
      </c>
      <c r="D234" s="33"/>
      <c r="E234" s="33"/>
      <c r="J234" s="14">
        <f t="shared" si="16"/>
        <v>0</v>
      </c>
      <c r="K234" s="2" t="str">
        <f t="shared" si="17"/>
        <v xml:space="preserve"> </v>
      </c>
      <c r="L234" s="2" t="str">
        <f t="shared" si="18"/>
        <v xml:space="preserve"> </v>
      </c>
      <c r="M234" s="2" t="str">
        <f t="shared" si="19"/>
        <v xml:space="preserve"> </v>
      </c>
    </row>
    <row r="235" spans="1:13" x14ac:dyDescent="0.25">
      <c r="A235" s="34" t="str">
        <f t="shared" si="15"/>
        <v xml:space="preserve"> </v>
      </c>
      <c r="D235" s="33"/>
      <c r="E235" s="33"/>
      <c r="J235" s="14">
        <f t="shared" si="16"/>
        <v>0</v>
      </c>
      <c r="K235" s="2" t="str">
        <f t="shared" si="17"/>
        <v xml:space="preserve"> </v>
      </c>
      <c r="L235" s="2" t="str">
        <f t="shared" si="18"/>
        <v xml:space="preserve"> </v>
      </c>
      <c r="M235" s="2" t="str">
        <f t="shared" si="19"/>
        <v xml:space="preserve"> </v>
      </c>
    </row>
    <row r="236" spans="1:13" x14ac:dyDescent="0.25">
      <c r="A236" s="34" t="str">
        <f t="shared" si="15"/>
        <v xml:space="preserve"> </v>
      </c>
      <c r="D236" s="33"/>
      <c r="E236" s="33"/>
      <c r="J236" s="14">
        <f t="shared" si="16"/>
        <v>0</v>
      </c>
      <c r="K236" s="2" t="str">
        <f t="shared" si="17"/>
        <v xml:space="preserve"> </v>
      </c>
      <c r="L236" s="2" t="str">
        <f t="shared" si="18"/>
        <v xml:space="preserve"> </v>
      </c>
      <c r="M236" s="2" t="str">
        <f t="shared" si="19"/>
        <v xml:space="preserve"> </v>
      </c>
    </row>
    <row r="237" spans="1:13" x14ac:dyDescent="0.25">
      <c r="A237" s="34" t="str">
        <f t="shared" si="15"/>
        <v xml:space="preserve"> </v>
      </c>
      <c r="D237" s="33"/>
      <c r="E237" s="33"/>
      <c r="J237" s="14">
        <f t="shared" si="16"/>
        <v>0</v>
      </c>
      <c r="K237" s="2" t="str">
        <f t="shared" si="17"/>
        <v xml:space="preserve"> </v>
      </c>
      <c r="L237" s="2" t="str">
        <f t="shared" si="18"/>
        <v xml:space="preserve"> </v>
      </c>
      <c r="M237" s="2" t="str">
        <f t="shared" si="19"/>
        <v xml:space="preserve"> </v>
      </c>
    </row>
    <row r="238" spans="1:13" x14ac:dyDescent="0.25">
      <c r="A238" s="34" t="str">
        <f t="shared" si="15"/>
        <v xml:space="preserve"> </v>
      </c>
      <c r="D238" s="33"/>
      <c r="E238" s="33"/>
      <c r="J238" s="14">
        <f t="shared" si="16"/>
        <v>0</v>
      </c>
      <c r="K238" s="2" t="str">
        <f t="shared" si="17"/>
        <v xml:space="preserve"> </v>
      </c>
      <c r="L238" s="2" t="str">
        <f t="shared" si="18"/>
        <v xml:space="preserve"> </v>
      </c>
      <c r="M238" s="2" t="str">
        <f t="shared" si="19"/>
        <v xml:space="preserve"> </v>
      </c>
    </row>
    <row r="239" spans="1:13" x14ac:dyDescent="0.25">
      <c r="A239" s="34" t="str">
        <f t="shared" si="15"/>
        <v xml:space="preserve"> </v>
      </c>
      <c r="D239" s="33"/>
      <c r="E239" s="33"/>
      <c r="J239" s="14">
        <f t="shared" si="16"/>
        <v>0</v>
      </c>
      <c r="K239" s="2" t="str">
        <f t="shared" si="17"/>
        <v xml:space="preserve"> </v>
      </c>
      <c r="L239" s="2" t="str">
        <f t="shared" si="18"/>
        <v xml:space="preserve"> </v>
      </c>
      <c r="M239" s="2" t="str">
        <f t="shared" si="19"/>
        <v xml:space="preserve"> </v>
      </c>
    </row>
    <row r="240" spans="1:13" x14ac:dyDescent="0.25">
      <c r="A240" s="34" t="str">
        <f t="shared" si="15"/>
        <v xml:space="preserve"> </v>
      </c>
      <c r="D240" s="33"/>
      <c r="E240" s="33"/>
      <c r="J240" s="14">
        <f t="shared" si="16"/>
        <v>0</v>
      </c>
      <c r="K240" s="2" t="str">
        <f t="shared" si="17"/>
        <v xml:space="preserve"> </v>
      </c>
      <c r="L240" s="2" t="str">
        <f t="shared" si="18"/>
        <v xml:space="preserve"> </v>
      </c>
      <c r="M240" s="2" t="str">
        <f t="shared" si="19"/>
        <v xml:space="preserve"> </v>
      </c>
    </row>
    <row r="241" spans="1:13" x14ac:dyDescent="0.25">
      <c r="A241" s="34" t="str">
        <f t="shared" si="15"/>
        <v xml:space="preserve"> </v>
      </c>
      <c r="D241" s="33"/>
      <c r="E241" s="33"/>
      <c r="J241" s="14">
        <f t="shared" si="16"/>
        <v>0</v>
      </c>
      <c r="K241" s="2" t="str">
        <f t="shared" si="17"/>
        <v xml:space="preserve"> </v>
      </c>
      <c r="L241" s="2" t="str">
        <f t="shared" si="18"/>
        <v xml:space="preserve"> </v>
      </c>
      <c r="M241" s="2" t="str">
        <f t="shared" si="19"/>
        <v xml:space="preserve"> </v>
      </c>
    </row>
    <row r="242" spans="1:13" x14ac:dyDescent="0.25">
      <c r="A242" s="34" t="str">
        <f t="shared" si="15"/>
        <v xml:space="preserve"> </v>
      </c>
      <c r="D242" s="33"/>
      <c r="E242" s="33"/>
      <c r="J242" s="14">
        <f t="shared" si="16"/>
        <v>0</v>
      </c>
      <c r="K242" s="2" t="str">
        <f t="shared" si="17"/>
        <v xml:space="preserve"> </v>
      </c>
      <c r="L242" s="2" t="str">
        <f t="shared" si="18"/>
        <v xml:space="preserve"> </v>
      </c>
      <c r="M242" s="2" t="str">
        <f t="shared" si="19"/>
        <v xml:space="preserve"> </v>
      </c>
    </row>
    <row r="243" spans="1:13" x14ac:dyDescent="0.25">
      <c r="A243" s="34" t="str">
        <f t="shared" si="15"/>
        <v xml:space="preserve"> </v>
      </c>
      <c r="D243" s="33"/>
      <c r="E243" s="33"/>
      <c r="J243" s="14">
        <f t="shared" si="16"/>
        <v>0</v>
      </c>
      <c r="K243" s="2" t="str">
        <f t="shared" si="17"/>
        <v xml:space="preserve"> </v>
      </c>
      <c r="L243" s="2" t="str">
        <f t="shared" si="18"/>
        <v xml:space="preserve"> </v>
      </c>
      <c r="M243" s="2" t="str">
        <f t="shared" si="19"/>
        <v xml:space="preserve"> </v>
      </c>
    </row>
    <row r="244" spans="1:13" x14ac:dyDescent="0.25">
      <c r="A244" s="34" t="str">
        <f t="shared" si="15"/>
        <v xml:space="preserve"> </v>
      </c>
      <c r="D244" s="33"/>
      <c r="E244" s="33"/>
      <c r="J244" s="14">
        <f t="shared" si="16"/>
        <v>0</v>
      </c>
      <c r="K244" s="2" t="str">
        <f t="shared" si="17"/>
        <v xml:space="preserve"> </v>
      </c>
      <c r="L244" s="2" t="str">
        <f t="shared" si="18"/>
        <v xml:space="preserve"> </v>
      </c>
      <c r="M244" s="2" t="str">
        <f t="shared" si="19"/>
        <v xml:space="preserve"> </v>
      </c>
    </row>
    <row r="245" spans="1:13" x14ac:dyDescent="0.25">
      <c r="A245" s="34" t="str">
        <f t="shared" si="15"/>
        <v xml:space="preserve"> </v>
      </c>
      <c r="D245" s="33"/>
      <c r="E245" s="33"/>
      <c r="J245" s="14">
        <f t="shared" si="16"/>
        <v>0</v>
      </c>
      <c r="K245" s="2" t="str">
        <f t="shared" si="17"/>
        <v xml:space="preserve"> </v>
      </c>
      <c r="L245" s="2" t="str">
        <f t="shared" si="18"/>
        <v xml:space="preserve"> </v>
      </c>
      <c r="M245" s="2" t="str">
        <f t="shared" si="19"/>
        <v xml:space="preserve"> </v>
      </c>
    </row>
    <row r="246" spans="1:13" x14ac:dyDescent="0.25">
      <c r="A246" s="34" t="str">
        <f t="shared" si="15"/>
        <v xml:space="preserve"> </v>
      </c>
      <c r="D246" s="33"/>
      <c r="E246" s="33"/>
      <c r="J246" s="14">
        <f t="shared" si="16"/>
        <v>0</v>
      </c>
      <c r="K246" s="2" t="str">
        <f t="shared" si="17"/>
        <v xml:space="preserve"> </v>
      </c>
      <c r="L246" s="2" t="str">
        <f t="shared" si="18"/>
        <v xml:space="preserve"> </v>
      </c>
      <c r="M246" s="2" t="str">
        <f t="shared" si="19"/>
        <v xml:space="preserve"> </v>
      </c>
    </row>
    <row r="247" spans="1:13" x14ac:dyDescent="0.25">
      <c r="A247" s="34" t="str">
        <f t="shared" si="15"/>
        <v xml:space="preserve"> </v>
      </c>
      <c r="D247" s="33"/>
      <c r="E247" s="33"/>
      <c r="J247" s="14">
        <f t="shared" si="16"/>
        <v>0</v>
      </c>
      <c r="K247" s="2" t="str">
        <f t="shared" si="17"/>
        <v xml:space="preserve"> </v>
      </c>
      <c r="L247" s="2" t="str">
        <f t="shared" si="18"/>
        <v xml:space="preserve"> </v>
      </c>
      <c r="M247" s="2" t="str">
        <f t="shared" si="19"/>
        <v xml:space="preserve"> </v>
      </c>
    </row>
    <row r="248" spans="1:13" x14ac:dyDescent="0.25">
      <c r="A248" s="34" t="str">
        <f t="shared" si="15"/>
        <v xml:space="preserve"> </v>
      </c>
      <c r="D248" s="33"/>
      <c r="E248" s="33"/>
      <c r="J248" s="14">
        <f t="shared" si="16"/>
        <v>0</v>
      </c>
      <c r="K248" s="2" t="str">
        <f t="shared" si="17"/>
        <v xml:space="preserve"> </v>
      </c>
      <c r="L248" s="2" t="str">
        <f t="shared" si="18"/>
        <v xml:space="preserve"> </v>
      </c>
      <c r="M248" s="2" t="str">
        <f t="shared" si="19"/>
        <v xml:space="preserve"> </v>
      </c>
    </row>
    <row r="249" spans="1:13" x14ac:dyDescent="0.25">
      <c r="A249" s="34" t="str">
        <f t="shared" si="15"/>
        <v xml:space="preserve"> </v>
      </c>
      <c r="D249" s="33"/>
      <c r="E249" s="33"/>
      <c r="J249" s="14">
        <f t="shared" si="16"/>
        <v>0</v>
      </c>
      <c r="K249" s="2" t="str">
        <f t="shared" si="17"/>
        <v xml:space="preserve"> </v>
      </c>
      <c r="L249" s="2" t="str">
        <f t="shared" si="18"/>
        <v xml:space="preserve"> </v>
      </c>
      <c r="M249" s="2" t="str">
        <f t="shared" si="19"/>
        <v xml:space="preserve"> </v>
      </c>
    </row>
    <row r="250" spans="1:13" x14ac:dyDescent="0.25">
      <c r="A250" s="34" t="str">
        <f t="shared" si="15"/>
        <v xml:space="preserve"> </v>
      </c>
      <c r="D250" s="33"/>
      <c r="E250" s="33"/>
      <c r="J250" s="14">
        <f t="shared" si="16"/>
        <v>0</v>
      </c>
      <c r="K250" s="2" t="str">
        <f t="shared" si="17"/>
        <v xml:space="preserve"> </v>
      </c>
      <c r="L250" s="2" t="str">
        <f t="shared" si="18"/>
        <v xml:space="preserve"> </v>
      </c>
      <c r="M250" s="2" t="str">
        <f t="shared" si="19"/>
        <v xml:space="preserve"> </v>
      </c>
    </row>
    <row r="251" spans="1:13" x14ac:dyDescent="0.25">
      <c r="A251" s="34" t="str">
        <f t="shared" si="15"/>
        <v xml:space="preserve"> </v>
      </c>
      <c r="D251" s="33"/>
      <c r="E251" s="33"/>
      <c r="J251" s="14">
        <f t="shared" si="16"/>
        <v>0</v>
      </c>
      <c r="K251" s="2" t="str">
        <f t="shared" si="17"/>
        <v xml:space="preserve"> </v>
      </c>
      <c r="L251" s="2" t="str">
        <f t="shared" si="18"/>
        <v xml:space="preserve"> </v>
      </c>
      <c r="M251" s="2" t="str">
        <f t="shared" si="19"/>
        <v xml:space="preserve"> </v>
      </c>
    </row>
    <row r="252" spans="1:13" x14ac:dyDescent="0.25">
      <c r="A252" s="34" t="str">
        <f t="shared" si="15"/>
        <v xml:space="preserve"> </v>
      </c>
      <c r="D252" s="33"/>
      <c r="E252" s="33"/>
      <c r="J252" s="14">
        <f t="shared" si="16"/>
        <v>0</v>
      </c>
      <c r="K252" s="2" t="str">
        <f t="shared" si="17"/>
        <v xml:space="preserve"> </v>
      </c>
      <c r="L252" s="2" t="str">
        <f t="shared" si="18"/>
        <v xml:space="preserve"> </v>
      </c>
      <c r="M252" s="2" t="str">
        <f t="shared" si="19"/>
        <v xml:space="preserve"> </v>
      </c>
    </row>
    <row r="253" spans="1:13" x14ac:dyDescent="0.25">
      <c r="A253" s="34" t="str">
        <f t="shared" si="15"/>
        <v xml:space="preserve"> </v>
      </c>
      <c r="D253" s="33"/>
      <c r="E253" s="33"/>
      <c r="J253" s="14">
        <f t="shared" si="16"/>
        <v>0</v>
      </c>
      <c r="K253" s="2" t="str">
        <f t="shared" si="17"/>
        <v xml:space="preserve"> </v>
      </c>
      <c r="L253" s="2" t="str">
        <f t="shared" si="18"/>
        <v xml:space="preserve"> </v>
      </c>
      <c r="M253" s="2" t="str">
        <f t="shared" si="19"/>
        <v xml:space="preserve"> </v>
      </c>
    </row>
    <row r="254" spans="1:13" x14ac:dyDescent="0.25">
      <c r="A254" s="34" t="str">
        <f t="shared" si="15"/>
        <v xml:space="preserve"> </v>
      </c>
      <c r="D254" s="33"/>
      <c r="E254" s="33"/>
      <c r="J254" s="14">
        <f t="shared" si="16"/>
        <v>0</v>
      </c>
      <c r="K254" s="2" t="str">
        <f t="shared" si="17"/>
        <v xml:space="preserve"> </v>
      </c>
      <c r="L254" s="2" t="str">
        <f t="shared" si="18"/>
        <v xml:space="preserve"> </v>
      </c>
      <c r="M254" s="2" t="str">
        <f t="shared" si="19"/>
        <v xml:space="preserve"> </v>
      </c>
    </row>
    <row r="255" spans="1:13" x14ac:dyDescent="0.25">
      <c r="A255" s="34" t="str">
        <f t="shared" si="15"/>
        <v xml:space="preserve"> </v>
      </c>
      <c r="D255" s="33"/>
      <c r="E255" s="33"/>
      <c r="J255" s="14">
        <f t="shared" si="16"/>
        <v>0</v>
      </c>
      <c r="K255" s="2" t="str">
        <f t="shared" si="17"/>
        <v xml:space="preserve"> </v>
      </c>
      <c r="L255" s="2" t="str">
        <f t="shared" si="18"/>
        <v xml:space="preserve"> </v>
      </c>
      <c r="M255" s="2" t="str">
        <f t="shared" si="19"/>
        <v xml:space="preserve"> </v>
      </c>
    </row>
    <row r="256" spans="1:13" x14ac:dyDescent="0.25">
      <c r="A256" s="34" t="str">
        <f t="shared" si="15"/>
        <v xml:space="preserve"> </v>
      </c>
      <c r="D256" s="33"/>
      <c r="E256" s="33"/>
      <c r="J256" s="14">
        <f t="shared" si="16"/>
        <v>0</v>
      </c>
      <c r="K256" s="2" t="str">
        <f t="shared" si="17"/>
        <v xml:space="preserve"> </v>
      </c>
      <c r="L256" s="2" t="str">
        <f t="shared" si="18"/>
        <v xml:space="preserve"> </v>
      </c>
      <c r="M256" s="2" t="str">
        <f t="shared" si="19"/>
        <v xml:space="preserve"> </v>
      </c>
    </row>
    <row r="257" spans="1:13" x14ac:dyDescent="0.25">
      <c r="A257" s="34" t="str">
        <f t="shared" si="15"/>
        <v xml:space="preserve"> </v>
      </c>
      <c r="D257" s="33"/>
      <c r="E257" s="33"/>
      <c r="J257" s="14">
        <f t="shared" si="16"/>
        <v>0</v>
      </c>
      <c r="K257" s="2" t="str">
        <f t="shared" si="17"/>
        <v xml:space="preserve"> </v>
      </c>
      <c r="L257" s="2" t="str">
        <f t="shared" si="18"/>
        <v xml:space="preserve"> </v>
      </c>
      <c r="M257" s="2" t="str">
        <f t="shared" si="19"/>
        <v xml:space="preserve"> </v>
      </c>
    </row>
    <row r="258" spans="1:13" x14ac:dyDescent="0.25">
      <c r="A258" s="34" t="str">
        <f t="shared" si="15"/>
        <v xml:space="preserve"> </v>
      </c>
      <c r="D258" s="33"/>
      <c r="E258" s="33"/>
      <c r="J258" s="14">
        <f t="shared" si="16"/>
        <v>0</v>
      </c>
      <c r="K258" s="2" t="str">
        <f t="shared" si="17"/>
        <v xml:space="preserve"> </v>
      </c>
      <c r="L258" s="2" t="str">
        <f t="shared" si="18"/>
        <v xml:space="preserve"> </v>
      </c>
      <c r="M258" s="2" t="str">
        <f t="shared" si="19"/>
        <v xml:space="preserve"> </v>
      </c>
    </row>
    <row r="259" spans="1:13" x14ac:dyDescent="0.25">
      <c r="A259" s="34" t="str">
        <f t="shared" si="15"/>
        <v xml:space="preserve"> </v>
      </c>
      <c r="D259" s="33"/>
      <c r="E259" s="33"/>
      <c r="J259" s="14">
        <f t="shared" si="16"/>
        <v>0</v>
      </c>
      <c r="K259" s="2" t="str">
        <f t="shared" si="17"/>
        <v xml:space="preserve"> </v>
      </c>
      <c r="L259" s="2" t="str">
        <f t="shared" si="18"/>
        <v xml:space="preserve"> </v>
      </c>
      <c r="M259" s="2" t="str">
        <f t="shared" si="19"/>
        <v xml:space="preserve"> </v>
      </c>
    </row>
    <row r="260" spans="1:13" x14ac:dyDescent="0.25">
      <c r="A260" s="34" t="str">
        <f t="shared" si="15"/>
        <v xml:space="preserve"> </v>
      </c>
      <c r="D260" s="33"/>
      <c r="E260" s="33"/>
      <c r="J260" s="14">
        <f t="shared" si="16"/>
        <v>0</v>
      </c>
      <c r="K260" s="2" t="str">
        <f t="shared" si="17"/>
        <v xml:space="preserve"> </v>
      </c>
      <c r="L260" s="2" t="str">
        <f t="shared" si="18"/>
        <v xml:space="preserve"> </v>
      </c>
      <c r="M260" s="2" t="str">
        <f t="shared" si="19"/>
        <v xml:space="preserve"> </v>
      </c>
    </row>
    <row r="261" spans="1:13" x14ac:dyDescent="0.25">
      <c r="A261" s="34" t="str">
        <f t="shared" si="15"/>
        <v xml:space="preserve"> </v>
      </c>
      <c r="D261" s="33"/>
      <c r="E261" s="33"/>
      <c r="J261" s="14">
        <f t="shared" si="16"/>
        <v>0</v>
      </c>
      <c r="K261" s="2" t="str">
        <f t="shared" si="17"/>
        <v xml:space="preserve"> </v>
      </c>
      <c r="L261" s="2" t="str">
        <f t="shared" si="18"/>
        <v xml:space="preserve"> </v>
      </c>
      <c r="M261" s="2" t="str">
        <f t="shared" si="19"/>
        <v xml:space="preserve"> </v>
      </c>
    </row>
    <row r="262" spans="1:13" x14ac:dyDescent="0.25">
      <c r="A262" s="34" t="str">
        <f t="shared" si="15"/>
        <v xml:space="preserve"> </v>
      </c>
      <c r="D262" s="33"/>
      <c r="E262" s="33"/>
      <c r="J262" s="14">
        <f t="shared" si="16"/>
        <v>0</v>
      </c>
      <c r="K262" s="2" t="str">
        <f t="shared" si="17"/>
        <v xml:space="preserve"> </v>
      </c>
      <c r="L262" s="2" t="str">
        <f t="shared" si="18"/>
        <v xml:space="preserve"> </v>
      </c>
      <c r="M262" s="2" t="str">
        <f t="shared" si="19"/>
        <v xml:space="preserve"> </v>
      </c>
    </row>
    <row r="263" spans="1:13" x14ac:dyDescent="0.25">
      <c r="A263" s="34" t="str">
        <f t="shared" si="15"/>
        <v xml:space="preserve"> </v>
      </c>
      <c r="D263" s="33"/>
      <c r="E263" s="33"/>
      <c r="J263" s="14">
        <f t="shared" si="16"/>
        <v>0</v>
      </c>
      <c r="K263" s="2" t="str">
        <f t="shared" si="17"/>
        <v xml:space="preserve"> </v>
      </c>
      <c r="L263" s="2" t="str">
        <f t="shared" si="18"/>
        <v xml:space="preserve"> </v>
      </c>
      <c r="M263" s="2" t="str">
        <f t="shared" si="19"/>
        <v xml:space="preserve"> </v>
      </c>
    </row>
    <row r="264" spans="1:13" x14ac:dyDescent="0.25">
      <c r="A264" s="34" t="str">
        <f t="shared" si="15"/>
        <v xml:space="preserve"> </v>
      </c>
      <c r="D264" s="33"/>
      <c r="E264" s="33"/>
      <c r="J264" s="14">
        <f t="shared" si="16"/>
        <v>0</v>
      </c>
      <c r="K264" s="2" t="str">
        <f t="shared" si="17"/>
        <v xml:space="preserve"> </v>
      </c>
      <c r="L264" s="2" t="str">
        <f t="shared" si="18"/>
        <v xml:space="preserve"> </v>
      </c>
      <c r="M264" s="2" t="str">
        <f t="shared" si="19"/>
        <v xml:space="preserve"> </v>
      </c>
    </row>
    <row r="265" spans="1:13" x14ac:dyDescent="0.25">
      <c r="A265" s="34" t="str">
        <f t="shared" si="15"/>
        <v xml:space="preserve"> </v>
      </c>
      <c r="D265" s="33"/>
      <c r="E265" s="33"/>
      <c r="J265" s="14">
        <f t="shared" si="16"/>
        <v>0</v>
      </c>
      <c r="K265" s="2" t="str">
        <f t="shared" si="17"/>
        <v xml:space="preserve"> </v>
      </c>
      <c r="L265" s="2" t="str">
        <f t="shared" si="18"/>
        <v xml:space="preserve"> </v>
      </c>
      <c r="M265" s="2" t="str">
        <f t="shared" si="19"/>
        <v xml:space="preserve"> </v>
      </c>
    </row>
    <row r="266" spans="1:13" x14ac:dyDescent="0.25">
      <c r="A266" s="34" t="str">
        <f t="shared" si="15"/>
        <v xml:space="preserve"> </v>
      </c>
      <c r="D266" s="33"/>
      <c r="E266" s="33"/>
      <c r="J266" s="14">
        <f t="shared" si="16"/>
        <v>0</v>
      </c>
      <c r="K266" s="2" t="str">
        <f t="shared" si="17"/>
        <v xml:space="preserve"> </v>
      </c>
      <c r="L266" s="2" t="str">
        <f t="shared" si="18"/>
        <v xml:space="preserve"> </v>
      </c>
      <c r="M266" s="2" t="str">
        <f t="shared" si="19"/>
        <v xml:space="preserve"> </v>
      </c>
    </row>
    <row r="267" spans="1:13" x14ac:dyDescent="0.25">
      <c r="A267" s="34" t="str">
        <f t="shared" si="15"/>
        <v xml:space="preserve"> </v>
      </c>
      <c r="D267" s="33"/>
      <c r="E267" s="33"/>
      <c r="J267" s="14">
        <f t="shared" si="16"/>
        <v>0</v>
      </c>
      <c r="K267" s="2" t="str">
        <f t="shared" si="17"/>
        <v xml:space="preserve"> </v>
      </c>
      <c r="L267" s="2" t="str">
        <f t="shared" si="18"/>
        <v xml:space="preserve"> </v>
      </c>
      <c r="M267" s="2" t="str">
        <f t="shared" si="19"/>
        <v xml:space="preserve"> </v>
      </c>
    </row>
    <row r="268" spans="1:13" x14ac:dyDescent="0.25">
      <c r="A268" s="34" t="str">
        <f t="shared" si="15"/>
        <v xml:space="preserve"> </v>
      </c>
      <c r="D268" s="33"/>
      <c r="E268" s="33"/>
      <c r="J268" s="14">
        <f t="shared" si="16"/>
        <v>0</v>
      </c>
      <c r="K268" s="2" t="str">
        <f t="shared" si="17"/>
        <v xml:space="preserve"> </v>
      </c>
      <c r="L268" s="2" t="str">
        <f t="shared" si="18"/>
        <v xml:space="preserve"> </v>
      </c>
      <c r="M268" s="2" t="str">
        <f t="shared" si="19"/>
        <v xml:space="preserve"> </v>
      </c>
    </row>
    <row r="269" spans="1:13" x14ac:dyDescent="0.25">
      <c r="A269" s="34" t="str">
        <f t="shared" si="15"/>
        <v xml:space="preserve"> </v>
      </c>
      <c r="D269" s="33"/>
      <c r="E269" s="33"/>
      <c r="J269" s="14">
        <f t="shared" si="16"/>
        <v>0</v>
      </c>
      <c r="K269" s="2" t="str">
        <f t="shared" si="17"/>
        <v xml:space="preserve"> </v>
      </c>
      <c r="L269" s="2" t="str">
        <f t="shared" si="18"/>
        <v xml:space="preserve"> </v>
      </c>
      <c r="M269" s="2" t="str">
        <f t="shared" si="19"/>
        <v xml:space="preserve"> </v>
      </c>
    </row>
    <row r="270" spans="1:13" x14ac:dyDescent="0.25">
      <c r="A270" s="34" t="str">
        <f t="shared" si="15"/>
        <v xml:space="preserve"> </v>
      </c>
      <c r="D270" s="33"/>
      <c r="E270" s="33"/>
      <c r="J270" s="14">
        <f t="shared" si="16"/>
        <v>0</v>
      </c>
      <c r="K270" s="2" t="str">
        <f t="shared" si="17"/>
        <v xml:space="preserve"> </v>
      </c>
      <c r="L270" s="2" t="str">
        <f t="shared" si="18"/>
        <v xml:space="preserve"> </v>
      </c>
      <c r="M270" s="2" t="str">
        <f t="shared" si="19"/>
        <v xml:space="preserve"> </v>
      </c>
    </row>
    <row r="271" spans="1:13" x14ac:dyDescent="0.25">
      <c r="A271" s="34" t="str">
        <f t="shared" ref="A271:A334" si="20">IF(COUNTIF(K271:M271,"ERROR")&gt;0,"ERROR"," ")</f>
        <v xml:space="preserve"> </v>
      </c>
      <c r="D271" s="33"/>
      <c r="E271" s="33"/>
      <c r="J271" s="14">
        <f t="shared" ref="J271:J334" si="21">F271-G271+H271-I271</f>
        <v>0</v>
      </c>
      <c r="K271" s="2" t="str">
        <f t="shared" si="17"/>
        <v xml:space="preserve"> </v>
      </c>
      <c r="L271" s="2" t="str">
        <f t="shared" si="18"/>
        <v xml:space="preserve"> </v>
      </c>
      <c r="M271" s="2" t="str">
        <f t="shared" si="19"/>
        <v xml:space="preserve"> </v>
      </c>
    </row>
    <row r="272" spans="1:13" x14ac:dyDescent="0.25">
      <c r="A272" s="34" t="str">
        <f t="shared" si="20"/>
        <v xml:space="preserve"> </v>
      </c>
      <c r="D272" s="33"/>
      <c r="E272" s="33"/>
      <c r="J272" s="14">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4" t="str">
        <f t="shared" si="20"/>
        <v xml:space="preserve"> </v>
      </c>
      <c r="D273" s="33"/>
      <c r="E273" s="33"/>
      <c r="J273" s="14">
        <f t="shared" si="21"/>
        <v>0</v>
      </c>
      <c r="K273" s="2" t="str">
        <f t="shared" si="22"/>
        <v xml:space="preserve"> </v>
      </c>
      <c r="L273" s="2" t="str">
        <f t="shared" si="23"/>
        <v xml:space="preserve"> </v>
      </c>
      <c r="M273" s="2" t="str">
        <f t="shared" si="24"/>
        <v xml:space="preserve"> </v>
      </c>
    </row>
    <row r="274" spans="1:13" x14ac:dyDescent="0.25">
      <c r="A274" s="34" t="str">
        <f t="shared" si="20"/>
        <v xml:space="preserve"> </v>
      </c>
      <c r="D274" s="33"/>
      <c r="E274" s="33"/>
      <c r="J274" s="14">
        <f t="shared" si="21"/>
        <v>0</v>
      </c>
      <c r="K274" s="2" t="str">
        <f t="shared" si="22"/>
        <v xml:space="preserve"> </v>
      </c>
      <c r="L274" s="2" t="str">
        <f t="shared" si="23"/>
        <v xml:space="preserve"> </v>
      </c>
      <c r="M274" s="2" t="str">
        <f t="shared" si="24"/>
        <v xml:space="preserve"> </v>
      </c>
    </row>
    <row r="275" spans="1:13" x14ac:dyDescent="0.25">
      <c r="A275" s="34" t="str">
        <f t="shared" si="20"/>
        <v xml:space="preserve"> </v>
      </c>
      <c r="D275" s="33"/>
      <c r="E275" s="33"/>
      <c r="J275" s="14">
        <f t="shared" si="21"/>
        <v>0</v>
      </c>
      <c r="K275" s="2" t="str">
        <f t="shared" si="22"/>
        <v xml:space="preserve"> </v>
      </c>
      <c r="L275" s="2" t="str">
        <f t="shared" si="23"/>
        <v xml:space="preserve"> </v>
      </c>
      <c r="M275" s="2" t="str">
        <f t="shared" si="24"/>
        <v xml:space="preserve"> </v>
      </c>
    </row>
    <row r="276" spans="1:13" x14ac:dyDescent="0.25">
      <c r="A276" s="34" t="str">
        <f t="shared" si="20"/>
        <v xml:space="preserve"> </v>
      </c>
      <c r="D276" s="33"/>
      <c r="E276" s="33"/>
      <c r="J276" s="14">
        <f t="shared" si="21"/>
        <v>0</v>
      </c>
      <c r="K276" s="2" t="str">
        <f t="shared" si="22"/>
        <v xml:space="preserve"> </v>
      </c>
      <c r="L276" s="2" t="str">
        <f t="shared" si="23"/>
        <v xml:space="preserve"> </v>
      </c>
      <c r="M276" s="2" t="str">
        <f t="shared" si="24"/>
        <v xml:space="preserve"> </v>
      </c>
    </row>
    <row r="277" spans="1:13" x14ac:dyDescent="0.25">
      <c r="A277" s="34" t="str">
        <f t="shared" si="20"/>
        <v xml:space="preserve"> </v>
      </c>
      <c r="D277" s="33"/>
      <c r="E277" s="33"/>
      <c r="J277" s="14">
        <f t="shared" si="21"/>
        <v>0</v>
      </c>
      <c r="K277" s="2" t="str">
        <f t="shared" si="22"/>
        <v xml:space="preserve"> </v>
      </c>
      <c r="L277" s="2" t="str">
        <f t="shared" si="23"/>
        <v xml:space="preserve"> </v>
      </c>
      <c r="M277" s="2" t="str">
        <f t="shared" si="24"/>
        <v xml:space="preserve"> </v>
      </c>
    </row>
    <row r="278" spans="1:13" x14ac:dyDescent="0.25">
      <c r="A278" s="34" t="str">
        <f t="shared" si="20"/>
        <v xml:space="preserve"> </v>
      </c>
      <c r="D278" s="33"/>
      <c r="E278" s="33"/>
      <c r="J278" s="14">
        <f t="shared" si="21"/>
        <v>0</v>
      </c>
      <c r="K278" s="2" t="str">
        <f t="shared" si="22"/>
        <v xml:space="preserve"> </v>
      </c>
      <c r="L278" s="2" t="str">
        <f t="shared" si="23"/>
        <v xml:space="preserve"> </v>
      </c>
      <c r="M278" s="2" t="str">
        <f t="shared" si="24"/>
        <v xml:space="preserve"> </v>
      </c>
    </row>
    <row r="279" spans="1:13" x14ac:dyDescent="0.25">
      <c r="A279" s="34" t="str">
        <f t="shared" si="20"/>
        <v xml:space="preserve"> </v>
      </c>
      <c r="D279" s="33"/>
      <c r="E279" s="33"/>
      <c r="J279" s="14">
        <f t="shared" si="21"/>
        <v>0</v>
      </c>
      <c r="K279" s="2" t="str">
        <f t="shared" si="22"/>
        <v xml:space="preserve"> </v>
      </c>
      <c r="L279" s="2" t="str">
        <f t="shared" si="23"/>
        <v xml:space="preserve"> </v>
      </c>
      <c r="M279" s="2" t="str">
        <f t="shared" si="24"/>
        <v xml:space="preserve"> </v>
      </c>
    </row>
    <row r="280" spans="1:13" x14ac:dyDescent="0.25">
      <c r="A280" s="34" t="str">
        <f t="shared" si="20"/>
        <v xml:space="preserve"> </v>
      </c>
      <c r="D280" s="33"/>
      <c r="E280" s="33"/>
      <c r="J280" s="14">
        <f t="shared" si="21"/>
        <v>0</v>
      </c>
      <c r="K280" s="2" t="str">
        <f t="shared" si="22"/>
        <v xml:space="preserve"> </v>
      </c>
      <c r="L280" s="2" t="str">
        <f t="shared" si="23"/>
        <v xml:space="preserve"> </v>
      </c>
      <c r="M280" s="2" t="str">
        <f t="shared" si="24"/>
        <v xml:space="preserve"> </v>
      </c>
    </row>
    <row r="281" spans="1:13" x14ac:dyDescent="0.25">
      <c r="A281" s="34" t="str">
        <f t="shared" si="20"/>
        <v xml:space="preserve"> </v>
      </c>
      <c r="D281" s="33"/>
      <c r="E281" s="33"/>
      <c r="J281" s="14">
        <f t="shared" si="21"/>
        <v>0</v>
      </c>
      <c r="K281" s="2" t="str">
        <f t="shared" si="22"/>
        <v xml:space="preserve"> </v>
      </c>
      <c r="L281" s="2" t="str">
        <f t="shared" si="23"/>
        <v xml:space="preserve"> </v>
      </c>
      <c r="M281" s="2" t="str">
        <f t="shared" si="24"/>
        <v xml:space="preserve"> </v>
      </c>
    </row>
    <row r="282" spans="1:13" x14ac:dyDescent="0.25">
      <c r="A282" s="34" t="str">
        <f t="shared" si="20"/>
        <v xml:space="preserve"> </v>
      </c>
      <c r="D282" s="33"/>
      <c r="E282" s="33"/>
      <c r="J282" s="14">
        <f t="shared" si="21"/>
        <v>0</v>
      </c>
      <c r="K282" s="2" t="str">
        <f t="shared" si="22"/>
        <v xml:space="preserve"> </v>
      </c>
      <c r="L282" s="2" t="str">
        <f t="shared" si="23"/>
        <v xml:space="preserve"> </v>
      </c>
      <c r="M282" s="2" t="str">
        <f t="shared" si="24"/>
        <v xml:space="preserve"> </v>
      </c>
    </row>
    <row r="283" spans="1:13" x14ac:dyDescent="0.25">
      <c r="A283" s="34" t="str">
        <f t="shared" si="20"/>
        <v xml:space="preserve"> </v>
      </c>
      <c r="D283" s="33"/>
      <c r="E283" s="33"/>
      <c r="J283" s="14">
        <f t="shared" si="21"/>
        <v>0</v>
      </c>
      <c r="K283" s="2" t="str">
        <f t="shared" si="22"/>
        <v xml:space="preserve"> </v>
      </c>
      <c r="L283" s="2" t="str">
        <f t="shared" si="23"/>
        <v xml:space="preserve"> </v>
      </c>
      <c r="M283" s="2" t="str">
        <f t="shared" si="24"/>
        <v xml:space="preserve"> </v>
      </c>
    </row>
    <row r="284" spans="1:13" x14ac:dyDescent="0.25">
      <c r="A284" s="34" t="str">
        <f t="shared" si="20"/>
        <v xml:space="preserve"> </v>
      </c>
      <c r="D284" s="33"/>
      <c r="E284" s="33"/>
      <c r="J284" s="14">
        <f t="shared" si="21"/>
        <v>0</v>
      </c>
      <c r="K284" s="2" t="str">
        <f t="shared" si="22"/>
        <v xml:space="preserve"> </v>
      </c>
      <c r="L284" s="2" t="str">
        <f t="shared" si="23"/>
        <v xml:space="preserve"> </v>
      </c>
      <c r="M284" s="2" t="str">
        <f t="shared" si="24"/>
        <v xml:space="preserve"> </v>
      </c>
    </row>
    <row r="285" spans="1:13" x14ac:dyDescent="0.25">
      <c r="A285" s="34" t="str">
        <f t="shared" si="20"/>
        <v xml:space="preserve"> </v>
      </c>
      <c r="D285" s="33"/>
      <c r="E285" s="33"/>
      <c r="J285" s="14">
        <f t="shared" si="21"/>
        <v>0</v>
      </c>
      <c r="K285" s="2" t="str">
        <f t="shared" si="22"/>
        <v xml:space="preserve"> </v>
      </c>
      <c r="L285" s="2" t="str">
        <f t="shared" si="23"/>
        <v xml:space="preserve"> </v>
      </c>
      <c r="M285" s="2" t="str">
        <f t="shared" si="24"/>
        <v xml:space="preserve"> </v>
      </c>
    </row>
    <row r="286" spans="1:13" x14ac:dyDescent="0.25">
      <c r="A286" s="34" t="str">
        <f t="shared" si="20"/>
        <v xml:space="preserve"> </v>
      </c>
      <c r="D286" s="33"/>
      <c r="E286" s="33"/>
      <c r="J286" s="14">
        <f t="shared" si="21"/>
        <v>0</v>
      </c>
      <c r="K286" s="2" t="str">
        <f t="shared" si="22"/>
        <v xml:space="preserve"> </v>
      </c>
      <c r="L286" s="2" t="str">
        <f t="shared" si="23"/>
        <v xml:space="preserve"> </v>
      </c>
      <c r="M286" s="2" t="str">
        <f t="shared" si="24"/>
        <v xml:space="preserve"> </v>
      </c>
    </row>
    <row r="287" spans="1:13" x14ac:dyDescent="0.25">
      <c r="A287" s="34" t="str">
        <f t="shared" si="20"/>
        <v xml:space="preserve"> </v>
      </c>
      <c r="D287" s="33"/>
      <c r="E287" s="33"/>
      <c r="J287" s="14">
        <f t="shared" si="21"/>
        <v>0</v>
      </c>
      <c r="K287" s="2" t="str">
        <f t="shared" si="22"/>
        <v xml:space="preserve"> </v>
      </c>
      <c r="L287" s="2" t="str">
        <f t="shared" si="23"/>
        <v xml:space="preserve"> </v>
      </c>
      <c r="M287" s="2" t="str">
        <f t="shared" si="24"/>
        <v xml:space="preserve"> </v>
      </c>
    </row>
    <row r="288" spans="1:13" x14ac:dyDescent="0.25">
      <c r="A288" s="34" t="str">
        <f t="shared" si="20"/>
        <v xml:space="preserve"> </v>
      </c>
      <c r="D288" s="33"/>
      <c r="E288" s="33"/>
      <c r="J288" s="14">
        <f t="shared" si="21"/>
        <v>0</v>
      </c>
      <c r="K288" s="2" t="str">
        <f t="shared" si="22"/>
        <v xml:space="preserve"> </v>
      </c>
      <c r="L288" s="2" t="str">
        <f t="shared" si="23"/>
        <v xml:space="preserve"> </v>
      </c>
      <c r="M288" s="2" t="str">
        <f t="shared" si="24"/>
        <v xml:space="preserve"> </v>
      </c>
    </row>
    <row r="289" spans="1:13" x14ac:dyDescent="0.25">
      <c r="A289" s="34" t="str">
        <f t="shared" si="20"/>
        <v xml:space="preserve"> </v>
      </c>
      <c r="D289" s="33"/>
      <c r="E289" s="33"/>
      <c r="J289" s="14">
        <f t="shared" si="21"/>
        <v>0</v>
      </c>
      <c r="K289" s="2" t="str">
        <f t="shared" si="22"/>
        <v xml:space="preserve"> </v>
      </c>
      <c r="L289" s="2" t="str">
        <f t="shared" si="23"/>
        <v xml:space="preserve"> </v>
      </c>
      <c r="M289" s="2" t="str">
        <f t="shared" si="24"/>
        <v xml:space="preserve"> </v>
      </c>
    </row>
    <row r="290" spans="1:13" x14ac:dyDescent="0.25">
      <c r="A290" s="34" t="str">
        <f t="shared" si="20"/>
        <v xml:space="preserve"> </v>
      </c>
      <c r="D290" s="33"/>
      <c r="E290" s="33"/>
      <c r="J290" s="14">
        <f t="shared" si="21"/>
        <v>0</v>
      </c>
      <c r="K290" s="2" t="str">
        <f t="shared" si="22"/>
        <v xml:space="preserve"> </v>
      </c>
      <c r="L290" s="2" t="str">
        <f t="shared" si="23"/>
        <v xml:space="preserve"> </v>
      </c>
      <c r="M290" s="2" t="str">
        <f t="shared" si="24"/>
        <v xml:space="preserve"> </v>
      </c>
    </row>
    <row r="291" spans="1:13" x14ac:dyDescent="0.25">
      <c r="A291" s="34" t="str">
        <f t="shared" si="20"/>
        <v xml:space="preserve"> </v>
      </c>
      <c r="D291" s="33"/>
      <c r="E291" s="33"/>
      <c r="J291" s="14">
        <f t="shared" si="21"/>
        <v>0</v>
      </c>
      <c r="K291" s="2" t="str">
        <f t="shared" si="22"/>
        <v xml:space="preserve"> </v>
      </c>
      <c r="L291" s="2" t="str">
        <f t="shared" si="23"/>
        <v xml:space="preserve"> </v>
      </c>
      <c r="M291" s="2" t="str">
        <f t="shared" si="24"/>
        <v xml:space="preserve"> </v>
      </c>
    </row>
    <row r="292" spans="1:13" x14ac:dyDescent="0.25">
      <c r="A292" s="34" t="str">
        <f t="shared" si="20"/>
        <v xml:space="preserve"> </v>
      </c>
      <c r="D292" s="33"/>
      <c r="E292" s="33"/>
      <c r="J292" s="14">
        <f t="shared" si="21"/>
        <v>0</v>
      </c>
      <c r="K292" s="2" t="str">
        <f t="shared" si="22"/>
        <v xml:space="preserve"> </v>
      </c>
      <c r="L292" s="2" t="str">
        <f t="shared" si="23"/>
        <v xml:space="preserve"> </v>
      </c>
      <c r="M292" s="2" t="str">
        <f t="shared" si="24"/>
        <v xml:space="preserve"> </v>
      </c>
    </row>
    <row r="293" spans="1:13" x14ac:dyDescent="0.25">
      <c r="A293" s="34" t="str">
        <f t="shared" si="20"/>
        <v xml:space="preserve"> </v>
      </c>
      <c r="D293" s="33"/>
      <c r="E293" s="33"/>
      <c r="J293" s="14">
        <f t="shared" si="21"/>
        <v>0</v>
      </c>
      <c r="K293" s="2" t="str">
        <f t="shared" si="22"/>
        <v xml:space="preserve"> </v>
      </c>
      <c r="L293" s="2" t="str">
        <f t="shared" si="23"/>
        <v xml:space="preserve"> </v>
      </c>
      <c r="M293" s="2" t="str">
        <f t="shared" si="24"/>
        <v xml:space="preserve"> </v>
      </c>
    </row>
    <row r="294" spans="1:13" x14ac:dyDescent="0.25">
      <c r="A294" s="34" t="str">
        <f t="shared" si="20"/>
        <v xml:space="preserve"> </v>
      </c>
      <c r="D294" s="33"/>
      <c r="E294" s="33"/>
      <c r="J294" s="14">
        <f t="shared" si="21"/>
        <v>0</v>
      </c>
      <c r="K294" s="2" t="str">
        <f t="shared" si="22"/>
        <v xml:space="preserve"> </v>
      </c>
      <c r="L294" s="2" t="str">
        <f t="shared" si="23"/>
        <v xml:space="preserve"> </v>
      </c>
      <c r="M294" s="2" t="str">
        <f t="shared" si="24"/>
        <v xml:space="preserve"> </v>
      </c>
    </row>
    <row r="295" spans="1:13" x14ac:dyDescent="0.25">
      <c r="A295" s="34" t="str">
        <f t="shared" si="20"/>
        <v xml:space="preserve"> </v>
      </c>
      <c r="D295" s="33"/>
      <c r="E295" s="33"/>
      <c r="J295" s="14">
        <f t="shared" si="21"/>
        <v>0</v>
      </c>
      <c r="K295" s="2" t="str">
        <f t="shared" si="22"/>
        <v xml:space="preserve"> </v>
      </c>
      <c r="L295" s="2" t="str">
        <f t="shared" si="23"/>
        <v xml:space="preserve"> </v>
      </c>
      <c r="M295" s="2" t="str">
        <f t="shared" si="24"/>
        <v xml:space="preserve"> </v>
      </c>
    </row>
    <row r="296" spans="1:13" x14ac:dyDescent="0.25">
      <c r="A296" s="34" t="str">
        <f t="shared" si="20"/>
        <v xml:space="preserve"> </v>
      </c>
      <c r="D296" s="33"/>
      <c r="E296" s="33"/>
      <c r="J296" s="14">
        <f t="shared" si="21"/>
        <v>0</v>
      </c>
      <c r="K296" s="2" t="str">
        <f t="shared" si="22"/>
        <v xml:space="preserve"> </v>
      </c>
      <c r="L296" s="2" t="str">
        <f t="shared" si="23"/>
        <v xml:space="preserve"> </v>
      </c>
      <c r="M296" s="2" t="str">
        <f t="shared" si="24"/>
        <v xml:space="preserve"> </v>
      </c>
    </row>
    <row r="297" spans="1:13" x14ac:dyDescent="0.25">
      <c r="A297" s="34" t="str">
        <f t="shared" si="20"/>
        <v xml:space="preserve"> </v>
      </c>
      <c r="D297" s="33"/>
      <c r="E297" s="33"/>
      <c r="J297" s="14">
        <f t="shared" si="21"/>
        <v>0</v>
      </c>
      <c r="K297" s="2" t="str">
        <f t="shared" si="22"/>
        <v xml:space="preserve"> </v>
      </c>
      <c r="L297" s="2" t="str">
        <f t="shared" si="23"/>
        <v xml:space="preserve"> </v>
      </c>
      <c r="M297" s="2" t="str">
        <f t="shared" si="24"/>
        <v xml:space="preserve"> </v>
      </c>
    </row>
    <row r="298" spans="1:13" x14ac:dyDescent="0.25">
      <c r="A298" s="34" t="str">
        <f t="shared" si="20"/>
        <v xml:space="preserve"> </v>
      </c>
      <c r="D298" s="33"/>
      <c r="E298" s="33"/>
      <c r="J298" s="14">
        <f t="shared" si="21"/>
        <v>0</v>
      </c>
      <c r="K298" s="2" t="str">
        <f t="shared" si="22"/>
        <v xml:space="preserve"> </v>
      </c>
      <c r="L298" s="2" t="str">
        <f t="shared" si="23"/>
        <v xml:space="preserve"> </v>
      </c>
      <c r="M298" s="2" t="str">
        <f t="shared" si="24"/>
        <v xml:space="preserve"> </v>
      </c>
    </row>
    <row r="299" spans="1:13" x14ac:dyDescent="0.25">
      <c r="A299" s="34" t="str">
        <f t="shared" si="20"/>
        <v xml:space="preserve"> </v>
      </c>
      <c r="D299" s="33"/>
      <c r="E299" s="33"/>
      <c r="J299" s="14">
        <f t="shared" si="21"/>
        <v>0</v>
      </c>
      <c r="K299" s="2" t="str">
        <f t="shared" si="22"/>
        <v xml:space="preserve"> </v>
      </c>
      <c r="L299" s="2" t="str">
        <f t="shared" si="23"/>
        <v xml:space="preserve"> </v>
      </c>
      <c r="M299" s="2" t="str">
        <f t="shared" si="24"/>
        <v xml:space="preserve"> </v>
      </c>
    </row>
    <row r="300" spans="1:13" x14ac:dyDescent="0.25">
      <c r="A300" s="34" t="str">
        <f t="shared" si="20"/>
        <v xml:space="preserve"> </v>
      </c>
      <c r="D300" s="33"/>
      <c r="E300" s="33"/>
      <c r="J300" s="14">
        <f t="shared" si="21"/>
        <v>0</v>
      </c>
      <c r="K300" s="2" t="str">
        <f t="shared" si="22"/>
        <v xml:space="preserve"> </v>
      </c>
      <c r="L300" s="2" t="str">
        <f t="shared" si="23"/>
        <v xml:space="preserve"> </v>
      </c>
      <c r="M300" s="2" t="str">
        <f t="shared" si="24"/>
        <v xml:space="preserve"> </v>
      </c>
    </row>
    <row r="301" spans="1:13" x14ac:dyDescent="0.25">
      <c r="A301" s="34" t="str">
        <f t="shared" si="20"/>
        <v xml:space="preserve"> </v>
      </c>
      <c r="D301" s="33"/>
      <c r="E301" s="33"/>
      <c r="J301" s="14">
        <f t="shared" si="21"/>
        <v>0</v>
      </c>
      <c r="K301" s="2" t="str">
        <f t="shared" si="22"/>
        <v xml:space="preserve"> </v>
      </c>
      <c r="L301" s="2" t="str">
        <f t="shared" si="23"/>
        <v xml:space="preserve"> </v>
      </c>
      <c r="M301" s="2" t="str">
        <f t="shared" si="24"/>
        <v xml:space="preserve"> </v>
      </c>
    </row>
    <row r="302" spans="1:13" x14ac:dyDescent="0.25">
      <c r="A302" s="34" t="str">
        <f t="shared" si="20"/>
        <v xml:space="preserve"> </v>
      </c>
      <c r="D302" s="33"/>
      <c r="E302" s="33"/>
      <c r="J302" s="14">
        <f t="shared" si="21"/>
        <v>0</v>
      </c>
      <c r="K302" s="2" t="str">
        <f t="shared" si="22"/>
        <v xml:space="preserve"> </v>
      </c>
      <c r="L302" s="2" t="str">
        <f t="shared" si="23"/>
        <v xml:space="preserve"> </v>
      </c>
      <c r="M302" s="2" t="str">
        <f t="shared" si="24"/>
        <v xml:space="preserve"> </v>
      </c>
    </row>
    <row r="303" spans="1:13" x14ac:dyDescent="0.25">
      <c r="A303" s="34" t="str">
        <f t="shared" si="20"/>
        <v xml:space="preserve"> </v>
      </c>
      <c r="D303" s="33"/>
      <c r="E303" s="33"/>
      <c r="J303" s="14">
        <f t="shared" si="21"/>
        <v>0</v>
      </c>
      <c r="K303" s="2" t="str">
        <f t="shared" si="22"/>
        <v xml:space="preserve"> </v>
      </c>
      <c r="L303" s="2" t="str">
        <f t="shared" si="23"/>
        <v xml:space="preserve"> </v>
      </c>
      <c r="M303" s="2" t="str">
        <f t="shared" si="24"/>
        <v xml:space="preserve"> </v>
      </c>
    </row>
    <row r="304" spans="1:13" x14ac:dyDescent="0.25">
      <c r="A304" s="34" t="str">
        <f t="shared" si="20"/>
        <v xml:space="preserve"> </v>
      </c>
      <c r="D304" s="33"/>
      <c r="E304" s="33"/>
      <c r="J304" s="14">
        <f t="shared" si="21"/>
        <v>0</v>
      </c>
      <c r="K304" s="2" t="str">
        <f t="shared" si="22"/>
        <v xml:space="preserve"> </v>
      </c>
      <c r="L304" s="2" t="str">
        <f t="shared" si="23"/>
        <v xml:space="preserve"> </v>
      </c>
      <c r="M304" s="2" t="str">
        <f t="shared" si="24"/>
        <v xml:space="preserve"> </v>
      </c>
    </row>
    <row r="305" spans="1:13" x14ac:dyDescent="0.25">
      <c r="A305" s="34" t="str">
        <f t="shared" si="20"/>
        <v xml:space="preserve"> </v>
      </c>
      <c r="D305" s="33"/>
      <c r="E305" s="33"/>
      <c r="J305" s="14">
        <f t="shared" si="21"/>
        <v>0</v>
      </c>
      <c r="K305" s="2" t="str">
        <f t="shared" si="22"/>
        <v xml:space="preserve"> </v>
      </c>
      <c r="L305" s="2" t="str">
        <f t="shared" si="23"/>
        <v xml:space="preserve"> </v>
      </c>
      <c r="M305" s="2" t="str">
        <f t="shared" si="24"/>
        <v xml:space="preserve"> </v>
      </c>
    </row>
    <row r="306" spans="1:13" x14ac:dyDescent="0.25">
      <c r="A306" s="34" t="str">
        <f t="shared" si="20"/>
        <v xml:space="preserve"> </v>
      </c>
      <c r="D306" s="33"/>
      <c r="E306" s="33"/>
      <c r="J306" s="14">
        <f t="shared" si="21"/>
        <v>0</v>
      </c>
      <c r="K306" s="2" t="str">
        <f t="shared" si="22"/>
        <v xml:space="preserve"> </v>
      </c>
      <c r="L306" s="2" t="str">
        <f t="shared" si="23"/>
        <v xml:space="preserve"> </v>
      </c>
      <c r="M306" s="2" t="str">
        <f t="shared" si="24"/>
        <v xml:space="preserve"> </v>
      </c>
    </row>
    <row r="307" spans="1:13" x14ac:dyDescent="0.25">
      <c r="A307" s="34" t="str">
        <f t="shared" si="20"/>
        <v xml:space="preserve"> </v>
      </c>
      <c r="D307" s="33"/>
      <c r="E307" s="33"/>
      <c r="J307" s="14">
        <f t="shared" si="21"/>
        <v>0</v>
      </c>
      <c r="K307" s="2" t="str">
        <f t="shared" si="22"/>
        <v xml:space="preserve"> </v>
      </c>
      <c r="L307" s="2" t="str">
        <f t="shared" si="23"/>
        <v xml:space="preserve"> </v>
      </c>
      <c r="M307" s="2" t="str">
        <f t="shared" si="24"/>
        <v xml:space="preserve"> </v>
      </c>
    </row>
    <row r="308" spans="1:13" x14ac:dyDescent="0.25">
      <c r="A308" s="34" t="str">
        <f t="shared" si="20"/>
        <v xml:space="preserve"> </v>
      </c>
      <c r="D308" s="33"/>
      <c r="E308" s="33"/>
      <c r="J308" s="14">
        <f t="shared" si="21"/>
        <v>0</v>
      </c>
      <c r="K308" s="2" t="str">
        <f t="shared" si="22"/>
        <v xml:space="preserve"> </v>
      </c>
      <c r="L308" s="2" t="str">
        <f t="shared" si="23"/>
        <v xml:space="preserve"> </v>
      </c>
      <c r="M308" s="2" t="str">
        <f t="shared" si="24"/>
        <v xml:space="preserve"> </v>
      </c>
    </row>
    <row r="309" spans="1:13" x14ac:dyDescent="0.25">
      <c r="A309" s="34" t="str">
        <f t="shared" si="20"/>
        <v xml:space="preserve"> </v>
      </c>
      <c r="D309" s="33"/>
      <c r="E309" s="33"/>
      <c r="J309" s="14">
        <f t="shared" si="21"/>
        <v>0</v>
      </c>
      <c r="K309" s="2" t="str">
        <f t="shared" si="22"/>
        <v xml:space="preserve"> </v>
      </c>
      <c r="L309" s="2" t="str">
        <f t="shared" si="23"/>
        <v xml:space="preserve"> </v>
      </c>
      <c r="M309" s="2" t="str">
        <f t="shared" si="24"/>
        <v xml:space="preserve"> </v>
      </c>
    </row>
    <row r="310" spans="1:13" x14ac:dyDescent="0.25">
      <c r="A310" s="34" t="str">
        <f t="shared" si="20"/>
        <v xml:space="preserve"> </v>
      </c>
      <c r="D310" s="33"/>
      <c r="E310" s="33"/>
      <c r="J310" s="14">
        <f t="shared" si="21"/>
        <v>0</v>
      </c>
      <c r="K310" s="2" t="str">
        <f t="shared" si="22"/>
        <v xml:space="preserve"> </v>
      </c>
      <c r="L310" s="2" t="str">
        <f t="shared" si="23"/>
        <v xml:space="preserve"> </v>
      </c>
      <c r="M310" s="2" t="str">
        <f t="shared" si="24"/>
        <v xml:space="preserve"> </v>
      </c>
    </row>
    <row r="311" spans="1:13" x14ac:dyDescent="0.25">
      <c r="A311" s="34" t="str">
        <f t="shared" si="20"/>
        <v xml:space="preserve"> </v>
      </c>
      <c r="D311" s="33"/>
      <c r="E311" s="33"/>
      <c r="J311" s="14">
        <f t="shared" si="21"/>
        <v>0</v>
      </c>
      <c r="K311" s="2" t="str">
        <f t="shared" si="22"/>
        <v xml:space="preserve"> </v>
      </c>
      <c r="L311" s="2" t="str">
        <f t="shared" si="23"/>
        <v xml:space="preserve"> </v>
      </c>
      <c r="M311" s="2" t="str">
        <f t="shared" si="24"/>
        <v xml:space="preserve"> </v>
      </c>
    </row>
    <row r="312" spans="1:13" x14ac:dyDescent="0.25">
      <c r="A312" s="34" t="str">
        <f t="shared" si="20"/>
        <v xml:space="preserve"> </v>
      </c>
      <c r="D312" s="33"/>
      <c r="E312" s="33"/>
      <c r="J312" s="14">
        <f t="shared" si="21"/>
        <v>0</v>
      </c>
      <c r="K312" s="2" t="str">
        <f t="shared" si="22"/>
        <v xml:space="preserve"> </v>
      </c>
      <c r="L312" s="2" t="str">
        <f t="shared" si="23"/>
        <v xml:space="preserve"> </v>
      </c>
      <c r="M312" s="2" t="str">
        <f t="shared" si="24"/>
        <v xml:space="preserve"> </v>
      </c>
    </row>
    <row r="313" spans="1:13" x14ac:dyDescent="0.25">
      <c r="A313" s="34" t="str">
        <f t="shared" si="20"/>
        <v xml:space="preserve"> </v>
      </c>
      <c r="D313" s="33"/>
      <c r="E313" s="33"/>
      <c r="J313" s="14">
        <f t="shared" si="21"/>
        <v>0</v>
      </c>
      <c r="K313" s="2" t="str">
        <f t="shared" si="22"/>
        <v xml:space="preserve"> </v>
      </c>
      <c r="L313" s="2" t="str">
        <f t="shared" si="23"/>
        <v xml:space="preserve"> </v>
      </c>
      <c r="M313" s="2" t="str">
        <f t="shared" si="24"/>
        <v xml:space="preserve"> </v>
      </c>
    </row>
    <row r="314" spans="1:13" x14ac:dyDescent="0.25">
      <c r="A314" s="34" t="str">
        <f t="shared" si="20"/>
        <v xml:space="preserve"> </v>
      </c>
      <c r="D314" s="33"/>
      <c r="E314" s="33"/>
      <c r="J314" s="14">
        <f t="shared" si="21"/>
        <v>0</v>
      </c>
      <c r="K314" s="2" t="str">
        <f t="shared" si="22"/>
        <v xml:space="preserve"> </v>
      </c>
      <c r="L314" s="2" t="str">
        <f t="shared" si="23"/>
        <v xml:space="preserve"> </v>
      </c>
      <c r="M314" s="2" t="str">
        <f t="shared" si="24"/>
        <v xml:space="preserve"> </v>
      </c>
    </row>
    <row r="315" spans="1:13" x14ac:dyDescent="0.25">
      <c r="A315" s="34" t="str">
        <f t="shared" si="20"/>
        <v xml:space="preserve"> </v>
      </c>
      <c r="D315" s="33"/>
      <c r="E315" s="33"/>
      <c r="J315" s="14">
        <f t="shared" si="21"/>
        <v>0</v>
      </c>
      <c r="K315" s="2" t="str">
        <f t="shared" si="22"/>
        <v xml:space="preserve"> </v>
      </c>
      <c r="L315" s="2" t="str">
        <f t="shared" si="23"/>
        <v xml:space="preserve"> </v>
      </c>
      <c r="M315" s="2" t="str">
        <f t="shared" si="24"/>
        <v xml:space="preserve"> </v>
      </c>
    </row>
    <row r="316" spans="1:13" x14ac:dyDescent="0.25">
      <c r="A316" s="34" t="str">
        <f t="shared" si="20"/>
        <v xml:space="preserve"> </v>
      </c>
      <c r="D316" s="33"/>
      <c r="E316" s="33"/>
      <c r="J316" s="14">
        <f t="shared" si="21"/>
        <v>0</v>
      </c>
      <c r="K316" s="2" t="str">
        <f t="shared" si="22"/>
        <v xml:space="preserve"> </v>
      </c>
      <c r="L316" s="2" t="str">
        <f t="shared" si="23"/>
        <v xml:space="preserve"> </v>
      </c>
      <c r="M316" s="2" t="str">
        <f t="shared" si="24"/>
        <v xml:space="preserve"> </v>
      </c>
    </row>
    <row r="317" spans="1:13" x14ac:dyDescent="0.25">
      <c r="A317" s="34" t="str">
        <f t="shared" si="20"/>
        <v xml:space="preserve"> </v>
      </c>
      <c r="D317" s="33"/>
      <c r="E317" s="33"/>
      <c r="J317" s="14">
        <f t="shared" si="21"/>
        <v>0</v>
      </c>
      <c r="K317" s="2" t="str">
        <f t="shared" si="22"/>
        <v xml:space="preserve"> </v>
      </c>
      <c r="L317" s="2" t="str">
        <f t="shared" si="23"/>
        <v xml:space="preserve"> </v>
      </c>
      <c r="M317" s="2" t="str">
        <f t="shared" si="24"/>
        <v xml:space="preserve"> </v>
      </c>
    </row>
    <row r="318" spans="1:13" x14ac:dyDescent="0.25">
      <c r="A318" s="34" t="str">
        <f t="shared" si="20"/>
        <v xml:space="preserve"> </v>
      </c>
      <c r="D318" s="33"/>
      <c r="E318" s="33"/>
      <c r="J318" s="14">
        <f t="shared" si="21"/>
        <v>0</v>
      </c>
      <c r="K318" s="2" t="str">
        <f t="shared" si="22"/>
        <v xml:space="preserve"> </v>
      </c>
      <c r="L318" s="2" t="str">
        <f t="shared" si="23"/>
        <v xml:space="preserve"> </v>
      </c>
      <c r="M318" s="2" t="str">
        <f t="shared" si="24"/>
        <v xml:space="preserve"> </v>
      </c>
    </row>
    <row r="319" spans="1:13" x14ac:dyDescent="0.25">
      <c r="A319" s="34" t="str">
        <f t="shared" si="20"/>
        <v xml:space="preserve"> </v>
      </c>
      <c r="D319" s="33"/>
      <c r="E319" s="33"/>
      <c r="J319" s="14">
        <f t="shared" si="21"/>
        <v>0</v>
      </c>
      <c r="K319" s="2" t="str">
        <f t="shared" si="22"/>
        <v xml:space="preserve"> </v>
      </c>
      <c r="L319" s="2" t="str">
        <f t="shared" si="23"/>
        <v xml:space="preserve"> </v>
      </c>
      <c r="M319" s="2" t="str">
        <f t="shared" si="24"/>
        <v xml:space="preserve"> </v>
      </c>
    </row>
    <row r="320" spans="1:13" x14ac:dyDescent="0.25">
      <c r="A320" s="34" t="str">
        <f t="shared" si="20"/>
        <v xml:space="preserve"> </v>
      </c>
      <c r="D320" s="33"/>
      <c r="E320" s="33"/>
      <c r="J320" s="14">
        <f t="shared" si="21"/>
        <v>0</v>
      </c>
      <c r="K320" s="2" t="str">
        <f t="shared" si="22"/>
        <v xml:space="preserve"> </v>
      </c>
      <c r="L320" s="2" t="str">
        <f t="shared" si="23"/>
        <v xml:space="preserve"> </v>
      </c>
      <c r="M320" s="2" t="str">
        <f t="shared" si="24"/>
        <v xml:space="preserve"> </v>
      </c>
    </row>
    <row r="321" spans="1:13" x14ac:dyDescent="0.25">
      <c r="A321" s="34" t="str">
        <f t="shared" si="20"/>
        <v xml:space="preserve"> </v>
      </c>
      <c r="D321" s="33"/>
      <c r="E321" s="33"/>
      <c r="J321" s="14">
        <f t="shared" si="21"/>
        <v>0</v>
      </c>
      <c r="K321" s="2" t="str">
        <f t="shared" si="22"/>
        <v xml:space="preserve"> </v>
      </c>
      <c r="L321" s="2" t="str">
        <f t="shared" si="23"/>
        <v xml:space="preserve"> </v>
      </c>
      <c r="M321" s="2" t="str">
        <f t="shared" si="24"/>
        <v xml:space="preserve"> </v>
      </c>
    </row>
    <row r="322" spans="1:13" x14ac:dyDescent="0.25">
      <c r="A322" s="34" t="str">
        <f t="shared" si="20"/>
        <v xml:space="preserve"> </v>
      </c>
      <c r="D322" s="33"/>
      <c r="E322" s="33"/>
      <c r="J322" s="14">
        <f t="shared" si="21"/>
        <v>0</v>
      </c>
      <c r="K322" s="2" t="str">
        <f t="shared" si="22"/>
        <v xml:space="preserve"> </v>
      </c>
      <c r="L322" s="2" t="str">
        <f t="shared" si="23"/>
        <v xml:space="preserve"> </v>
      </c>
      <c r="M322" s="2" t="str">
        <f t="shared" si="24"/>
        <v xml:space="preserve"> </v>
      </c>
    </row>
    <row r="323" spans="1:13" x14ac:dyDescent="0.25">
      <c r="A323" s="34" t="str">
        <f t="shared" si="20"/>
        <v xml:space="preserve"> </v>
      </c>
      <c r="D323" s="33"/>
      <c r="E323" s="33"/>
      <c r="J323" s="14">
        <f t="shared" si="21"/>
        <v>0</v>
      </c>
      <c r="K323" s="2" t="str">
        <f t="shared" si="22"/>
        <v xml:space="preserve"> </v>
      </c>
      <c r="L323" s="2" t="str">
        <f t="shared" si="23"/>
        <v xml:space="preserve"> </v>
      </c>
      <c r="M323" s="2" t="str">
        <f t="shared" si="24"/>
        <v xml:space="preserve"> </v>
      </c>
    </row>
    <row r="324" spans="1:13" x14ac:dyDescent="0.25">
      <c r="A324" s="34" t="str">
        <f t="shared" si="20"/>
        <v xml:space="preserve"> </v>
      </c>
      <c r="D324" s="33"/>
      <c r="E324" s="33"/>
      <c r="J324" s="14">
        <f t="shared" si="21"/>
        <v>0</v>
      </c>
      <c r="K324" s="2" t="str">
        <f t="shared" si="22"/>
        <v xml:space="preserve"> </v>
      </c>
      <c r="L324" s="2" t="str">
        <f t="shared" si="23"/>
        <v xml:space="preserve"> </v>
      </c>
      <c r="M324" s="2" t="str">
        <f t="shared" si="24"/>
        <v xml:space="preserve"> </v>
      </c>
    </row>
    <row r="325" spans="1:13" x14ac:dyDescent="0.25">
      <c r="A325" s="34" t="str">
        <f t="shared" si="20"/>
        <v xml:space="preserve"> </v>
      </c>
      <c r="D325" s="33"/>
      <c r="E325" s="33"/>
      <c r="J325" s="14">
        <f t="shared" si="21"/>
        <v>0</v>
      </c>
      <c r="K325" s="2" t="str">
        <f t="shared" si="22"/>
        <v xml:space="preserve"> </v>
      </c>
      <c r="L325" s="2" t="str">
        <f t="shared" si="23"/>
        <v xml:space="preserve"> </v>
      </c>
      <c r="M325" s="2" t="str">
        <f t="shared" si="24"/>
        <v xml:space="preserve"> </v>
      </c>
    </row>
    <row r="326" spans="1:13" x14ac:dyDescent="0.25">
      <c r="A326" s="34" t="str">
        <f t="shared" si="20"/>
        <v xml:space="preserve"> </v>
      </c>
      <c r="D326" s="33"/>
      <c r="E326" s="33"/>
      <c r="J326" s="14">
        <f t="shared" si="21"/>
        <v>0</v>
      </c>
      <c r="K326" s="2" t="str">
        <f t="shared" si="22"/>
        <v xml:space="preserve"> </v>
      </c>
      <c r="L326" s="2" t="str">
        <f t="shared" si="23"/>
        <v xml:space="preserve"> </v>
      </c>
      <c r="M326" s="2" t="str">
        <f t="shared" si="24"/>
        <v xml:space="preserve"> </v>
      </c>
    </row>
    <row r="327" spans="1:13" x14ac:dyDescent="0.25">
      <c r="A327" s="34" t="str">
        <f t="shared" si="20"/>
        <v xml:space="preserve"> </v>
      </c>
      <c r="D327" s="33"/>
      <c r="E327" s="33"/>
      <c r="J327" s="14">
        <f t="shared" si="21"/>
        <v>0</v>
      </c>
      <c r="K327" s="2" t="str">
        <f t="shared" si="22"/>
        <v xml:space="preserve"> </v>
      </c>
      <c r="L327" s="2" t="str">
        <f t="shared" si="23"/>
        <v xml:space="preserve"> </v>
      </c>
      <c r="M327" s="2" t="str">
        <f t="shared" si="24"/>
        <v xml:space="preserve"> </v>
      </c>
    </row>
    <row r="328" spans="1:13" x14ac:dyDescent="0.25">
      <c r="A328" s="34" t="str">
        <f t="shared" si="20"/>
        <v xml:space="preserve"> </v>
      </c>
      <c r="D328" s="33"/>
      <c r="E328" s="33"/>
      <c r="J328" s="14">
        <f t="shared" si="21"/>
        <v>0</v>
      </c>
      <c r="K328" s="2" t="str">
        <f t="shared" si="22"/>
        <v xml:space="preserve"> </v>
      </c>
      <c r="L328" s="2" t="str">
        <f t="shared" si="23"/>
        <v xml:space="preserve"> </v>
      </c>
      <c r="M328" s="2" t="str">
        <f t="shared" si="24"/>
        <v xml:space="preserve"> </v>
      </c>
    </row>
    <row r="329" spans="1:13" x14ac:dyDescent="0.25">
      <c r="A329" s="34" t="str">
        <f t="shared" si="20"/>
        <v xml:space="preserve"> </v>
      </c>
      <c r="D329" s="33"/>
      <c r="E329" s="33"/>
      <c r="J329" s="14">
        <f t="shared" si="21"/>
        <v>0</v>
      </c>
      <c r="K329" s="2" t="str">
        <f t="shared" si="22"/>
        <v xml:space="preserve"> </v>
      </c>
      <c r="L329" s="2" t="str">
        <f t="shared" si="23"/>
        <v xml:space="preserve"> </v>
      </c>
      <c r="M329" s="2" t="str">
        <f t="shared" si="24"/>
        <v xml:space="preserve"> </v>
      </c>
    </row>
    <row r="330" spans="1:13" x14ac:dyDescent="0.25">
      <c r="A330" s="34" t="str">
        <f t="shared" si="20"/>
        <v xml:space="preserve"> </v>
      </c>
      <c r="D330" s="33"/>
      <c r="E330" s="33"/>
      <c r="J330" s="14">
        <f t="shared" si="21"/>
        <v>0</v>
      </c>
      <c r="K330" s="2" t="str">
        <f t="shared" si="22"/>
        <v xml:space="preserve"> </v>
      </c>
      <c r="L330" s="2" t="str">
        <f t="shared" si="23"/>
        <v xml:space="preserve"> </v>
      </c>
      <c r="M330" s="2" t="str">
        <f t="shared" si="24"/>
        <v xml:space="preserve"> </v>
      </c>
    </row>
    <row r="331" spans="1:13" x14ac:dyDescent="0.25">
      <c r="A331" s="34" t="str">
        <f t="shared" si="20"/>
        <v xml:space="preserve"> </v>
      </c>
      <c r="D331" s="33"/>
      <c r="E331" s="33"/>
      <c r="J331" s="14">
        <f t="shared" si="21"/>
        <v>0</v>
      </c>
      <c r="K331" s="2" t="str">
        <f t="shared" si="22"/>
        <v xml:space="preserve"> </v>
      </c>
      <c r="L331" s="2" t="str">
        <f t="shared" si="23"/>
        <v xml:space="preserve"> </v>
      </c>
      <c r="M331" s="2" t="str">
        <f t="shared" si="24"/>
        <v xml:space="preserve"> </v>
      </c>
    </row>
    <row r="332" spans="1:13" x14ac:dyDescent="0.25">
      <c r="A332" s="34" t="str">
        <f t="shared" si="20"/>
        <v xml:space="preserve"> </v>
      </c>
      <c r="D332" s="33"/>
      <c r="E332" s="33"/>
      <c r="J332" s="14">
        <f t="shared" si="21"/>
        <v>0</v>
      </c>
      <c r="K332" s="2" t="str">
        <f t="shared" si="22"/>
        <v xml:space="preserve"> </v>
      </c>
      <c r="L332" s="2" t="str">
        <f t="shared" si="23"/>
        <v xml:space="preserve"> </v>
      </c>
      <c r="M332" s="2" t="str">
        <f t="shared" si="24"/>
        <v xml:space="preserve"> </v>
      </c>
    </row>
    <row r="333" spans="1:13" x14ac:dyDescent="0.25">
      <c r="A333" s="34" t="str">
        <f t="shared" si="20"/>
        <v xml:space="preserve"> </v>
      </c>
      <c r="D333" s="33"/>
      <c r="E333" s="33"/>
      <c r="J333" s="14">
        <f t="shared" si="21"/>
        <v>0</v>
      </c>
      <c r="K333" s="2" t="str">
        <f t="shared" si="22"/>
        <v xml:space="preserve"> </v>
      </c>
      <c r="L333" s="2" t="str">
        <f t="shared" si="23"/>
        <v xml:space="preserve"> </v>
      </c>
      <c r="M333" s="2" t="str">
        <f t="shared" si="24"/>
        <v xml:space="preserve"> </v>
      </c>
    </row>
    <row r="334" spans="1:13" x14ac:dyDescent="0.25">
      <c r="A334" s="34" t="str">
        <f t="shared" si="20"/>
        <v xml:space="preserve"> </v>
      </c>
      <c r="D334" s="33"/>
      <c r="E334" s="33"/>
      <c r="J334" s="14">
        <f t="shared" si="21"/>
        <v>0</v>
      </c>
      <c r="K334" s="2" t="str">
        <f t="shared" si="22"/>
        <v xml:space="preserve"> </v>
      </c>
      <c r="L334" s="2" t="str">
        <f t="shared" si="23"/>
        <v xml:space="preserve"> </v>
      </c>
      <c r="M334" s="2" t="str">
        <f t="shared" si="24"/>
        <v xml:space="preserve"> </v>
      </c>
    </row>
    <row r="335" spans="1:13" x14ac:dyDescent="0.25">
      <c r="A335" s="34" t="str">
        <f t="shared" ref="A335:A398" si="25">IF(COUNTIF(K335:M335,"ERROR")&gt;0,"ERROR"," ")</f>
        <v xml:space="preserve"> </v>
      </c>
      <c r="D335" s="33"/>
      <c r="E335" s="33"/>
      <c r="J335" s="14">
        <f t="shared" ref="J335:J396" si="26">F335-G335+H335-I335</f>
        <v>0</v>
      </c>
      <c r="K335" s="2" t="str">
        <f t="shared" si="22"/>
        <v xml:space="preserve"> </v>
      </c>
      <c r="L335" s="2" t="str">
        <f t="shared" si="23"/>
        <v xml:space="preserve"> </v>
      </c>
      <c r="M335" s="2" t="str">
        <f t="shared" si="24"/>
        <v xml:space="preserve"> </v>
      </c>
    </row>
    <row r="336" spans="1:13" x14ac:dyDescent="0.25">
      <c r="A336" s="34" t="str">
        <f t="shared" si="25"/>
        <v xml:space="preserve"> </v>
      </c>
      <c r="D336" s="33"/>
      <c r="E336" s="33"/>
      <c r="J336" s="14">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4" t="str">
        <f t="shared" si="25"/>
        <v xml:space="preserve"> </v>
      </c>
      <c r="D337" s="33"/>
      <c r="E337" s="33"/>
      <c r="J337" s="14">
        <f t="shared" si="26"/>
        <v>0</v>
      </c>
      <c r="K337" s="2" t="str">
        <f t="shared" si="27"/>
        <v xml:space="preserve"> </v>
      </c>
      <c r="L337" s="2" t="str">
        <f t="shared" si="28"/>
        <v xml:space="preserve"> </v>
      </c>
      <c r="M337" s="2" t="str">
        <f t="shared" si="29"/>
        <v xml:space="preserve"> </v>
      </c>
    </row>
    <row r="338" spans="1:13" x14ac:dyDescent="0.25">
      <c r="A338" s="34" t="str">
        <f t="shared" si="25"/>
        <v xml:space="preserve"> </v>
      </c>
      <c r="D338" s="33"/>
      <c r="E338" s="33"/>
      <c r="J338" s="14">
        <f t="shared" si="26"/>
        <v>0</v>
      </c>
      <c r="K338" s="2" t="str">
        <f t="shared" si="27"/>
        <v xml:space="preserve"> </v>
      </c>
      <c r="L338" s="2" t="str">
        <f t="shared" si="28"/>
        <v xml:space="preserve"> </v>
      </c>
      <c r="M338" s="2" t="str">
        <f t="shared" si="29"/>
        <v xml:space="preserve"> </v>
      </c>
    </row>
    <row r="339" spans="1:13" x14ac:dyDescent="0.25">
      <c r="A339" s="34" t="str">
        <f t="shared" si="25"/>
        <v xml:space="preserve"> </v>
      </c>
      <c r="D339" s="33"/>
      <c r="E339" s="33"/>
      <c r="J339" s="14">
        <f t="shared" si="26"/>
        <v>0</v>
      </c>
      <c r="K339" s="2" t="str">
        <f t="shared" si="27"/>
        <v xml:space="preserve"> </v>
      </c>
      <c r="L339" s="2" t="str">
        <f t="shared" si="28"/>
        <v xml:space="preserve"> </v>
      </c>
      <c r="M339" s="2" t="str">
        <f t="shared" si="29"/>
        <v xml:space="preserve"> </v>
      </c>
    </row>
    <row r="340" spans="1:13" x14ac:dyDescent="0.25">
      <c r="A340" s="34" t="str">
        <f t="shared" si="25"/>
        <v xml:space="preserve"> </v>
      </c>
      <c r="D340" s="33"/>
      <c r="E340" s="33"/>
      <c r="J340" s="14">
        <f t="shared" si="26"/>
        <v>0</v>
      </c>
      <c r="K340" s="2" t="str">
        <f t="shared" si="27"/>
        <v xml:space="preserve"> </v>
      </c>
      <c r="L340" s="2" t="str">
        <f t="shared" si="28"/>
        <v xml:space="preserve"> </v>
      </c>
      <c r="M340" s="2" t="str">
        <f t="shared" si="29"/>
        <v xml:space="preserve"> </v>
      </c>
    </row>
    <row r="341" spans="1:13" x14ac:dyDescent="0.25">
      <c r="A341" s="34" t="str">
        <f t="shared" si="25"/>
        <v xml:space="preserve"> </v>
      </c>
      <c r="D341" s="33"/>
      <c r="E341" s="33"/>
      <c r="J341" s="14">
        <f t="shared" si="26"/>
        <v>0</v>
      </c>
      <c r="K341" s="2" t="str">
        <f t="shared" si="27"/>
        <v xml:space="preserve"> </v>
      </c>
      <c r="L341" s="2" t="str">
        <f t="shared" si="28"/>
        <v xml:space="preserve"> </v>
      </c>
      <c r="M341" s="2" t="str">
        <f t="shared" si="29"/>
        <v xml:space="preserve"> </v>
      </c>
    </row>
    <row r="342" spans="1:13" x14ac:dyDescent="0.25">
      <c r="A342" s="34" t="str">
        <f t="shared" si="25"/>
        <v xml:space="preserve"> </v>
      </c>
      <c r="D342" s="33"/>
      <c r="E342" s="33"/>
      <c r="J342" s="14">
        <f t="shared" si="26"/>
        <v>0</v>
      </c>
      <c r="K342" s="2" t="str">
        <f t="shared" si="27"/>
        <v xml:space="preserve"> </v>
      </c>
      <c r="L342" s="2" t="str">
        <f t="shared" si="28"/>
        <v xml:space="preserve"> </v>
      </c>
      <c r="M342" s="2" t="str">
        <f t="shared" si="29"/>
        <v xml:space="preserve"> </v>
      </c>
    </row>
    <row r="343" spans="1:13" x14ac:dyDescent="0.25">
      <c r="A343" s="34" t="str">
        <f t="shared" si="25"/>
        <v xml:space="preserve"> </v>
      </c>
      <c r="D343" s="33"/>
      <c r="E343" s="33"/>
      <c r="J343" s="14">
        <f t="shared" si="26"/>
        <v>0</v>
      </c>
      <c r="K343" s="2" t="str">
        <f t="shared" si="27"/>
        <v xml:space="preserve"> </v>
      </c>
      <c r="L343" s="2" t="str">
        <f t="shared" si="28"/>
        <v xml:space="preserve"> </v>
      </c>
      <c r="M343" s="2" t="str">
        <f t="shared" si="29"/>
        <v xml:space="preserve"> </v>
      </c>
    </row>
    <row r="344" spans="1:13" x14ac:dyDescent="0.25">
      <c r="A344" s="34" t="str">
        <f t="shared" si="25"/>
        <v xml:space="preserve"> </v>
      </c>
      <c r="D344" s="33"/>
      <c r="E344" s="33"/>
      <c r="J344" s="14">
        <f t="shared" si="26"/>
        <v>0</v>
      </c>
      <c r="K344" s="2" t="str">
        <f t="shared" si="27"/>
        <v xml:space="preserve"> </v>
      </c>
      <c r="L344" s="2" t="str">
        <f t="shared" si="28"/>
        <v xml:space="preserve"> </v>
      </c>
      <c r="M344" s="2" t="str">
        <f t="shared" si="29"/>
        <v xml:space="preserve"> </v>
      </c>
    </row>
    <row r="345" spans="1:13" x14ac:dyDescent="0.25">
      <c r="A345" s="34" t="str">
        <f t="shared" si="25"/>
        <v xml:space="preserve"> </v>
      </c>
      <c r="D345" s="33"/>
      <c r="E345" s="33"/>
      <c r="J345" s="14">
        <f t="shared" si="26"/>
        <v>0</v>
      </c>
      <c r="K345" s="2" t="str">
        <f t="shared" si="27"/>
        <v xml:space="preserve"> </v>
      </c>
      <c r="L345" s="2" t="str">
        <f t="shared" si="28"/>
        <v xml:space="preserve"> </v>
      </c>
      <c r="M345" s="2" t="str">
        <f t="shared" si="29"/>
        <v xml:space="preserve"> </v>
      </c>
    </row>
    <row r="346" spans="1:13" x14ac:dyDescent="0.25">
      <c r="A346" s="34" t="str">
        <f t="shared" si="25"/>
        <v xml:space="preserve"> </v>
      </c>
      <c r="D346" s="33"/>
      <c r="E346" s="33"/>
      <c r="J346" s="14">
        <f t="shared" si="26"/>
        <v>0</v>
      </c>
      <c r="K346" s="2" t="str">
        <f t="shared" si="27"/>
        <v xml:space="preserve"> </v>
      </c>
      <c r="L346" s="2" t="str">
        <f t="shared" si="28"/>
        <v xml:space="preserve"> </v>
      </c>
      <c r="M346" s="2" t="str">
        <f t="shared" si="29"/>
        <v xml:space="preserve"> </v>
      </c>
    </row>
    <row r="347" spans="1:13" x14ac:dyDescent="0.25">
      <c r="A347" s="34" t="str">
        <f t="shared" si="25"/>
        <v xml:space="preserve"> </v>
      </c>
      <c r="D347" s="33"/>
      <c r="E347" s="33"/>
      <c r="J347" s="14">
        <f t="shared" si="26"/>
        <v>0</v>
      </c>
      <c r="K347" s="2" t="str">
        <f t="shared" si="27"/>
        <v xml:space="preserve"> </v>
      </c>
      <c r="L347" s="2" t="str">
        <f t="shared" si="28"/>
        <v xml:space="preserve"> </v>
      </c>
      <c r="M347" s="2" t="str">
        <f t="shared" si="29"/>
        <v xml:space="preserve"> </v>
      </c>
    </row>
    <row r="348" spans="1:13" x14ac:dyDescent="0.25">
      <c r="A348" s="34" t="str">
        <f t="shared" si="25"/>
        <v xml:space="preserve"> </v>
      </c>
      <c r="D348" s="33"/>
      <c r="E348" s="33"/>
      <c r="J348" s="14">
        <f t="shared" si="26"/>
        <v>0</v>
      </c>
      <c r="K348" s="2" t="str">
        <f t="shared" si="27"/>
        <v xml:space="preserve"> </v>
      </c>
      <c r="L348" s="2" t="str">
        <f t="shared" si="28"/>
        <v xml:space="preserve"> </v>
      </c>
      <c r="M348" s="2" t="str">
        <f t="shared" si="29"/>
        <v xml:space="preserve"> </v>
      </c>
    </row>
    <row r="349" spans="1:13" x14ac:dyDescent="0.25">
      <c r="A349" s="34" t="str">
        <f t="shared" si="25"/>
        <v xml:space="preserve"> </v>
      </c>
      <c r="D349" s="33"/>
      <c r="E349" s="33"/>
      <c r="J349" s="14">
        <f t="shared" si="26"/>
        <v>0</v>
      </c>
      <c r="K349" s="2" t="str">
        <f t="shared" si="27"/>
        <v xml:space="preserve"> </v>
      </c>
      <c r="L349" s="2" t="str">
        <f t="shared" si="28"/>
        <v xml:space="preserve"> </v>
      </c>
      <c r="M349" s="2" t="str">
        <f t="shared" si="29"/>
        <v xml:space="preserve"> </v>
      </c>
    </row>
    <row r="350" spans="1:13" x14ac:dyDescent="0.25">
      <c r="A350" s="34" t="str">
        <f t="shared" si="25"/>
        <v xml:space="preserve"> </v>
      </c>
      <c r="D350" s="33"/>
      <c r="E350" s="33"/>
      <c r="J350" s="14">
        <f t="shared" si="26"/>
        <v>0</v>
      </c>
      <c r="K350" s="2" t="str">
        <f t="shared" si="27"/>
        <v xml:space="preserve"> </v>
      </c>
      <c r="L350" s="2" t="str">
        <f t="shared" si="28"/>
        <v xml:space="preserve"> </v>
      </c>
      <c r="M350" s="2" t="str">
        <f t="shared" si="29"/>
        <v xml:space="preserve"> </v>
      </c>
    </row>
    <row r="351" spans="1:13" x14ac:dyDescent="0.25">
      <c r="A351" s="34" t="str">
        <f t="shared" si="25"/>
        <v xml:space="preserve"> </v>
      </c>
      <c r="D351" s="33"/>
      <c r="E351" s="33"/>
      <c r="J351" s="14">
        <f t="shared" si="26"/>
        <v>0</v>
      </c>
      <c r="K351" s="2" t="str">
        <f t="shared" si="27"/>
        <v xml:space="preserve"> </v>
      </c>
      <c r="L351" s="2" t="str">
        <f t="shared" si="28"/>
        <v xml:space="preserve"> </v>
      </c>
      <c r="M351" s="2" t="str">
        <f t="shared" si="29"/>
        <v xml:space="preserve"> </v>
      </c>
    </row>
    <row r="352" spans="1:13" x14ac:dyDescent="0.25">
      <c r="A352" s="34" t="str">
        <f t="shared" si="25"/>
        <v xml:space="preserve"> </v>
      </c>
      <c r="D352" s="33"/>
      <c r="E352" s="33"/>
      <c r="J352" s="14">
        <f t="shared" si="26"/>
        <v>0</v>
      </c>
      <c r="K352" s="2" t="str">
        <f t="shared" si="27"/>
        <v xml:space="preserve"> </v>
      </c>
      <c r="L352" s="2" t="str">
        <f t="shared" si="28"/>
        <v xml:space="preserve"> </v>
      </c>
      <c r="M352" s="2" t="str">
        <f t="shared" si="29"/>
        <v xml:space="preserve"> </v>
      </c>
    </row>
    <row r="353" spans="1:13" x14ac:dyDescent="0.25">
      <c r="A353" s="34" t="str">
        <f t="shared" si="25"/>
        <v xml:space="preserve"> </v>
      </c>
      <c r="D353" s="33"/>
      <c r="E353" s="33"/>
      <c r="J353" s="14">
        <f t="shared" si="26"/>
        <v>0</v>
      </c>
      <c r="K353" s="2" t="str">
        <f t="shared" si="27"/>
        <v xml:space="preserve"> </v>
      </c>
      <c r="L353" s="2" t="str">
        <f t="shared" si="28"/>
        <v xml:space="preserve"> </v>
      </c>
      <c r="M353" s="2" t="str">
        <f t="shared" si="29"/>
        <v xml:space="preserve"> </v>
      </c>
    </row>
    <row r="354" spans="1:13" x14ac:dyDescent="0.25">
      <c r="A354" s="34" t="str">
        <f t="shared" si="25"/>
        <v xml:space="preserve"> </v>
      </c>
      <c r="D354" s="33"/>
      <c r="E354" s="33"/>
      <c r="J354" s="14">
        <f t="shared" si="26"/>
        <v>0</v>
      </c>
      <c r="K354" s="2" t="str">
        <f t="shared" si="27"/>
        <v xml:space="preserve"> </v>
      </c>
      <c r="L354" s="2" t="str">
        <f t="shared" si="28"/>
        <v xml:space="preserve"> </v>
      </c>
      <c r="M354" s="2" t="str">
        <f t="shared" si="29"/>
        <v xml:space="preserve"> </v>
      </c>
    </row>
    <row r="355" spans="1:13" x14ac:dyDescent="0.25">
      <c r="A355" s="34" t="str">
        <f t="shared" si="25"/>
        <v xml:space="preserve"> </v>
      </c>
      <c r="D355" s="33"/>
      <c r="E355" s="33"/>
      <c r="J355" s="14">
        <f t="shared" si="26"/>
        <v>0</v>
      </c>
      <c r="K355" s="2" t="str">
        <f t="shared" si="27"/>
        <v xml:space="preserve"> </v>
      </c>
      <c r="L355" s="2" t="str">
        <f t="shared" si="28"/>
        <v xml:space="preserve"> </v>
      </c>
      <c r="M355" s="2" t="str">
        <f t="shared" si="29"/>
        <v xml:space="preserve"> </v>
      </c>
    </row>
    <row r="356" spans="1:13" x14ac:dyDescent="0.25">
      <c r="A356" s="34" t="str">
        <f t="shared" si="25"/>
        <v xml:space="preserve"> </v>
      </c>
      <c r="D356" s="33"/>
      <c r="E356" s="33"/>
      <c r="J356" s="14">
        <f t="shared" si="26"/>
        <v>0</v>
      </c>
      <c r="K356" s="2" t="str">
        <f t="shared" si="27"/>
        <v xml:space="preserve"> </v>
      </c>
      <c r="L356" s="2" t="str">
        <f t="shared" si="28"/>
        <v xml:space="preserve"> </v>
      </c>
      <c r="M356" s="2" t="str">
        <f t="shared" si="29"/>
        <v xml:space="preserve"> </v>
      </c>
    </row>
    <row r="357" spans="1:13" x14ac:dyDescent="0.25">
      <c r="A357" s="34" t="str">
        <f t="shared" si="25"/>
        <v xml:space="preserve"> </v>
      </c>
      <c r="D357" s="33"/>
      <c r="E357" s="33"/>
      <c r="J357" s="14">
        <f t="shared" si="26"/>
        <v>0</v>
      </c>
      <c r="K357" s="2" t="str">
        <f t="shared" si="27"/>
        <v xml:space="preserve"> </v>
      </c>
      <c r="L357" s="2" t="str">
        <f t="shared" si="28"/>
        <v xml:space="preserve"> </v>
      </c>
      <c r="M357" s="2" t="str">
        <f t="shared" si="29"/>
        <v xml:space="preserve"> </v>
      </c>
    </row>
    <row r="358" spans="1:13" x14ac:dyDescent="0.25">
      <c r="A358" s="34" t="str">
        <f t="shared" si="25"/>
        <v xml:space="preserve"> </v>
      </c>
      <c r="D358" s="33"/>
      <c r="E358" s="33"/>
      <c r="J358" s="14">
        <f t="shared" si="26"/>
        <v>0</v>
      </c>
      <c r="K358" s="2" t="str">
        <f t="shared" si="27"/>
        <v xml:space="preserve"> </v>
      </c>
      <c r="L358" s="2" t="str">
        <f t="shared" si="28"/>
        <v xml:space="preserve"> </v>
      </c>
      <c r="M358" s="2" t="str">
        <f t="shared" si="29"/>
        <v xml:space="preserve"> </v>
      </c>
    </row>
    <row r="359" spans="1:13" x14ac:dyDescent="0.25">
      <c r="A359" s="34" t="str">
        <f t="shared" si="25"/>
        <v xml:space="preserve"> </v>
      </c>
      <c r="D359" s="33"/>
      <c r="E359" s="33"/>
      <c r="J359" s="14">
        <f t="shared" si="26"/>
        <v>0</v>
      </c>
      <c r="K359" s="2" t="str">
        <f t="shared" si="27"/>
        <v xml:space="preserve"> </v>
      </c>
      <c r="L359" s="2" t="str">
        <f t="shared" si="28"/>
        <v xml:space="preserve"> </v>
      </c>
      <c r="M359" s="2" t="str">
        <f t="shared" si="29"/>
        <v xml:space="preserve"> </v>
      </c>
    </row>
    <row r="360" spans="1:13" x14ac:dyDescent="0.25">
      <c r="A360" s="34" t="str">
        <f t="shared" si="25"/>
        <v xml:space="preserve"> </v>
      </c>
      <c r="D360" s="33"/>
      <c r="E360" s="33"/>
      <c r="J360" s="14">
        <f t="shared" si="26"/>
        <v>0</v>
      </c>
      <c r="K360" s="2" t="str">
        <f t="shared" si="27"/>
        <v xml:space="preserve"> </v>
      </c>
      <c r="L360" s="2" t="str">
        <f t="shared" si="28"/>
        <v xml:space="preserve"> </v>
      </c>
      <c r="M360" s="2" t="str">
        <f t="shared" si="29"/>
        <v xml:space="preserve"> </v>
      </c>
    </row>
    <row r="361" spans="1:13" x14ac:dyDescent="0.25">
      <c r="A361" s="34" t="str">
        <f t="shared" si="25"/>
        <v xml:space="preserve"> </v>
      </c>
      <c r="D361" s="33"/>
      <c r="E361" s="33"/>
      <c r="J361" s="14">
        <f t="shared" si="26"/>
        <v>0</v>
      </c>
      <c r="K361" s="2" t="str">
        <f t="shared" si="27"/>
        <v xml:space="preserve"> </v>
      </c>
      <c r="L361" s="2" t="str">
        <f t="shared" si="28"/>
        <v xml:space="preserve"> </v>
      </c>
      <c r="M361" s="2" t="str">
        <f t="shared" si="29"/>
        <v xml:space="preserve"> </v>
      </c>
    </row>
    <row r="362" spans="1:13" x14ac:dyDescent="0.25">
      <c r="A362" s="34" t="str">
        <f t="shared" si="25"/>
        <v xml:space="preserve"> </v>
      </c>
      <c r="D362" s="33"/>
      <c r="E362" s="33"/>
      <c r="J362" s="14">
        <f t="shared" si="26"/>
        <v>0</v>
      </c>
      <c r="K362" s="2" t="str">
        <f t="shared" si="27"/>
        <v xml:space="preserve"> </v>
      </c>
      <c r="L362" s="2" t="str">
        <f t="shared" si="28"/>
        <v xml:space="preserve"> </v>
      </c>
      <c r="M362" s="2" t="str">
        <f t="shared" si="29"/>
        <v xml:space="preserve"> </v>
      </c>
    </row>
    <row r="363" spans="1:13" x14ac:dyDescent="0.25">
      <c r="A363" s="34" t="str">
        <f t="shared" si="25"/>
        <v xml:space="preserve"> </v>
      </c>
      <c r="D363" s="33"/>
      <c r="E363" s="33"/>
      <c r="J363" s="14">
        <f t="shared" si="26"/>
        <v>0</v>
      </c>
      <c r="K363" s="2" t="str">
        <f t="shared" si="27"/>
        <v xml:space="preserve"> </v>
      </c>
      <c r="L363" s="2" t="str">
        <f t="shared" si="28"/>
        <v xml:space="preserve"> </v>
      </c>
      <c r="M363" s="2" t="str">
        <f t="shared" si="29"/>
        <v xml:space="preserve"> </v>
      </c>
    </row>
    <row r="364" spans="1:13" x14ac:dyDescent="0.25">
      <c r="A364" s="34" t="str">
        <f t="shared" si="25"/>
        <v xml:space="preserve"> </v>
      </c>
      <c r="D364" s="33"/>
      <c r="E364" s="33"/>
      <c r="J364" s="14">
        <f t="shared" si="26"/>
        <v>0</v>
      </c>
      <c r="K364" s="2" t="str">
        <f t="shared" si="27"/>
        <v xml:space="preserve"> </v>
      </c>
      <c r="L364" s="2" t="str">
        <f t="shared" si="28"/>
        <v xml:space="preserve"> </v>
      </c>
      <c r="M364" s="2" t="str">
        <f t="shared" si="29"/>
        <v xml:space="preserve"> </v>
      </c>
    </row>
    <row r="365" spans="1:13" x14ac:dyDescent="0.25">
      <c r="A365" s="34" t="str">
        <f t="shared" si="25"/>
        <v xml:space="preserve"> </v>
      </c>
      <c r="D365" s="33"/>
      <c r="E365" s="33"/>
      <c r="J365" s="14">
        <f t="shared" si="26"/>
        <v>0</v>
      </c>
      <c r="K365" s="2" t="str">
        <f t="shared" si="27"/>
        <v xml:space="preserve"> </v>
      </c>
      <c r="L365" s="2" t="str">
        <f t="shared" si="28"/>
        <v xml:space="preserve"> </v>
      </c>
      <c r="M365" s="2" t="str">
        <f t="shared" si="29"/>
        <v xml:space="preserve"> </v>
      </c>
    </row>
    <row r="366" spans="1:13" x14ac:dyDescent="0.25">
      <c r="A366" s="34" t="str">
        <f t="shared" si="25"/>
        <v xml:space="preserve"> </v>
      </c>
      <c r="D366" s="33"/>
      <c r="E366" s="33"/>
      <c r="J366" s="14">
        <f t="shared" si="26"/>
        <v>0</v>
      </c>
      <c r="K366" s="2" t="str">
        <f t="shared" si="27"/>
        <v xml:space="preserve"> </v>
      </c>
      <c r="L366" s="2" t="str">
        <f t="shared" si="28"/>
        <v xml:space="preserve"> </v>
      </c>
      <c r="M366" s="2" t="str">
        <f t="shared" si="29"/>
        <v xml:space="preserve"> </v>
      </c>
    </row>
    <row r="367" spans="1:13" x14ac:dyDescent="0.25">
      <c r="A367" s="34" t="str">
        <f t="shared" si="25"/>
        <v xml:space="preserve"> </v>
      </c>
      <c r="D367" s="33"/>
      <c r="E367" s="33"/>
      <c r="J367" s="14">
        <f t="shared" si="26"/>
        <v>0</v>
      </c>
      <c r="K367" s="2" t="str">
        <f t="shared" si="27"/>
        <v xml:space="preserve"> </v>
      </c>
      <c r="L367" s="2" t="str">
        <f t="shared" si="28"/>
        <v xml:space="preserve"> </v>
      </c>
      <c r="M367" s="2" t="str">
        <f t="shared" si="29"/>
        <v xml:space="preserve"> </v>
      </c>
    </row>
    <row r="368" spans="1:13" x14ac:dyDescent="0.25">
      <c r="A368" s="34" t="str">
        <f t="shared" si="25"/>
        <v xml:space="preserve"> </v>
      </c>
      <c r="D368" s="33"/>
      <c r="E368" s="33"/>
      <c r="J368" s="14">
        <f t="shared" si="26"/>
        <v>0</v>
      </c>
      <c r="K368" s="2" t="str">
        <f t="shared" si="27"/>
        <v xml:space="preserve"> </v>
      </c>
      <c r="L368" s="2" t="str">
        <f t="shared" si="28"/>
        <v xml:space="preserve"> </v>
      </c>
      <c r="M368" s="2" t="str">
        <f t="shared" si="29"/>
        <v xml:space="preserve"> </v>
      </c>
    </row>
    <row r="369" spans="1:13" x14ac:dyDescent="0.25">
      <c r="A369" s="34" t="str">
        <f t="shared" si="25"/>
        <v xml:space="preserve"> </v>
      </c>
      <c r="D369" s="33"/>
      <c r="E369" s="33"/>
      <c r="J369" s="14">
        <f t="shared" si="26"/>
        <v>0</v>
      </c>
      <c r="K369" s="2" t="str">
        <f t="shared" si="27"/>
        <v xml:space="preserve"> </v>
      </c>
      <c r="L369" s="2" t="str">
        <f t="shared" si="28"/>
        <v xml:space="preserve"> </v>
      </c>
      <c r="M369" s="2" t="str">
        <f t="shared" si="29"/>
        <v xml:space="preserve"> </v>
      </c>
    </row>
    <row r="370" spans="1:13" x14ac:dyDescent="0.25">
      <c r="A370" s="34" t="str">
        <f t="shared" si="25"/>
        <v xml:space="preserve"> </v>
      </c>
      <c r="D370" s="33"/>
      <c r="E370" s="33"/>
      <c r="J370" s="14">
        <f t="shared" si="26"/>
        <v>0</v>
      </c>
      <c r="K370" s="2" t="str">
        <f t="shared" si="27"/>
        <v xml:space="preserve"> </v>
      </c>
      <c r="L370" s="2" t="str">
        <f t="shared" si="28"/>
        <v xml:space="preserve"> </v>
      </c>
      <c r="M370" s="2" t="str">
        <f t="shared" si="29"/>
        <v xml:space="preserve"> </v>
      </c>
    </row>
    <row r="371" spans="1:13" x14ac:dyDescent="0.25">
      <c r="A371" s="34" t="str">
        <f t="shared" si="25"/>
        <v xml:space="preserve"> </v>
      </c>
      <c r="D371" s="33"/>
      <c r="E371" s="33"/>
      <c r="J371" s="14">
        <f t="shared" si="26"/>
        <v>0</v>
      </c>
      <c r="K371" s="2" t="str">
        <f t="shared" si="27"/>
        <v xml:space="preserve"> </v>
      </c>
      <c r="L371" s="2" t="str">
        <f t="shared" si="28"/>
        <v xml:space="preserve"> </v>
      </c>
      <c r="M371" s="2" t="str">
        <f t="shared" si="29"/>
        <v xml:space="preserve"> </v>
      </c>
    </row>
    <row r="372" spans="1:13" x14ac:dyDescent="0.25">
      <c r="A372" s="34" t="str">
        <f t="shared" si="25"/>
        <v xml:space="preserve"> </v>
      </c>
      <c r="D372" s="33"/>
      <c r="E372" s="33"/>
      <c r="J372" s="14">
        <f t="shared" si="26"/>
        <v>0</v>
      </c>
      <c r="K372" s="2" t="str">
        <f t="shared" si="27"/>
        <v xml:space="preserve"> </v>
      </c>
      <c r="L372" s="2" t="str">
        <f t="shared" si="28"/>
        <v xml:space="preserve"> </v>
      </c>
      <c r="M372" s="2" t="str">
        <f t="shared" si="29"/>
        <v xml:space="preserve"> </v>
      </c>
    </row>
    <row r="373" spans="1:13" x14ac:dyDescent="0.25">
      <c r="A373" s="34" t="str">
        <f t="shared" si="25"/>
        <v xml:space="preserve"> </v>
      </c>
      <c r="D373" s="33"/>
      <c r="E373" s="33"/>
      <c r="J373" s="14">
        <f t="shared" si="26"/>
        <v>0</v>
      </c>
      <c r="K373" s="2" t="str">
        <f t="shared" si="27"/>
        <v xml:space="preserve"> </v>
      </c>
      <c r="L373" s="2" t="str">
        <f t="shared" si="28"/>
        <v xml:space="preserve"> </v>
      </c>
      <c r="M373" s="2" t="str">
        <f t="shared" si="29"/>
        <v xml:space="preserve"> </v>
      </c>
    </row>
    <row r="374" spans="1:13" x14ac:dyDescent="0.25">
      <c r="A374" s="34" t="str">
        <f t="shared" si="25"/>
        <v xml:space="preserve"> </v>
      </c>
      <c r="D374" s="33"/>
      <c r="E374" s="33"/>
      <c r="J374" s="14">
        <f t="shared" si="26"/>
        <v>0</v>
      </c>
      <c r="K374" s="2" t="str">
        <f t="shared" si="27"/>
        <v xml:space="preserve"> </v>
      </c>
      <c r="L374" s="2" t="str">
        <f t="shared" si="28"/>
        <v xml:space="preserve"> </v>
      </c>
      <c r="M374" s="2" t="str">
        <f t="shared" si="29"/>
        <v xml:space="preserve"> </v>
      </c>
    </row>
    <row r="375" spans="1:13" x14ac:dyDescent="0.25">
      <c r="A375" s="34" t="str">
        <f t="shared" si="25"/>
        <v xml:space="preserve"> </v>
      </c>
      <c r="D375" s="33"/>
      <c r="E375" s="33"/>
      <c r="J375" s="14">
        <f t="shared" si="26"/>
        <v>0</v>
      </c>
      <c r="K375" s="2" t="str">
        <f t="shared" si="27"/>
        <v xml:space="preserve"> </v>
      </c>
      <c r="L375" s="2" t="str">
        <f t="shared" si="28"/>
        <v xml:space="preserve"> </v>
      </c>
      <c r="M375" s="2" t="str">
        <f t="shared" si="29"/>
        <v xml:space="preserve"> </v>
      </c>
    </row>
    <row r="376" spans="1:13" x14ac:dyDescent="0.25">
      <c r="A376" s="34" t="str">
        <f t="shared" si="25"/>
        <v xml:space="preserve"> </v>
      </c>
      <c r="D376" s="33"/>
      <c r="E376" s="33"/>
      <c r="J376" s="14">
        <f t="shared" si="26"/>
        <v>0</v>
      </c>
      <c r="K376" s="2" t="str">
        <f t="shared" si="27"/>
        <v xml:space="preserve"> </v>
      </c>
      <c r="L376" s="2" t="str">
        <f t="shared" si="28"/>
        <v xml:space="preserve"> </v>
      </c>
      <c r="M376" s="2" t="str">
        <f t="shared" si="29"/>
        <v xml:space="preserve"> </v>
      </c>
    </row>
    <row r="377" spans="1:13" x14ac:dyDescent="0.25">
      <c r="A377" s="34" t="str">
        <f t="shared" si="25"/>
        <v xml:space="preserve"> </v>
      </c>
      <c r="D377" s="33"/>
      <c r="E377" s="33"/>
      <c r="J377" s="14">
        <f t="shared" si="26"/>
        <v>0</v>
      </c>
      <c r="K377" s="2" t="str">
        <f t="shared" si="27"/>
        <v xml:space="preserve"> </v>
      </c>
      <c r="L377" s="2" t="str">
        <f t="shared" si="28"/>
        <v xml:space="preserve"> </v>
      </c>
      <c r="M377" s="2" t="str">
        <f t="shared" si="29"/>
        <v xml:space="preserve"> </v>
      </c>
    </row>
    <row r="378" spans="1:13" x14ac:dyDescent="0.25">
      <c r="A378" s="34" t="str">
        <f t="shared" si="25"/>
        <v xml:space="preserve"> </v>
      </c>
      <c r="D378" s="33"/>
      <c r="E378" s="33"/>
      <c r="J378" s="14">
        <f t="shared" si="26"/>
        <v>0</v>
      </c>
      <c r="K378" s="2" t="str">
        <f t="shared" si="27"/>
        <v xml:space="preserve"> </v>
      </c>
      <c r="L378" s="2" t="str">
        <f t="shared" si="28"/>
        <v xml:space="preserve"> </v>
      </c>
      <c r="M378" s="2" t="str">
        <f t="shared" si="29"/>
        <v xml:space="preserve"> </v>
      </c>
    </row>
    <row r="379" spans="1:13" x14ac:dyDescent="0.25">
      <c r="A379" s="34" t="str">
        <f t="shared" si="25"/>
        <v xml:space="preserve"> </v>
      </c>
      <c r="D379" s="33"/>
      <c r="E379" s="33"/>
      <c r="J379" s="14">
        <f t="shared" si="26"/>
        <v>0</v>
      </c>
      <c r="K379" s="2" t="str">
        <f t="shared" si="27"/>
        <v xml:space="preserve"> </v>
      </c>
      <c r="L379" s="2" t="str">
        <f t="shared" si="28"/>
        <v xml:space="preserve"> </v>
      </c>
      <c r="M379" s="2" t="str">
        <f t="shared" si="29"/>
        <v xml:space="preserve"> </v>
      </c>
    </row>
    <row r="380" spans="1:13" x14ac:dyDescent="0.25">
      <c r="A380" s="34" t="str">
        <f t="shared" si="25"/>
        <v xml:space="preserve"> </v>
      </c>
      <c r="D380" s="33"/>
      <c r="E380" s="33"/>
      <c r="J380" s="14">
        <f t="shared" si="26"/>
        <v>0</v>
      </c>
      <c r="K380" s="2" t="str">
        <f t="shared" si="27"/>
        <v xml:space="preserve"> </v>
      </c>
      <c r="L380" s="2" t="str">
        <f t="shared" si="28"/>
        <v xml:space="preserve"> </v>
      </c>
      <c r="M380" s="2" t="str">
        <f t="shared" si="29"/>
        <v xml:space="preserve"> </v>
      </c>
    </row>
    <row r="381" spans="1:13" x14ac:dyDescent="0.25">
      <c r="A381" s="34" t="str">
        <f t="shared" si="25"/>
        <v xml:space="preserve"> </v>
      </c>
      <c r="D381" s="33"/>
      <c r="E381" s="33"/>
      <c r="J381" s="14">
        <f t="shared" si="26"/>
        <v>0</v>
      </c>
      <c r="K381" s="2" t="str">
        <f t="shared" si="27"/>
        <v xml:space="preserve"> </v>
      </c>
      <c r="L381" s="2" t="str">
        <f t="shared" si="28"/>
        <v xml:space="preserve"> </v>
      </c>
      <c r="M381" s="2" t="str">
        <f t="shared" si="29"/>
        <v xml:space="preserve"> </v>
      </c>
    </row>
    <row r="382" spans="1:13" x14ac:dyDescent="0.25">
      <c r="A382" s="34" t="str">
        <f t="shared" si="25"/>
        <v xml:space="preserve"> </v>
      </c>
      <c r="D382" s="33"/>
      <c r="E382" s="33"/>
      <c r="J382" s="14">
        <f t="shared" si="26"/>
        <v>0</v>
      </c>
      <c r="K382" s="2" t="str">
        <f t="shared" si="27"/>
        <v xml:space="preserve"> </v>
      </c>
      <c r="L382" s="2" t="str">
        <f t="shared" si="28"/>
        <v xml:space="preserve"> </v>
      </c>
      <c r="M382" s="2" t="str">
        <f t="shared" si="29"/>
        <v xml:space="preserve"> </v>
      </c>
    </row>
    <row r="383" spans="1:13" x14ac:dyDescent="0.25">
      <c r="A383" s="34" t="str">
        <f t="shared" si="25"/>
        <v xml:space="preserve"> </v>
      </c>
      <c r="D383" s="33"/>
      <c r="E383" s="33"/>
      <c r="J383" s="14">
        <f t="shared" si="26"/>
        <v>0</v>
      </c>
      <c r="K383" s="2" t="str">
        <f t="shared" si="27"/>
        <v xml:space="preserve"> </v>
      </c>
      <c r="L383" s="2" t="str">
        <f t="shared" si="28"/>
        <v xml:space="preserve"> </v>
      </c>
      <c r="M383" s="2" t="str">
        <f t="shared" si="29"/>
        <v xml:space="preserve"> </v>
      </c>
    </row>
    <row r="384" spans="1:13" x14ac:dyDescent="0.25">
      <c r="A384" s="34" t="str">
        <f t="shared" si="25"/>
        <v xml:space="preserve"> </v>
      </c>
      <c r="D384" s="33"/>
      <c r="E384" s="33"/>
      <c r="J384" s="14">
        <f t="shared" si="26"/>
        <v>0</v>
      </c>
      <c r="K384" s="2" t="str">
        <f t="shared" si="27"/>
        <v xml:space="preserve"> </v>
      </c>
      <c r="L384" s="2" t="str">
        <f t="shared" si="28"/>
        <v xml:space="preserve"> </v>
      </c>
      <c r="M384" s="2" t="str">
        <f t="shared" si="29"/>
        <v xml:space="preserve"> </v>
      </c>
    </row>
    <row r="385" spans="1:13" x14ac:dyDescent="0.25">
      <c r="A385" s="34" t="str">
        <f t="shared" si="25"/>
        <v xml:space="preserve"> </v>
      </c>
      <c r="D385" s="33"/>
      <c r="E385" s="33"/>
      <c r="J385" s="14">
        <f t="shared" si="26"/>
        <v>0</v>
      </c>
      <c r="K385" s="2" t="str">
        <f t="shared" si="27"/>
        <v xml:space="preserve"> </v>
      </c>
      <c r="L385" s="2" t="str">
        <f t="shared" si="28"/>
        <v xml:space="preserve"> </v>
      </c>
      <c r="M385" s="2" t="str">
        <f t="shared" si="29"/>
        <v xml:space="preserve"> </v>
      </c>
    </row>
    <row r="386" spans="1:13" x14ac:dyDescent="0.25">
      <c r="A386" s="34" t="str">
        <f t="shared" si="25"/>
        <v xml:space="preserve"> </v>
      </c>
      <c r="D386" s="33"/>
      <c r="E386" s="33"/>
      <c r="J386" s="14">
        <f t="shared" si="26"/>
        <v>0</v>
      </c>
      <c r="K386" s="2" t="str">
        <f t="shared" si="27"/>
        <v xml:space="preserve"> </v>
      </c>
      <c r="L386" s="2" t="str">
        <f t="shared" si="28"/>
        <v xml:space="preserve"> </v>
      </c>
      <c r="M386" s="2" t="str">
        <f t="shared" si="29"/>
        <v xml:space="preserve"> </v>
      </c>
    </row>
    <row r="387" spans="1:13" x14ac:dyDescent="0.25">
      <c r="A387" s="34" t="str">
        <f t="shared" si="25"/>
        <v xml:space="preserve"> </v>
      </c>
      <c r="D387" s="33"/>
      <c r="E387" s="33"/>
      <c r="J387" s="14">
        <f t="shared" si="26"/>
        <v>0</v>
      </c>
      <c r="K387" s="2" t="str">
        <f t="shared" si="27"/>
        <v xml:space="preserve"> </v>
      </c>
      <c r="L387" s="2" t="str">
        <f t="shared" si="28"/>
        <v xml:space="preserve"> </v>
      </c>
      <c r="M387" s="2" t="str">
        <f t="shared" si="29"/>
        <v xml:space="preserve"> </v>
      </c>
    </row>
    <row r="388" spans="1:13" x14ac:dyDescent="0.25">
      <c r="A388" s="34" t="str">
        <f t="shared" si="25"/>
        <v xml:space="preserve"> </v>
      </c>
      <c r="D388" s="33"/>
      <c r="E388" s="33"/>
      <c r="J388" s="14">
        <f t="shared" si="26"/>
        <v>0</v>
      </c>
      <c r="K388" s="2" t="str">
        <f t="shared" si="27"/>
        <v xml:space="preserve"> </v>
      </c>
      <c r="L388" s="2" t="str">
        <f t="shared" si="28"/>
        <v xml:space="preserve"> </v>
      </c>
      <c r="M388" s="2" t="str">
        <f t="shared" si="29"/>
        <v xml:space="preserve"> </v>
      </c>
    </row>
    <row r="389" spans="1:13" x14ac:dyDescent="0.25">
      <c r="A389" s="34" t="str">
        <f t="shared" si="25"/>
        <v xml:space="preserve"> </v>
      </c>
      <c r="D389" s="33"/>
      <c r="E389" s="33"/>
      <c r="J389" s="14">
        <f t="shared" si="26"/>
        <v>0</v>
      </c>
      <c r="K389" s="2" t="str">
        <f t="shared" si="27"/>
        <v xml:space="preserve"> </v>
      </c>
      <c r="L389" s="2" t="str">
        <f t="shared" si="28"/>
        <v xml:space="preserve"> </v>
      </c>
      <c r="M389" s="2" t="str">
        <f t="shared" si="29"/>
        <v xml:space="preserve"> </v>
      </c>
    </row>
    <row r="390" spans="1:13" x14ac:dyDescent="0.25">
      <c r="A390" s="34" t="str">
        <f t="shared" si="25"/>
        <v xml:space="preserve"> </v>
      </c>
      <c r="D390" s="33"/>
      <c r="E390" s="33"/>
      <c r="J390" s="14">
        <f t="shared" si="26"/>
        <v>0</v>
      </c>
      <c r="K390" s="2" t="str">
        <f t="shared" si="27"/>
        <v xml:space="preserve"> </v>
      </c>
      <c r="L390" s="2" t="str">
        <f t="shared" si="28"/>
        <v xml:space="preserve"> </v>
      </c>
      <c r="M390" s="2" t="str">
        <f t="shared" si="29"/>
        <v xml:space="preserve"> </v>
      </c>
    </row>
    <row r="391" spans="1:13" x14ac:dyDescent="0.25">
      <c r="A391" s="34" t="str">
        <f t="shared" si="25"/>
        <v xml:space="preserve"> </v>
      </c>
      <c r="D391" s="33"/>
      <c r="E391" s="33"/>
      <c r="J391" s="14">
        <f t="shared" si="26"/>
        <v>0</v>
      </c>
      <c r="K391" s="2" t="str">
        <f t="shared" si="27"/>
        <v xml:space="preserve"> </v>
      </c>
      <c r="L391" s="2" t="str">
        <f t="shared" si="28"/>
        <v xml:space="preserve"> </v>
      </c>
      <c r="M391" s="2" t="str">
        <f t="shared" si="29"/>
        <v xml:space="preserve"> </v>
      </c>
    </row>
    <row r="392" spans="1:13" x14ac:dyDescent="0.25">
      <c r="A392" s="34" t="str">
        <f t="shared" si="25"/>
        <v xml:space="preserve"> </v>
      </c>
      <c r="D392" s="33"/>
      <c r="E392" s="33"/>
      <c r="J392" s="14">
        <f t="shared" si="26"/>
        <v>0</v>
      </c>
      <c r="K392" s="2" t="str">
        <f t="shared" si="27"/>
        <v xml:space="preserve"> </v>
      </c>
      <c r="L392" s="2" t="str">
        <f t="shared" si="28"/>
        <v xml:space="preserve"> </v>
      </c>
      <c r="M392" s="2" t="str">
        <f t="shared" si="29"/>
        <v xml:space="preserve"> </v>
      </c>
    </row>
    <row r="393" spans="1:13" x14ac:dyDescent="0.25">
      <c r="A393" s="34" t="str">
        <f t="shared" si="25"/>
        <v xml:space="preserve"> </v>
      </c>
      <c r="D393" s="33"/>
      <c r="E393" s="33"/>
      <c r="J393" s="14">
        <f t="shared" si="26"/>
        <v>0</v>
      </c>
      <c r="K393" s="2" t="str">
        <f t="shared" si="27"/>
        <v xml:space="preserve"> </v>
      </c>
      <c r="L393" s="2" t="str">
        <f t="shared" si="28"/>
        <v xml:space="preserve"> </v>
      </c>
      <c r="M393" s="2" t="str">
        <f t="shared" si="29"/>
        <v xml:space="preserve"> </v>
      </c>
    </row>
    <row r="394" spans="1:13" x14ac:dyDescent="0.25">
      <c r="A394" s="34" t="str">
        <f t="shared" si="25"/>
        <v xml:space="preserve"> </v>
      </c>
      <c r="D394" s="33"/>
      <c r="E394" s="33"/>
      <c r="J394" s="14">
        <f t="shared" si="26"/>
        <v>0</v>
      </c>
      <c r="K394" s="2" t="str">
        <f t="shared" si="27"/>
        <v xml:space="preserve"> </v>
      </c>
      <c r="L394" s="2" t="str">
        <f t="shared" si="28"/>
        <v xml:space="preserve"> </v>
      </c>
      <c r="M394" s="2" t="str">
        <f t="shared" si="29"/>
        <v xml:space="preserve"> </v>
      </c>
    </row>
    <row r="395" spans="1:13" x14ac:dyDescent="0.25">
      <c r="A395" s="34" t="str">
        <f t="shared" si="25"/>
        <v xml:space="preserve"> </v>
      </c>
      <c r="D395" s="33"/>
      <c r="E395" s="33"/>
      <c r="J395" s="14">
        <f t="shared" si="26"/>
        <v>0</v>
      </c>
      <c r="K395" s="2" t="str">
        <f t="shared" si="27"/>
        <v xml:space="preserve"> </v>
      </c>
      <c r="L395" s="2" t="str">
        <f t="shared" si="28"/>
        <v xml:space="preserve"> </v>
      </c>
      <c r="M395" s="2" t="str">
        <f t="shared" si="29"/>
        <v xml:space="preserve"> </v>
      </c>
    </row>
    <row r="396" spans="1:13" x14ac:dyDescent="0.25">
      <c r="A396" s="34" t="str">
        <f t="shared" si="25"/>
        <v xml:space="preserve"> </v>
      </c>
      <c r="D396" s="33"/>
      <c r="E396" s="33"/>
      <c r="J396" s="14">
        <f t="shared" si="26"/>
        <v>0</v>
      </c>
      <c r="K396" s="2" t="str">
        <f t="shared" si="27"/>
        <v xml:space="preserve"> </v>
      </c>
      <c r="L396" s="2" t="str">
        <f t="shared" si="28"/>
        <v xml:space="preserve"> </v>
      </c>
      <c r="M396" s="2" t="str">
        <f t="shared" si="29"/>
        <v xml:space="preserve"> </v>
      </c>
    </row>
    <row r="397" spans="1:13" x14ac:dyDescent="0.25">
      <c r="A397" s="34" t="str">
        <f t="shared" si="25"/>
        <v xml:space="preserve"> </v>
      </c>
      <c r="D397" s="33"/>
      <c r="E397" s="33"/>
      <c r="J397" s="14">
        <f t="shared" ref="J397:J450" si="30">F397-G397+H397-I397</f>
        <v>0</v>
      </c>
      <c r="K397" s="2" t="str">
        <f t="shared" si="27"/>
        <v xml:space="preserve"> </v>
      </c>
      <c r="L397" s="2" t="str">
        <f t="shared" si="28"/>
        <v xml:space="preserve"> </v>
      </c>
      <c r="M397" s="2" t="str">
        <f t="shared" si="29"/>
        <v xml:space="preserve"> </v>
      </c>
    </row>
    <row r="398" spans="1:13" x14ac:dyDescent="0.25">
      <c r="A398" s="34" t="str">
        <f t="shared" si="25"/>
        <v xml:space="preserve"> </v>
      </c>
      <c r="D398" s="33"/>
      <c r="E398" s="33"/>
      <c r="J398" s="14">
        <f t="shared" si="30"/>
        <v>0</v>
      </c>
      <c r="K398" s="2" t="str">
        <f t="shared" si="27"/>
        <v xml:space="preserve"> </v>
      </c>
      <c r="L398" s="2" t="str">
        <f t="shared" si="28"/>
        <v xml:space="preserve"> </v>
      </c>
      <c r="M398" s="2" t="str">
        <f t="shared" si="29"/>
        <v xml:space="preserve"> </v>
      </c>
    </row>
    <row r="399" spans="1:13" x14ac:dyDescent="0.25">
      <c r="A399" s="34" t="str">
        <f t="shared" ref="A399:A462" si="31">IF(COUNTIF(K399:M399,"ERROR")&gt;0,"ERROR"," ")</f>
        <v xml:space="preserve"> </v>
      </c>
      <c r="D399" s="33"/>
      <c r="E399" s="33"/>
      <c r="J399" s="14">
        <f t="shared" si="30"/>
        <v>0</v>
      </c>
      <c r="K399" s="2" t="str">
        <f t="shared" si="27"/>
        <v xml:space="preserve"> </v>
      </c>
      <c r="L399" s="2" t="str">
        <f t="shared" si="28"/>
        <v xml:space="preserve"> </v>
      </c>
      <c r="M399" s="2" t="str">
        <f t="shared" si="29"/>
        <v xml:space="preserve"> </v>
      </c>
    </row>
    <row r="400" spans="1:13" x14ac:dyDescent="0.25">
      <c r="A400" s="34" t="str">
        <f t="shared" si="31"/>
        <v xml:space="preserve"> </v>
      </c>
      <c r="D400" s="33"/>
      <c r="E400" s="33"/>
      <c r="J400" s="14">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4" t="str">
        <f t="shared" si="31"/>
        <v xml:space="preserve"> </v>
      </c>
      <c r="D401" s="33"/>
      <c r="E401" s="33"/>
      <c r="J401" s="14">
        <f t="shared" si="30"/>
        <v>0</v>
      </c>
      <c r="K401" s="2" t="str">
        <f t="shared" si="32"/>
        <v xml:space="preserve"> </v>
      </c>
      <c r="L401" s="2" t="str">
        <f t="shared" si="33"/>
        <v xml:space="preserve"> </v>
      </c>
      <c r="M401" s="2" t="str">
        <f t="shared" si="34"/>
        <v xml:space="preserve"> </v>
      </c>
    </row>
    <row r="402" spans="1:13" x14ac:dyDescent="0.25">
      <c r="A402" s="34" t="str">
        <f t="shared" si="31"/>
        <v xml:space="preserve"> </v>
      </c>
      <c r="D402" s="33"/>
      <c r="E402" s="33"/>
      <c r="J402" s="14">
        <f t="shared" si="30"/>
        <v>0</v>
      </c>
      <c r="K402" s="2" t="str">
        <f t="shared" si="32"/>
        <v xml:space="preserve"> </v>
      </c>
      <c r="L402" s="2" t="str">
        <f t="shared" si="33"/>
        <v xml:space="preserve"> </v>
      </c>
      <c r="M402" s="2" t="str">
        <f t="shared" si="34"/>
        <v xml:space="preserve"> </v>
      </c>
    </row>
    <row r="403" spans="1:13" x14ac:dyDescent="0.25">
      <c r="A403" s="34" t="str">
        <f t="shared" si="31"/>
        <v xml:space="preserve"> </v>
      </c>
      <c r="D403" s="33"/>
      <c r="E403" s="33"/>
      <c r="J403" s="14">
        <f t="shared" si="30"/>
        <v>0</v>
      </c>
      <c r="K403" s="2" t="str">
        <f t="shared" si="32"/>
        <v xml:space="preserve"> </v>
      </c>
      <c r="L403" s="2" t="str">
        <f t="shared" si="33"/>
        <v xml:space="preserve"> </v>
      </c>
      <c r="M403" s="2" t="str">
        <f t="shared" si="34"/>
        <v xml:space="preserve"> </v>
      </c>
    </row>
    <row r="404" spans="1:13" x14ac:dyDescent="0.25">
      <c r="A404" s="34" t="str">
        <f t="shared" si="31"/>
        <v xml:space="preserve"> </v>
      </c>
      <c r="D404" s="33"/>
      <c r="E404" s="33"/>
      <c r="J404" s="14">
        <f t="shared" si="30"/>
        <v>0</v>
      </c>
      <c r="K404" s="2" t="str">
        <f t="shared" si="32"/>
        <v xml:space="preserve"> </v>
      </c>
      <c r="L404" s="2" t="str">
        <f t="shared" si="33"/>
        <v xml:space="preserve"> </v>
      </c>
      <c r="M404" s="2" t="str">
        <f t="shared" si="34"/>
        <v xml:space="preserve"> </v>
      </c>
    </row>
    <row r="405" spans="1:13" x14ac:dyDescent="0.25">
      <c r="A405" s="34" t="str">
        <f t="shared" si="31"/>
        <v xml:space="preserve"> </v>
      </c>
      <c r="D405" s="33"/>
      <c r="E405" s="33"/>
      <c r="J405" s="14">
        <f t="shared" si="30"/>
        <v>0</v>
      </c>
      <c r="K405" s="2" t="str">
        <f t="shared" si="32"/>
        <v xml:space="preserve"> </v>
      </c>
      <c r="L405" s="2" t="str">
        <f t="shared" si="33"/>
        <v xml:space="preserve"> </v>
      </c>
      <c r="M405" s="2" t="str">
        <f t="shared" si="34"/>
        <v xml:space="preserve"> </v>
      </c>
    </row>
    <row r="406" spans="1:13" x14ac:dyDescent="0.25">
      <c r="A406" s="34" t="str">
        <f t="shared" si="31"/>
        <v xml:space="preserve"> </v>
      </c>
      <c r="D406" s="33"/>
      <c r="E406" s="33"/>
      <c r="J406" s="14">
        <f t="shared" si="30"/>
        <v>0</v>
      </c>
      <c r="K406" s="2" t="str">
        <f t="shared" si="32"/>
        <v xml:space="preserve"> </v>
      </c>
      <c r="L406" s="2" t="str">
        <f t="shared" si="33"/>
        <v xml:space="preserve"> </v>
      </c>
      <c r="M406" s="2" t="str">
        <f t="shared" si="34"/>
        <v xml:space="preserve"> </v>
      </c>
    </row>
    <row r="407" spans="1:13" x14ac:dyDescent="0.25">
      <c r="A407" s="34" t="str">
        <f t="shared" si="31"/>
        <v xml:space="preserve"> </v>
      </c>
      <c r="D407" s="33"/>
      <c r="E407" s="33"/>
      <c r="J407" s="14">
        <f t="shared" si="30"/>
        <v>0</v>
      </c>
      <c r="K407" s="2" t="str">
        <f t="shared" si="32"/>
        <v xml:space="preserve"> </v>
      </c>
      <c r="L407" s="2" t="str">
        <f t="shared" si="33"/>
        <v xml:space="preserve"> </v>
      </c>
      <c r="M407" s="2" t="str">
        <f t="shared" si="34"/>
        <v xml:space="preserve"> </v>
      </c>
    </row>
    <row r="408" spans="1:13" x14ac:dyDescent="0.25">
      <c r="A408" s="34" t="str">
        <f t="shared" si="31"/>
        <v xml:space="preserve"> </v>
      </c>
      <c r="D408" s="33"/>
      <c r="E408" s="33"/>
      <c r="J408" s="14">
        <f t="shared" si="30"/>
        <v>0</v>
      </c>
      <c r="K408" s="2" t="str">
        <f t="shared" si="32"/>
        <v xml:space="preserve"> </v>
      </c>
      <c r="L408" s="2" t="str">
        <f t="shared" si="33"/>
        <v xml:space="preserve"> </v>
      </c>
      <c r="M408" s="2" t="str">
        <f t="shared" si="34"/>
        <v xml:space="preserve"> </v>
      </c>
    </row>
    <row r="409" spans="1:13" x14ac:dyDescent="0.25">
      <c r="A409" s="34" t="str">
        <f t="shared" si="31"/>
        <v xml:space="preserve"> </v>
      </c>
      <c r="D409" s="33"/>
      <c r="E409" s="33"/>
      <c r="J409" s="14">
        <f t="shared" si="30"/>
        <v>0</v>
      </c>
      <c r="K409" s="2" t="str">
        <f t="shared" si="32"/>
        <v xml:space="preserve"> </v>
      </c>
      <c r="L409" s="2" t="str">
        <f t="shared" si="33"/>
        <v xml:space="preserve"> </v>
      </c>
      <c r="M409" s="2" t="str">
        <f t="shared" si="34"/>
        <v xml:space="preserve"> </v>
      </c>
    </row>
    <row r="410" spans="1:13" x14ac:dyDescent="0.25">
      <c r="A410" s="34" t="str">
        <f t="shared" si="31"/>
        <v xml:space="preserve"> </v>
      </c>
      <c r="D410" s="33"/>
      <c r="E410" s="33"/>
      <c r="J410" s="14">
        <f t="shared" si="30"/>
        <v>0</v>
      </c>
      <c r="K410" s="2" t="str">
        <f t="shared" si="32"/>
        <v xml:space="preserve"> </v>
      </c>
      <c r="L410" s="2" t="str">
        <f t="shared" si="33"/>
        <v xml:space="preserve"> </v>
      </c>
      <c r="M410" s="2" t="str">
        <f t="shared" si="34"/>
        <v xml:space="preserve"> </v>
      </c>
    </row>
    <row r="411" spans="1:13" x14ac:dyDescent="0.25">
      <c r="A411" s="34" t="str">
        <f t="shared" si="31"/>
        <v xml:space="preserve"> </v>
      </c>
      <c r="D411" s="33"/>
      <c r="E411" s="33"/>
      <c r="J411" s="14">
        <f t="shared" si="30"/>
        <v>0</v>
      </c>
      <c r="K411" s="2" t="str">
        <f t="shared" si="32"/>
        <v xml:space="preserve"> </v>
      </c>
      <c r="L411" s="2" t="str">
        <f t="shared" si="33"/>
        <v xml:space="preserve"> </v>
      </c>
      <c r="M411" s="2" t="str">
        <f t="shared" si="34"/>
        <v xml:space="preserve"> </v>
      </c>
    </row>
    <row r="412" spans="1:13" x14ac:dyDescent="0.25">
      <c r="A412" s="34" t="str">
        <f t="shared" si="31"/>
        <v xml:space="preserve"> </v>
      </c>
      <c r="D412" s="33"/>
      <c r="E412" s="33"/>
      <c r="J412" s="14">
        <f t="shared" si="30"/>
        <v>0</v>
      </c>
      <c r="K412" s="2" t="str">
        <f t="shared" si="32"/>
        <v xml:space="preserve"> </v>
      </c>
      <c r="L412" s="2" t="str">
        <f t="shared" si="33"/>
        <v xml:space="preserve"> </v>
      </c>
      <c r="M412" s="2" t="str">
        <f t="shared" si="34"/>
        <v xml:space="preserve"> </v>
      </c>
    </row>
    <row r="413" spans="1:13" x14ac:dyDescent="0.25">
      <c r="A413" s="34" t="str">
        <f t="shared" si="31"/>
        <v xml:space="preserve"> </v>
      </c>
      <c r="D413" s="33"/>
      <c r="E413" s="33"/>
      <c r="J413" s="14">
        <f t="shared" si="30"/>
        <v>0</v>
      </c>
      <c r="K413" s="2" t="str">
        <f t="shared" si="32"/>
        <v xml:space="preserve"> </v>
      </c>
      <c r="L413" s="2" t="str">
        <f t="shared" si="33"/>
        <v xml:space="preserve"> </v>
      </c>
      <c r="M413" s="2" t="str">
        <f t="shared" si="34"/>
        <v xml:space="preserve"> </v>
      </c>
    </row>
    <row r="414" spans="1:13" x14ac:dyDescent="0.25">
      <c r="A414" s="34" t="str">
        <f t="shared" si="31"/>
        <v xml:space="preserve"> </v>
      </c>
      <c r="D414" s="33"/>
      <c r="E414" s="33"/>
      <c r="J414" s="14">
        <f t="shared" si="30"/>
        <v>0</v>
      </c>
      <c r="K414" s="2" t="str">
        <f t="shared" si="32"/>
        <v xml:space="preserve"> </v>
      </c>
      <c r="L414" s="2" t="str">
        <f t="shared" si="33"/>
        <v xml:space="preserve"> </v>
      </c>
      <c r="M414" s="2" t="str">
        <f t="shared" si="34"/>
        <v xml:space="preserve"> </v>
      </c>
    </row>
    <row r="415" spans="1:13" x14ac:dyDescent="0.25">
      <c r="A415" s="34" t="str">
        <f t="shared" si="31"/>
        <v xml:space="preserve"> </v>
      </c>
      <c r="D415" s="33"/>
      <c r="E415" s="33"/>
      <c r="J415" s="14">
        <f t="shared" si="30"/>
        <v>0</v>
      </c>
      <c r="K415" s="2" t="str">
        <f t="shared" si="32"/>
        <v xml:space="preserve"> </v>
      </c>
      <c r="L415" s="2" t="str">
        <f t="shared" si="33"/>
        <v xml:space="preserve"> </v>
      </c>
      <c r="M415" s="2" t="str">
        <f t="shared" si="34"/>
        <v xml:space="preserve"> </v>
      </c>
    </row>
    <row r="416" spans="1:13" x14ac:dyDescent="0.25">
      <c r="A416" s="34" t="str">
        <f t="shared" si="31"/>
        <v xml:space="preserve"> </v>
      </c>
      <c r="D416" s="33"/>
      <c r="E416" s="33"/>
      <c r="J416" s="14">
        <f t="shared" si="30"/>
        <v>0</v>
      </c>
      <c r="K416" s="2" t="str">
        <f t="shared" si="32"/>
        <v xml:space="preserve"> </v>
      </c>
      <c r="L416" s="2" t="str">
        <f t="shared" si="33"/>
        <v xml:space="preserve"> </v>
      </c>
      <c r="M416" s="2" t="str">
        <f t="shared" si="34"/>
        <v xml:space="preserve"> </v>
      </c>
    </row>
    <row r="417" spans="1:13" x14ac:dyDescent="0.25">
      <c r="A417" s="34" t="str">
        <f t="shared" si="31"/>
        <v xml:space="preserve"> </v>
      </c>
      <c r="D417" s="33"/>
      <c r="E417" s="33"/>
      <c r="J417" s="14">
        <f t="shared" si="30"/>
        <v>0</v>
      </c>
      <c r="K417" s="2" t="str">
        <f t="shared" si="32"/>
        <v xml:space="preserve"> </v>
      </c>
      <c r="L417" s="2" t="str">
        <f t="shared" si="33"/>
        <v xml:space="preserve"> </v>
      </c>
      <c r="M417" s="2" t="str">
        <f t="shared" si="34"/>
        <v xml:space="preserve"> </v>
      </c>
    </row>
    <row r="418" spans="1:13" x14ac:dyDescent="0.25">
      <c r="A418" s="34" t="str">
        <f t="shared" si="31"/>
        <v xml:space="preserve"> </v>
      </c>
      <c r="D418" s="33"/>
      <c r="E418" s="33"/>
      <c r="J418" s="14">
        <f t="shared" si="30"/>
        <v>0</v>
      </c>
      <c r="K418" s="2" t="str">
        <f t="shared" si="32"/>
        <v xml:space="preserve"> </v>
      </c>
      <c r="L418" s="2" t="str">
        <f t="shared" si="33"/>
        <v xml:space="preserve"> </v>
      </c>
      <c r="M418" s="2" t="str">
        <f t="shared" si="34"/>
        <v xml:space="preserve"> </v>
      </c>
    </row>
    <row r="419" spans="1:13" x14ac:dyDescent="0.25">
      <c r="A419" s="34" t="str">
        <f t="shared" si="31"/>
        <v xml:space="preserve"> </v>
      </c>
      <c r="D419" s="33"/>
      <c r="E419" s="33"/>
      <c r="J419" s="14">
        <f t="shared" si="30"/>
        <v>0</v>
      </c>
      <c r="K419" s="2" t="str">
        <f t="shared" si="32"/>
        <v xml:space="preserve"> </v>
      </c>
      <c r="L419" s="2" t="str">
        <f t="shared" si="33"/>
        <v xml:space="preserve"> </v>
      </c>
      <c r="M419" s="2" t="str">
        <f t="shared" si="34"/>
        <v xml:space="preserve"> </v>
      </c>
    </row>
    <row r="420" spans="1:13" x14ac:dyDescent="0.25">
      <c r="A420" s="34" t="str">
        <f t="shared" si="31"/>
        <v xml:space="preserve"> </v>
      </c>
      <c r="D420" s="33"/>
      <c r="E420" s="33"/>
      <c r="J420" s="14">
        <f t="shared" si="30"/>
        <v>0</v>
      </c>
      <c r="K420" s="2" t="str">
        <f t="shared" si="32"/>
        <v xml:space="preserve"> </v>
      </c>
      <c r="L420" s="2" t="str">
        <f t="shared" si="33"/>
        <v xml:space="preserve"> </v>
      </c>
      <c r="M420" s="2" t="str">
        <f t="shared" si="34"/>
        <v xml:space="preserve"> </v>
      </c>
    </row>
    <row r="421" spans="1:13" x14ac:dyDescent="0.25">
      <c r="A421" s="34" t="str">
        <f t="shared" si="31"/>
        <v xml:space="preserve"> </v>
      </c>
      <c r="D421" s="33"/>
      <c r="E421" s="33"/>
      <c r="J421" s="14">
        <f t="shared" si="30"/>
        <v>0</v>
      </c>
      <c r="K421" s="2" t="str">
        <f t="shared" si="32"/>
        <v xml:space="preserve"> </v>
      </c>
      <c r="L421" s="2" t="str">
        <f t="shared" si="33"/>
        <v xml:space="preserve"> </v>
      </c>
      <c r="M421" s="2" t="str">
        <f t="shared" si="34"/>
        <v xml:space="preserve"> </v>
      </c>
    </row>
    <row r="422" spans="1:13" x14ac:dyDescent="0.25">
      <c r="A422" s="34" t="str">
        <f t="shared" si="31"/>
        <v xml:space="preserve"> </v>
      </c>
      <c r="D422" s="33"/>
      <c r="E422" s="33"/>
      <c r="J422" s="14">
        <f t="shared" si="30"/>
        <v>0</v>
      </c>
      <c r="K422" s="2" t="str">
        <f t="shared" si="32"/>
        <v xml:space="preserve"> </v>
      </c>
      <c r="L422" s="2" t="str">
        <f t="shared" si="33"/>
        <v xml:space="preserve"> </v>
      </c>
      <c r="M422" s="2" t="str">
        <f t="shared" si="34"/>
        <v xml:space="preserve"> </v>
      </c>
    </row>
    <row r="423" spans="1:13" x14ac:dyDescent="0.25">
      <c r="A423" s="34" t="str">
        <f t="shared" si="31"/>
        <v xml:space="preserve"> </v>
      </c>
      <c r="D423" s="33"/>
      <c r="E423" s="33"/>
      <c r="J423" s="14">
        <f t="shared" si="30"/>
        <v>0</v>
      </c>
      <c r="K423" s="2" t="str">
        <f t="shared" si="32"/>
        <v xml:space="preserve"> </v>
      </c>
      <c r="L423" s="2" t="str">
        <f t="shared" si="33"/>
        <v xml:space="preserve"> </v>
      </c>
      <c r="M423" s="2" t="str">
        <f t="shared" si="34"/>
        <v xml:space="preserve"> </v>
      </c>
    </row>
    <row r="424" spans="1:13" x14ac:dyDescent="0.25">
      <c r="A424" s="34" t="str">
        <f t="shared" si="31"/>
        <v xml:space="preserve"> </v>
      </c>
      <c r="D424" s="33"/>
      <c r="E424" s="33"/>
      <c r="J424" s="14">
        <f t="shared" si="30"/>
        <v>0</v>
      </c>
      <c r="K424" s="2" t="str">
        <f t="shared" si="32"/>
        <v xml:space="preserve"> </v>
      </c>
      <c r="L424" s="2" t="str">
        <f t="shared" si="33"/>
        <v xml:space="preserve"> </v>
      </c>
      <c r="M424" s="2" t="str">
        <f t="shared" si="34"/>
        <v xml:space="preserve"> </v>
      </c>
    </row>
    <row r="425" spans="1:13" x14ac:dyDescent="0.25">
      <c r="A425" s="34" t="str">
        <f t="shared" si="31"/>
        <v xml:space="preserve"> </v>
      </c>
      <c r="D425" s="33"/>
      <c r="E425" s="33"/>
      <c r="J425" s="14">
        <f t="shared" si="30"/>
        <v>0</v>
      </c>
      <c r="K425" s="2" t="str">
        <f t="shared" si="32"/>
        <v xml:space="preserve"> </v>
      </c>
      <c r="L425" s="2" t="str">
        <f t="shared" si="33"/>
        <v xml:space="preserve"> </v>
      </c>
      <c r="M425" s="2" t="str">
        <f t="shared" si="34"/>
        <v xml:space="preserve"> </v>
      </c>
    </row>
    <row r="426" spans="1:13" x14ac:dyDescent="0.25">
      <c r="A426" s="34" t="str">
        <f t="shared" si="31"/>
        <v xml:space="preserve"> </v>
      </c>
      <c r="D426" s="33"/>
      <c r="E426" s="33"/>
      <c r="J426" s="14">
        <f t="shared" si="30"/>
        <v>0</v>
      </c>
      <c r="K426" s="2" t="str">
        <f t="shared" si="32"/>
        <v xml:space="preserve"> </v>
      </c>
      <c r="L426" s="2" t="str">
        <f t="shared" si="33"/>
        <v xml:space="preserve"> </v>
      </c>
      <c r="M426" s="2" t="str">
        <f t="shared" si="34"/>
        <v xml:space="preserve"> </v>
      </c>
    </row>
    <row r="427" spans="1:13" x14ac:dyDescent="0.25">
      <c r="A427" s="34" t="str">
        <f t="shared" si="31"/>
        <v xml:space="preserve"> </v>
      </c>
      <c r="D427" s="33"/>
      <c r="E427" s="33"/>
      <c r="J427" s="14">
        <f t="shared" si="30"/>
        <v>0</v>
      </c>
      <c r="K427" s="2" t="str">
        <f t="shared" si="32"/>
        <v xml:space="preserve"> </v>
      </c>
      <c r="L427" s="2" t="str">
        <f t="shared" si="33"/>
        <v xml:space="preserve"> </v>
      </c>
      <c r="M427" s="2" t="str">
        <f t="shared" si="34"/>
        <v xml:space="preserve"> </v>
      </c>
    </row>
    <row r="428" spans="1:13" x14ac:dyDescent="0.25">
      <c r="A428" s="34" t="str">
        <f t="shared" si="31"/>
        <v xml:space="preserve"> </v>
      </c>
      <c r="D428" s="33"/>
      <c r="E428" s="33"/>
      <c r="J428" s="14">
        <f t="shared" si="30"/>
        <v>0</v>
      </c>
      <c r="K428" s="2" t="str">
        <f t="shared" si="32"/>
        <v xml:space="preserve"> </v>
      </c>
      <c r="L428" s="2" t="str">
        <f t="shared" si="33"/>
        <v xml:space="preserve"> </v>
      </c>
      <c r="M428" s="2" t="str">
        <f t="shared" si="34"/>
        <v xml:space="preserve"> </v>
      </c>
    </row>
    <row r="429" spans="1:13" x14ac:dyDescent="0.25">
      <c r="A429" s="34" t="str">
        <f t="shared" si="31"/>
        <v xml:space="preserve"> </v>
      </c>
      <c r="D429" s="33"/>
      <c r="E429" s="33"/>
      <c r="J429" s="14">
        <f t="shared" si="30"/>
        <v>0</v>
      </c>
      <c r="K429" s="2" t="str">
        <f t="shared" si="32"/>
        <v xml:space="preserve"> </v>
      </c>
      <c r="L429" s="2" t="str">
        <f t="shared" si="33"/>
        <v xml:space="preserve"> </v>
      </c>
      <c r="M429" s="2" t="str">
        <f t="shared" si="34"/>
        <v xml:space="preserve"> </v>
      </c>
    </row>
    <row r="430" spans="1:13" x14ac:dyDescent="0.25">
      <c r="A430" s="34" t="str">
        <f t="shared" si="31"/>
        <v xml:space="preserve"> </v>
      </c>
      <c r="D430" s="33"/>
      <c r="E430" s="33"/>
      <c r="J430" s="14">
        <f t="shared" si="30"/>
        <v>0</v>
      </c>
      <c r="K430" s="2" t="str">
        <f t="shared" si="32"/>
        <v xml:space="preserve"> </v>
      </c>
      <c r="L430" s="2" t="str">
        <f t="shared" si="33"/>
        <v xml:space="preserve"> </v>
      </c>
      <c r="M430" s="2" t="str">
        <f t="shared" si="34"/>
        <v xml:space="preserve"> </v>
      </c>
    </row>
    <row r="431" spans="1:13" x14ac:dyDescent="0.25">
      <c r="A431" s="34" t="str">
        <f t="shared" si="31"/>
        <v xml:space="preserve"> </v>
      </c>
      <c r="D431" s="33"/>
      <c r="E431" s="33"/>
      <c r="J431" s="14">
        <f t="shared" si="30"/>
        <v>0</v>
      </c>
      <c r="K431" s="2" t="str">
        <f t="shared" si="32"/>
        <v xml:space="preserve"> </v>
      </c>
      <c r="L431" s="2" t="str">
        <f t="shared" si="33"/>
        <v xml:space="preserve"> </v>
      </c>
      <c r="M431" s="2" t="str">
        <f t="shared" si="34"/>
        <v xml:space="preserve"> </v>
      </c>
    </row>
    <row r="432" spans="1:13" x14ac:dyDescent="0.25">
      <c r="A432" s="34" t="str">
        <f t="shared" si="31"/>
        <v xml:space="preserve"> </v>
      </c>
      <c r="D432" s="33"/>
      <c r="E432" s="33"/>
      <c r="J432" s="14">
        <f t="shared" si="30"/>
        <v>0</v>
      </c>
      <c r="K432" s="2" t="str">
        <f t="shared" si="32"/>
        <v xml:space="preserve"> </v>
      </c>
      <c r="L432" s="2" t="str">
        <f t="shared" si="33"/>
        <v xml:space="preserve"> </v>
      </c>
      <c r="M432" s="2" t="str">
        <f t="shared" si="34"/>
        <v xml:space="preserve"> </v>
      </c>
    </row>
    <row r="433" spans="1:13" x14ac:dyDescent="0.25">
      <c r="A433" s="34" t="str">
        <f t="shared" si="31"/>
        <v xml:space="preserve"> </v>
      </c>
      <c r="D433" s="33"/>
      <c r="E433" s="33"/>
      <c r="J433" s="14">
        <f t="shared" si="30"/>
        <v>0</v>
      </c>
      <c r="K433" s="2" t="str">
        <f t="shared" si="32"/>
        <v xml:space="preserve"> </v>
      </c>
      <c r="L433" s="2" t="str">
        <f t="shared" si="33"/>
        <v xml:space="preserve"> </v>
      </c>
      <c r="M433" s="2" t="str">
        <f t="shared" si="34"/>
        <v xml:space="preserve"> </v>
      </c>
    </row>
    <row r="434" spans="1:13" x14ac:dyDescent="0.25">
      <c r="A434" s="34" t="str">
        <f t="shared" si="31"/>
        <v xml:space="preserve"> </v>
      </c>
      <c r="D434" s="33"/>
      <c r="E434" s="33"/>
      <c r="J434" s="14">
        <f t="shared" si="30"/>
        <v>0</v>
      </c>
      <c r="K434" s="2" t="str">
        <f t="shared" si="32"/>
        <v xml:space="preserve"> </v>
      </c>
      <c r="L434" s="2" t="str">
        <f t="shared" si="33"/>
        <v xml:space="preserve"> </v>
      </c>
      <c r="M434" s="2" t="str">
        <f t="shared" si="34"/>
        <v xml:space="preserve"> </v>
      </c>
    </row>
    <row r="435" spans="1:13" x14ac:dyDescent="0.25">
      <c r="A435" s="34" t="str">
        <f t="shared" si="31"/>
        <v xml:space="preserve"> </v>
      </c>
      <c r="D435" s="33"/>
      <c r="E435" s="33"/>
      <c r="J435" s="14">
        <f t="shared" si="30"/>
        <v>0</v>
      </c>
      <c r="K435" s="2" t="str">
        <f t="shared" si="32"/>
        <v xml:space="preserve"> </v>
      </c>
      <c r="L435" s="2" t="str">
        <f t="shared" si="33"/>
        <v xml:space="preserve"> </v>
      </c>
      <c r="M435" s="2" t="str">
        <f t="shared" si="34"/>
        <v xml:space="preserve"> </v>
      </c>
    </row>
    <row r="436" spans="1:13" x14ac:dyDescent="0.25">
      <c r="A436" s="34" t="str">
        <f t="shared" si="31"/>
        <v xml:space="preserve"> </v>
      </c>
      <c r="D436" s="33"/>
      <c r="E436" s="33"/>
      <c r="J436" s="14">
        <f t="shared" si="30"/>
        <v>0</v>
      </c>
      <c r="K436" s="2" t="str">
        <f t="shared" si="32"/>
        <v xml:space="preserve"> </v>
      </c>
      <c r="L436" s="2" t="str">
        <f t="shared" si="33"/>
        <v xml:space="preserve"> </v>
      </c>
      <c r="M436" s="2" t="str">
        <f t="shared" si="34"/>
        <v xml:space="preserve"> </v>
      </c>
    </row>
    <row r="437" spans="1:13" x14ac:dyDescent="0.25">
      <c r="A437" s="34" t="str">
        <f t="shared" si="31"/>
        <v xml:space="preserve"> </v>
      </c>
      <c r="D437" s="33"/>
      <c r="E437" s="33"/>
      <c r="J437" s="14">
        <f t="shared" si="30"/>
        <v>0</v>
      </c>
      <c r="K437" s="2" t="str">
        <f t="shared" si="32"/>
        <v xml:space="preserve"> </v>
      </c>
      <c r="L437" s="2" t="str">
        <f t="shared" si="33"/>
        <v xml:space="preserve"> </v>
      </c>
      <c r="M437" s="2" t="str">
        <f t="shared" si="34"/>
        <v xml:space="preserve"> </v>
      </c>
    </row>
    <row r="438" spans="1:13" x14ac:dyDescent="0.25">
      <c r="A438" s="34" t="str">
        <f t="shared" si="31"/>
        <v xml:space="preserve"> </v>
      </c>
      <c r="D438" s="33"/>
      <c r="E438" s="33"/>
      <c r="J438" s="14">
        <f t="shared" si="30"/>
        <v>0</v>
      </c>
      <c r="K438" s="2" t="str">
        <f t="shared" si="32"/>
        <v xml:space="preserve"> </v>
      </c>
      <c r="L438" s="2" t="str">
        <f t="shared" si="33"/>
        <v xml:space="preserve"> </v>
      </c>
      <c r="M438" s="2" t="str">
        <f t="shared" si="34"/>
        <v xml:space="preserve"> </v>
      </c>
    </row>
    <row r="439" spans="1:13" x14ac:dyDescent="0.25">
      <c r="A439" s="34" t="str">
        <f t="shared" si="31"/>
        <v xml:space="preserve"> </v>
      </c>
      <c r="D439" s="33"/>
      <c r="E439" s="33"/>
      <c r="J439" s="14">
        <f t="shared" si="30"/>
        <v>0</v>
      </c>
      <c r="K439" s="2" t="str">
        <f t="shared" si="32"/>
        <v xml:space="preserve"> </v>
      </c>
      <c r="L439" s="2" t="str">
        <f t="shared" si="33"/>
        <v xml:space="preserve"> </v>
      </c>
      <c r="M439" s="2" t="str">
        <f t="shared" si="34"/>
        <v xml:space="preserve"> </v>
      </c>
    </row>
    <row r="440" spans="1:13" x14ac:dyDescent="0.25">
      <c r="A440" s="34" t="str">
        <f t="shared" si="31"/>
        <v xml:space="preserve"> </v>
      </c>
      <c r="D440" s="33"/>
      <c r="E440" s="33"/>
      <c r="J440" s="14">
        <f t="shared" si="30"/>
        <v>0</v>
      </c>
      <c r="K440" s="2" t="str">
        <f t="shared" si="32"/>
        <v xml:space="preserve"> </v>
      </c>
      <c r="L440" s="2" t="str">
        <f t="shared" si="33"/>
        <v xml:space="preserve"> </v>
      </c>
      <c r="M440" s="2" t="str">
        <f t="shared" si="34"/>
        <v xml:space="preserve"> </v>
      </c>
    </row>
    <row r="441" spans="1:13" x14ac:dyDescent="0.25">
      <c r="A441" s="34" t="str">
        <f t="shared" si="31"/>
        <v xml:space="preserve"> </v>
      </c>
      <c r="D441" s="33"/>
      <c r="E441" s="33"/>
      <c r="J441" s="14">
        <f t="shared" si="30"/>
        <v>0</v>
      </c>
      <c r="K441" s="2" t="str">
        <f t="shared" si="32"/>
        <v xml:space="preserve"> </v>
      </c>
      <c r="L441" s="2" t="str">
        <f t="shared" si="33"/>
        <v xml:space="preserve"> </v>
      </c>
      <c r="M441" s="2" t="str">
        <f t="shared" si="34"/>
        <v xml:space="preserve"> </v>
      </c>
    </row>
    <row r="442" spans="1:13" x14ac:dyDescent="0.25">
      <c r="A442" s="34" t="str">
        <f t="shared" si="31"/>
        <v xml:space="preserve"> </v>
      </c>
      <c r="D442" s="33"/>
      <c r="E442" s="33"/>
      <c r="J442" s="14">
        <f t="shared" si="30"/>
        <v>0</v>
      </c>
      <c r="K442" s="2" t="str">
        <f t="shared" si="32"/>
        <v xml:space="preserve"> </v>
      </c>
      <c r="L442" s="2" t="str">
        <f t="shared" si="33"/>
        <v xml:space="preserve"> </v>
      </c>
      <c r="M442" s="2" t="str">
        <f t="shared" si="34"/>
        <v xml:space="preserve"> </v>
      </c>
    </row>
    <row r="443" spans="1:13" x14ac:dyDescent="0.25">
      <c r="A443" s="34" t="str">
        <f t="shared" si="31"/>
        <v xml:space="preserve"> </v>
      </c>
      <c r="D443" s="33"/>
      <c r="E443" s="33"/>
      <c r="J443" s="14">
        <f t="shared" si="30"/>
        <v>0</v>
      </c>
      <c r="K443" s="2" t="str">
        <f t="shared" si="32"/>
        <v xml:space="preserve"> </v>
      </c>
      <c r="L443" s="2" t="str">
        <f t="shared" si="33"/>
        <v xml:space="preserve"> </v>
      </c>
      <c r="M443" s="2" t="str">
        <f t="shared" si="34"/>
        <v xml:space="preserve"> </v>
      </c>
    </row>
    <row r="444" spans="1:13" x14ac:dyDescent="0.25">
      <c r="A444" s="34" t="str">
        <f t="shared" si="31"/>
        <v xml:space="preserve"> </v>
      </c>
      <c r="D444" s="33"/>
      <c r="E444" s="33"/>
      <c r="J444" s="14">
        <f t="shared" si="30"/>
        <v>0</v>
      </c>
      <c r="K444" s="2" t="str">
        <f t="shared" si="32"/>
        <v xml:space="preserve"> </v>
      </c>
      <c r="L444" s="2" t="str">
        <f t="shared" si="33"/>
        <v xml:space="preserve"> </v>
      </c>
      <c r="M444" s="2" t="str">
        <f t="shared" si="34"/>
        <v xml:space="preserve"> </v>
      </c>
    </row>
    <row r="445" spans="1:13" x14ac:dyDescent="0.25">
      <c r="A445" s="34" t="str">
        <f t="shared" si="31"/>
        <v xml:space="preserve"> </v>
      </c>
      <c r="D445" s="33"/>
      <c r="E445" s="33"/>
      <c r="J445" s="14">
        <f t="shared" si="30"/>
        <v>0</v>
      </c>
      <c r="K445" s="2" t="str">
        <f t="shared" si="32"/>
        <v xml:space="preserve"> </v>
      </c>
      <c r="L445" s="2" t="str">
        <f t="shared" si="33"/>
        <v xml:space="preserve"> </v>
      </c>
      <c r="M445" s="2" t="str">
        <f t="shared" si="34"/>
        <v xml:space="preserve"> </v>
      </c>
    </row>
    <row r="446" spans="1:13" x14ac:dyDescent="0.25">
      <c r="A446" s="34" t="str">
        <f t="shared" si="31"/>
        <v xml:space="preserve"> </v>
      </c>
      <c r="D446" s="33"/>
      <c r="E446" s="33"/>
      <c r="J446" s="14">
        <f t="shared" si="30"/>
        <v>0</v>
      </c>
      <c r="K446" s="2" t="str">
        <f t="shared" si="32"/>
        <v xml:space="preserve"> </v>
      </c>
      <c r="L446" s="2" t="str">
        <f t="shared" si="33"/>
        <v xml:space="preserve"> </v>
      </c>
      <c r="M446" s="2" t="str">
        <f t="shared" si="34"/>
        <v xml:space="preserve"> </v>
      </c>
    </row>
    <row r="447" spans="1:13" x14ac:dyDescent="0.25">
      <c r="A447" s="34" t="str">
        <f t="shared" si="31"/>
        <v xml:space="preserve"> </v>
      </c>
      <c r="D447" s="33"/>
      <c r="E447" s="33"/>
      <c r="J447" s="14">
        <f t="shared" si="30"/>
        <v>0</v>
      </c>
      <c r="K447" s="2" t="str">
        <f t="shared" si="32"/>
        <v xml:space="preserve"> </v>
      </c>
      <c r="L447" s="2" t="str">
        <f t="shared" si="33"/>
        <v xml:space="preserve"> </v>
      </c>
      <c r="M447" s="2" t="str">
        <f t="shared" si="34"/>
        <v xml:space="preserve"> </v>
      </c>
    </row>
    <row r="448" spans="1:13" x14ac:dyDescent="0.25">
      <c r="A448" s="34" t="str">
        <f t="shared" si="31"/>
        <v xml:space="preserve"> </v>
      </c>
      <c r="D448" s="33"/>
      <c r="E448" s="33"/>
      <c r="J448" s="14">
        <f t="shared" si="30"/>
        <v>0</v>
      </c>
      <c r="K448" s="2" t="str">
        <f t="shared" si="32"/>
        <v xml:space="preserve"> </v>
      </c>
      <c r="L448" s="2" t="str">
        <f t="shared" si="33"/>
        <v xml:space="preserve"> </v>
      </c>
      <c r="M448" s="2" t="str">
        <f t="shared" si="34"/>
        <v xml:space="preserve"> </v>
      </c>
    </row>
    <row r="449" spans="1:13" x14ac:dyDescent="0.25">
      <c r="A449" s="34" t="str">
        <f t="shared" si="31"/>
        <v xml:space="preserve"> </v>
      </c>
      <c r="D449" s="33"/>
      <c r="E449" s="33"/>
      <c r="J449" s="14">
        <f t="shared" si="30"/>
        <v>0</v>
      </c>
      <c r="K449" s="2" t="str">
        <f t="shared" si="32"/>
        <v xml:space="preserve"> </v>
      </c>
      <c r="L449" s="2" t="str">
        <f t="shared" si="33"/>
        <v xml:space="preserve"> </v>
      </c>
      <c r="M449" s="2" t="str">
        <f t="shared" si="34"/>
        <v xml:space="preserve"> </v>
      </c>
    </row>
    <row r="450" spans="1:13" x14ac:dyDescent="0.25">
      <c r="A450" s="34" t="str">
        <f t="shared" si="31"/>
        <v xml:space="preserve"> </v>
      </c>
      <c r="D450" s="33"/>
      <c r="E450" s="33"/>
      <c r="J450" s="14">
        <f t="shared" si="30"/>
        <v>0</v>
      </c>
      <c r="K450" s="2" t="str">
        <f t="shared" si="32"/>
        <v xml:space="preserve"> </v>
      </c>
      <c r="L450" s="2" t="str">
        <f t="shared" si="33"/>
        <v xml:space="preserve"> </v>
      </c>
      <c r="M450" s="2" t="str">
        <f t="shared" si="34"/>
        <v xml:space="preserve"> </v>
      </c>
    </row>
    <row r="451" spans="1:13" x14ac:dyDescent="0.25">
      <c r="A451" s="34" t="str">
        <f t="shared" si="31"/>
        <v xml:space="preserve"> </v>
      </c>
      <c r="D451" s="33"/>
      <c r="E451" s="33"/>
      <c r="J451" s="14">
        <f t="shared" ref="J451:J482" si="35">F451-G451+H451-I451</f>
        <v>0</v>
      </c>
      <c r="K451" s="2" t="str">
        <f t="shared" si="32"/>
        <v xml:space="preserve"> </v>
      </c>
      <c r="L451" s="2" t="str">
        <f t="shared" si="33"/>
        <v xml:space="preserve"> </v>
      </c>
      <c r="M451" s="2" t="str">
        <f t="shared" si="34"/>
        <v xml:space="preserve"> </v>
      </c>
    </row>
    <row r="452" spans="1:13" x14ac:dyDescent="0.25">
      <c r="A452" s="34" t="str">
        <f t="shared" si="31"/>
        <v xml:space="preserve"> </v>
      </c>
      <c r="D452" s="33"/>
      <c r="E452" s="33"/>
      <c r="J452" s="14">
        <f t="shared" si="35"/>
        <v>0</v>
      </c>
      <c r="K452" s="2" t="str">
        <f t="shared" si="32"/>
        <v xml:space="preserve"> </v>
      </c>
      <c r="L452" s="2" t="str">
        <f t="shared" si="33"/>
        <v xml:space="preserve"> </v>
      </c>
      <c r="M452" s="2" t="str">
        <f t="shared" si="34"/>
        <v xml:space="preserve"> </v>
      </c>
    </row>
    <row r="453" spans="1:13" x14ac:dyDescent="0.25">
      <c r="A453" s="34" t="str">
        <f t="shared" si="31"/>
        <v xml:space="preserve"> </v>
      </c>
      <c r="D453" s="33"/>
      <c r="E453" s="33"/>
      <c r="J453" s="14">
        <f t="shared" si="35"/>
        <v>0</v>
      </c>
      <c r="K453" s="2" t="str">
        <f t="shared" si="32"/>
        <v xml:space="preserve"> </v>
      </c>
      <c r="L453" s="2" t="str">
        <f t="shared" si="33"/>
        <v xml:space="preserve"> </v>
      </c>
      <c r="M453" s="2" t="str">
        <f t="shared" si="34"/>
        <v xml:space="preserve"> </v>
      </c>
    </row>
    <row r="454" spans="1:13" x14ac:dyDescent="0.25">
      <c r="A454" s="34" t="str">
        <f t="shared" si="31"/>
        <v xml:space="preserve"> </v>
      </c>
      <c r="D454" s="33"/>
      <c r="E454" s="33"/>
      <c r="J454" s="14">
        <f t="shared" si="35"/>
        <v>0</v>
      </c>
      <c r="K454" s="2" t="str">
        <f t="shared" si="32"/>
        <v xml:space="preserve"> </v>
      </c>
      <c r="L454" s="2" t="str">
        <f t="shared" si="33"/>
        <v xml:space="preserve"> </v>
      </c>
      <c r="M454" s="2" t="str">
        <f t="shared" si="34"/>
        <v xml:space="preserve"> </v>
      </c>
    </row>
    <row r="455" spans="1:13" x14ac:dyDescent="0.25">
      <c r="A455" s="34" t="str">
        <f t="shared" si="31"/>
        <v xml:space="preserve"> </v>
      </c>
      <c r="D455" s="33"/>
      <c r="E455" s="33"/>
      <c r="J455" s="14">
        <f t="shared" si="35"/>
        <v>0</v>
      </c>
      <c r="K455" s="2" t="str">
        <f t="shared" si="32"/>
        <v xml:space="preserve"> </v>
      </c>
      <c r="L455" s="2" t="str">
        <f t="shared" si="33"/>
        <v xml:space="preserve"> </v>
      </c>
      <c r="M455" s="2" t="str">
        <f t="shared" si="34"/>
        <v xml:space="preserve"> </v>
      </c>
    </row>
    <row r="456" spans="1:13" x14ac:dyDescent="0.25">
      <c r="A456" s="34" t="str">
        <f t="shared" si="31"/>
        <v xml:space="preserve"> </v>
      </c>
      <c r="D456" s="33"/>
      <c r="E456" s="33"/>
      <c r="J456" s="14">
        <f t="shared" si="35"/>
        <v>0</v>
      </c>
      <c r="K456" s="2" t="str">
        <f t="shared" si="32"/>
        <v xml:space="preserve"> </v>
      </c>
      <c r="L456" s="2" t="str">
        <f t="shared" si="33"/>
        <v xml:space="preserve"> </v>
      </c>
      <c r="M456" s="2" t="str">
        <f t="shared" si="34"/>
        <v xml:space="preserve"> </v>
      </c>
    </row>
    <row r="457" spans="1:13" x14ac:dyDescent="0.25">
      <c r="A457" s="34" t="str">
        <f t="shared" si="31"/>
        <v xml:space="preserve"> </v>
      </c>
      <c r="D457" s="33"/>
      <c r="E457" s="33"/>
      <c r="J457" s="14">
        <f t="shared" si="35"/>
        <v>0</v>
      </c>
      <c r="K457" s="2" t="str">
        <f t="shared" si="32"/>
        <v xml:space="preserve"> </v>
      </c>
      <c r="L457" s="2" t="str">
        <f t="shared" si="33"/>
        <v xml:space="preserve"> </v>
      </c>
      <c r="M457" s="2" t="str">
        <f t="shared" si="34"/>
        <v xml:space="preserve"> </v>
      </c>
    </row>
    <row r="458" spans="1:13" x14ac:dyDescent="0.25">
      <c r="A458" s="34" t="str">
        <f t="shared" si="31"/>
        <v xml:space="preserve"> </v>
      </c>
      <c r="D458" s="33"/>
      <c r="E458" s="33"/>
      <c r="J458" s="14">
        <f t="shared" si="35"/>
        <v>0</v>
      </c>
      <c r="K458" s="2" t="str">
        <f t="shared" si="32"/>
        <v xml:space="preserve"> </v>
      </c>
      <c r="L458" s="2" t="str">
        <f t="shared" si="33"/>
        <v xml:space="preserve"> </v>
      </c>
      <c r="M458" s="2" t="str">
        <f t="shared" si="34"/>
        <v xml:space="preserve"> </v>
      </c>
    </row>
    <row r="459" spans="1:13" x14ac:dyDescent="0.25">
      <c r="A459" s="34" t="str">
        <f t="shared" si="31"/>
        <v xml:space="preserve"> </v>
      </c>
      <c r="D459" s="33"/>
      <c r="E459" s="33"/>
      <c r="J459" s="14">
        <f t="shared" si="35"/>
        <v>0</v>
      </c>
      <c r="K459" s="2" t="str">
        <f t="shared" si="32"/>
        <v xml:space="preserve"> </v>
      </c>
      <c r="L459" s="2" t="str">
        <f t="shared" si="33"/>
        <v xml:space="preserve"> </v>
      </c>
      <c r="M459" s="2" t="str">
        <f t="shared" si="34"/>
        <v xml:space="preserve"> </v>
      </c>
    </row>
    <row r="460" spans="1:13" x14ac:dyDescent="0.25">
      <c r="A460" s="34" t="str">
        <f t="shared" si="31"/>
        <v xml:space="preserve"> </v>
      </c>
      <c r="D460" s="33"/>
      <c r="E460" s="33"/>
      <c r="J460" s="14">
        <f t="shared" si="35"/>
        <v>0</v>
      </c>
      <c r="K460" s="2" t="str">
        <f t="shared" si="32"/>
        <v xml:space="preserve"> </v>
      </c>
      <c r="L460" s="2" t="str">
        <f t="shared" si="33"/>
        <v xml:space="preserve"> </v>
      </c>
      <c r="M460" s="2" t="str">
        <f t="shared" si="34"/>
        <v xml:space="preserve"> </v>
      </c>
    </row>
    <row r="461" spans="1:13" x14ac:dyDescent="0.25">
      <c r="A461" s="34" t="str">
        <f t="shared" si="31"/>
        <v xml:space="preserve"> </v>
      </c>
      <c r="D461" s="33"/>
      <c r="E461" s="33"/>
      <c r="J461" s="14">
        <f t="shared" si="35"/>
        <v>0</v>
      </c>
      <c r="K461" s="2" t="str">
        <f t="shared" si="32"/>
        <v xml:space="preserve"> </v>
      </c>
      <c r="L461" s="2" t="str">
        <f t="shared" si="33"/>
        <v xml:space="preserve"> </v>
      </c>
      <c r="M461" s="2" t="str">
        <f t="shared" si="34"/>
        <v xml:space="preserve"> </v>
      </c>
    </row>
    <row r="462" spans="1:13" x14ac:dyDescent="0.25">
      <c r="A462" s="34" t="str">
        <f t="shared" si="31"/>
        <v xml:space="preserve"> </v>
      </c>
      <c r="D462" s="33"/>
      <c r="E462" s="33"/>
      <c r="J462" s="14">
        <f t="shared" si="35"/>
        <v>0</v>
      </c>
      <c r="K462" s="2" t="str">
        <f t="shared" si="32"/>
        <v xml:space="preserve"> </v>
      </c>
      <c r="L462" s="2" t="str">
        <f t="shared" si="33"/>
        <v xml:space="preserve"> </v>
      </c>
      <c r="M462" s="2" t="str">
        <f t="shared" si="34"/>
        <v xml:space="preserve"> </v>
      </c>
    </row>
    <row r="463" spans="1:13" x14ac:dyDescent="0.25">
      <c r="A463" s="34" t="str">
        <f t="shared" ref="A463:A482" si="36">IF(COUNTIF(K463:M463,"ERROR")&gt;0,"ERROR"," ")</f>
        <v xml:space="preserve"> </v>
      </c>
      <c r="D463" s="33"/>
      <c r="E463" s="33"/>
      <c r="J463" s="14">
        <f t="shared" si="35"/>
        <v>0</v>
      </c>
      <c r="K463" s="2" t="str">
        <f t="shared" si="32"/>
        <v xml:space="preserve"> </v>
      </c>
      <c r="L463" s="2" t="str">
        <f t="shared" si="33"/>
        <v xml:space="preserve"> </v>
      </c>
      <c r="M463" s="2" t="str">
        <f t="shared" si="34"/>
        <v xml:space="preserve"> </v>
      </c>
    </row>
    <row r="464" spans="1:13" x14ac:dyDescent="0.25">
      <c r="A464" s="34" t="str">
        <f t="shared" si="36"/>
        <v xml:space="preserve"> </v>
      </c>
      <c r="D464" s="33"/>
      <c r="E464" s="33"/>
      <c r="J464" s="14">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4" t="str">
        <f t="shared" si="36"/>
        <v xml:space="preserve"> </v>
      </c>
      <c r="D465" s="33"/>
      <c r="E465" s="33"/>
      <c r="J465" s="14">
        <f t="shared" si="35"/>
        <v>0</v>
      </c>
      <c r="K465" s="2" t="str">
        <f t="shared" si="37"/>
        <v xml:space="preserve"> </v>
      </c>
      <c r="L465" s="2" t="str">
        <f t="shared" si="38"/>
        <v xml:space="preserve"> </v>
      </c>
      <c r="M465" s="2" t="str">
        <f t="shared" si="39"/>
        <v xml:space="preserve"> </v>
      </c>
    </row>
    <row r="466" spans="1:13" x14ac:dyDescent="0.25">
      <c r="A466" s="34" t="str">
        <f t="shared" si="36"/>
        <v xml:space="preserve"> </v>
      </c>
      <c r="D466" s="33"/>
      <c r="E466" s="33"/>
      <c r="J466" s="14">
        <f t="shared" si="35"/>
        <v>0</v>
      </c>
      <c r="K466" s="2" t="str">
        <f t="shared" si="37"/>
        <v xml:space="preserve"> </v>
      </c>
      <c r="L466" s="2" t="str">
        <f t="shared" si="38"/>
        <v xml:space="preserve"> </v>
      </c>
      <c r="M466" s="2" t="str">
        <f t="shared" si="39"/>
        <v xml:space="preserve"> </v>
      </c>
    </row>
    <row r="467" spans="1:13" x14ac:dyDescent="0.25">
      <c r="A467" s="34" t="str">
        <f t="shared" si="36"/>
        <v xml:space="preserve"> </v>
      </c>
      <c r="D467" s="33"/>
      <c r="E467" s="33"/>
      <c r="J467" s="14">
        <f t="shared" si="35"/>
        <v>0</v>
      </c>
      <c r="K467" s="2" t="str">
        <f t="shared" si="37"/>
        <v xml:space="preserve"> </v>
      </c>
      <c r="L467" s="2" t="str">
        <f t="shared" si="38"/>
        <v xml:space="preserve"> </v>
      </c>
      <c r="M467" s="2" t="str">
        <f t="shared" si="39"/>
        <v xml:space="preserve"> </v>
      </c>
    </row>
    <row r="468" spans="1:13" x14ac:dyDescent="0.25">
      <c r="A468" s="34" t="str">
        <f t="shared" si="36"/>
        <v xml:space="preserve"> </v>
      </c>
      <c r="D468" s="33"/>
      <c r="E468" s="33"/>
      <c r="J468" s="14">
        <f t="shared" si="35"/>
        <v>0</v>
      </c>
      <c r="K468" s="2" t="str">
        <f t="shared" si="37"/>
        <v xml:space="preserve"> </v>
      </c>
      <c r="L468" s="2" t="str">
        <f t="shared" si="38"/>
        <v xml:space="preserve"> </v>
      </c>
      <c r="M468" s="2" t="str">
        <f t="shared" si="39"/>
        <v xml:space="preserve"> </v>
      </c>
    </row>
    <row r="469" spans="1:13" x14ac:dyDescent="0.25">
      <c r="A469" s="34" t="str">
        <f t="shared" si="36"/>
        <v xml:space="preserve"> </v>
      </c>
      <c r="D469" s="33"/>
      <c r="E469" s="33"/>
      <c r="J469" s="14">
        <f t="shared" si="35"/>
        <v>0</v>
      </c>
      <c r="K469" s="2" t="str">
        <f t="shared" si="37"/>
        <v xml:space="preserve"> </v>
      </c>
      <c r="L469" s="2" t="str">
        <f t="shared" si="38"/>
        <v xml:space="preserve"> </v>
      </c>
      <c r="M469" s="2" t="str">
        <f t="shared" si="39"/>
        <v xml:space="preserve"> </v>
      </c>
    </row>
    <row r="470" spans="1:13" x14ac:dyDescent="0.25">
      <c r="A470" s="34" t="str">
        <f t="shared" si="36"/>
        <v xml:space="preserve"> </v>
      </c>
      <c r="D470" s="33"/>
      <c r="E470" s="33"/>
      <c r="J470" s="14">
        <f t="shared" si="35"/>
        <v>0</v>
      </c>
      <c r="K470" s="2" t="str">
        <f t="shared" si="37"/>
        <v xml:space="preserve"> </v>
      </c>
      <c r="L470" s="2" t="str">
        <f t="shared" si="38"/>
        <v xml:space="preserve"> </v>
      </c>
      <c r="M470" s="2" t="str">
        <f t="shared" si="39"/>
        <v xml:space="preserve"> </v>
      </c>
    </row>
    <row r="471" spans="1:13" x14ac:dyDescent="0.25">
      <c r="A471" s="34" t="str">
        <f t="shared" si="36"/>
        <v xml:space="preserve"> </v>
      </c>
      <c r="D471" s="33"/>
      <c r="E471" s="33"/>
      <c r="J471" s="14">
        <f t="shared" si="35"/>
        <v>0</v>
      </c>
      <c r="K471" s="2" t="str">
        <f t="shared" si="37"/>
        <v xml:space="preserve"> </v>
      </c>
      <c r="L471" s="2" t="str">
        <f t="shared" si="38"/>
        <v xml:space="preserve"> </v>
      </c>
      <c r="M471" s="2" t="str">
        <f t="shared" si="39"/>
        <v xml:space="preserve"> </v>
      </c>
    </row>
    <row r="472" spans="1:13" x14ac:dyDescent="0.25">
      <c r="A472" s="34" t="str">
        <f t="shared" si="36"/>
        <v xml:space="preserve"> </v>
      </c>
      <c r="D472" s="33"/>
      <c r="E472" s="33"/>
      <c r="J472" s="14">
        <f t="shared" si="35"/>
        <v>0</v>
      </c>
      <c r="K472" s="2" t="str">
        <f t="shared" si="37"/>
        <v xml:space="preserve"> </v>
      </c>
      <c r="L472" s="2" t="str">
        <f t="shared" si="38"/>
        <v xml:space="preserve"> </v>
      </c>
      <c r="M472" s="2" t="str">
        <f t="shared" si="39"/>
        <v xml:space="preserve"> </v>
      </c>
    </row>
    <row r="473" spans="1:13" x14ac:dyDescent="0.25">
      <c r="A473" s="34" t="str">
        <f t="shared" si="36"/>
        <v xml:space="preserve"> </v>
      </c>
      <c r="D473" s="33"/>
      <c r="E473" s="33"/>
      <c r="J473" s="14">
        <f t="shared" si="35"/>
        <v>0</v>
      </c>
      <c r="K473" s="2" t="str">
        <f t="shared" si="37"/>
        <v xml:space="preserve"> </v>
      </c>
      <c r="L473" s="2" t="str">
        <f t="shared" si="38"/>
        <v xml:space="preserve"> </v>
      </c>
      <c r="M473" s="2" t="str">
        <f t="shared" si="39"/>
        <v xml:space="preserve"> </v>
      </c>
    </row>
    <row r="474" spans="1:13" x14ac:dyDescent="0.25">
      <c r="A474" s="34" t="str">
        <f t="shared" si="36"/>
        <v xml:space="preserve"> </v>
      </c>
      <c r="D474" s="33"/>
      <c r="E474" s="33"/>
      <c r="J474" s="14">
        <f t="shared" si="35"/>
        <v>0</v>
      </c>
      <c r="K474" s="2" t="str">
        <f t="shared" si="37"/>
        <v xml:space="preserve"> </v>
      </c>
      <c r="L474" s="2" t="str">
        <f t="shared" si="38"/>
        <v xml:space="preserve"> </v>
      </c>
      <c r="M474" s="2" t="str">
        <f t="shared" si="39"/>
        <v xml:space="preserve"> </v>
      </c>
    </row>
    <row r="475" spans="1:13" x14ac:dyDescent="0.25">
      <c r="A475" s="34" t="str">
        <f t="shared" si="36"/>
        <v xml:space="preserve"> </v>
      </c>
      <c r="D475" s="33"/>
      <c r="E475" s="33"/>
      <c r="J475" s="14">
        <f t="shared" si="35"/>
        <v>0</v>
      </c>
      <c r="K475" s="2" t="str">
        <f t="shared" si="37"/>
        <v xml:space="preserve"> </v>
      </c>
      <c r="L475" s="2" t="str">
        <f t="shared" si="38"/>
        <v xml:space="preserve"> </v>
      </c>
      <c r="M475" s="2" t="str">
        <f t="shared" si="39"/>
        <v xml:space="preserve"> </v>
      </c>
    </row>
    <row r="476" spans="1:13" x14ac:dyDescent="0.25">
      <c r="A476" s="34" t="str">
        <f t="shared" si="36"/>
        <v xml:space="preserve"> </v>
      </c>
      <c r="D476" s="33"/>
      <c r="E476" s="33"/>
      <c r="J476" s="14">
        <f t="shared" si="35"/>
        <v>0</v>
      </c>
      <c r="K476" s="2" t="str">
        <f t="shared" si="37"/>
        <v xml:space="preserve"> </v>
      </c>
      <c r="L476" s="2" t="str">
        <f t="shared" si="38"/>
        <v xml:space="preserve"> </v>
      </c>
      <c r="M476" s="2" t="str">
        <f t="shared" si="39"/>
        <v xml:space="preserve"> </v>
      </c>
    </row>
    <row r="477" spans="1:13" x14ac:dyDescent="0.25">
      <c r="A477" s="34" t="str">
        <f t="shared" si="36"/>
        <v xml:space="preserve"> </v>
      </c>
      <c r="D477" s="33"/>
      <c r="E477" s="33"/>
      <c r="J477" s="14">
        <f t="shared" si="35"/>
        <v>0</v>
      </c>
      <c r="K477" s="2" t="str">
        <f t="shared" si="37"/>
        <v xml:space="preserve"> </v>
      </c>
      <c r="L477" s="2" t="str">
        <f t="shared" si="38"/>
        <v xml:space="preserve"> </v>
      </c>
      <c r="M477" s="2" t="str">
        <f t="shared" si="39"/>
        <v xml:space="preserve"> </v>
      </c>
    </row>
    <row r="478" spans="1:13" x14ac:dyDescent="0.25">
      <c r="A478" s="34" t="str">
        <f t="shared" si="36"/>
        <v xml:space="preserve"> </v>
      </c>
      <c r="D478" s="33"/>
      <c r="E478" s="33"/>
      <c r="J478" s="14">
        <f t="shared" si="35"/>
        <v>0</v>
      </c>
      <c r="K478" s="2" t="str">
        <f t="shared" si="37"/>
        <v xml:space="preserve"> </v>
      </c>
      <c r="L478" s="2" t="str">
        <f t="shared" si="38"/>
        <v xml:space="preserve"> </v>
      </c>
      <c r="M478" s="2" t="str">
        <f t="shared" si="39"/>
        <v xml:space="preserve"> </v>
      </c>
    </row>
    <row r="479" spans="1:13" x14ac:dyDescent="0.25">
      <c r="A479" s="34" t="str">
        <f t="shared" si="36"/>
        <v xml:space="preserve"> </v>
      </c>
      <c r="D479" s="33"/>
      <c r="E479" s="33"/>
      <c r="J479" s="14">
        <f t="shared" si="35"/>
        <v>0</v>
      </c>
      <c r="K479" s="2" t="str">
        <f t="shared" si="37"/>
        <v xml:space="preserve"> </v>
      </c>
      <c r="L479" s="2" t="str">
        <f t="shared" si="38"/>
        <v xml:space="preserve"> </v>
      </c>
      <c r="M479" s="2" t="str">
        <f t="shared" si="39"/>
        <v xml:space="preserve"> </v>
      </c>
    </row>
    <row r="480" spans="1:13" x14ac:dyDescent="0.25">
      <c r="A480" s="34" t="str">
        <f t="shared" si="36"/>
        <v xml:space="preserve"> </v>
      </c>
      <c r="D480" s="33"/>
      <c r="E480" s="33"/>
      <c r="J480" s="14">
        <f t="shared" si="35"/>
        <v>0</v>
      </c>
      <c r="K480" s="2" t="str">
        <f t="shared" si="37"/>
        <v xml:space="preserve"> </v>
      </c>
      <c r="L480" s="2" t="str">
        <f t="shared" si="38"/>
        <v xml:space="preserve"> </v>
      </c>
      <c r="M480" s="2" t="str">
        <f t="shared" si="39"/>
        <v xml:space="preserve"> </v>
      </c>
    </row>
    <row r="481" spans="1:13" x14ac:dyDescent="0.25">
      <c r="A481" s="34" t="str">
        <f t="shared" si="36"/>
        <v xml:space="preserve"> </v>
      </c>
      <c r="D481" s="33"/>
      <c r="E481" s="33"/>
      <c r="J481" s="14">
        <f t="shared" si="35"/>
        <v>0</v>
      </c>
      <c r="K481" s="2" t="str">
        <f t="shared" si="37"/>
        <v xml:space="preserve"> </v>
      </c>
      <c r="L481" s="2" t="str">
        <f t="shared" si="38"/>
        <v xml:space="preserve"> </v>
      </c>
      <c r="M481" s="2" t="str">
        <f t="shared" si="39"/>
        <v xml:space="preserve"> </v>
      </c>
    </row>
    <row r="482" spans="1:13" x14ac:dyDescent="0.25">
      <c r="A482" s="34" t="str">
        <f t="shared" si="36"/>
        <v xml:space="preserve"> </v>
      </c>
      <c r="D482" s="33"/>
      <c r="E482" s="33"/>
      <c r="J482" s="14">
        <f t="shared" si="35"/>
        <v>0</v>
      </c>
      <c r="K482" s="2" t="str">
        <f t="shared" si="37"/>
        <v xml:space="preserve"> </v>
      </c>
      <c r="L482" s="2" t="str">
        <f t="shared" si="38"/>
        <v xml:space="preserve"> </v>
      </c>
      <c r="M482" s="2" t="str">
        <f t="shared" si="39"/>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267</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M394"/>
  <sheetViews>
    <sheetView zoomScale="87" zoomScaleNormal="87" workbookViewId="0">
      <selection activeCell="A18" sqref="A18"/>
    </sheetView>
  </sheetViews>
  <sheetFormatPr defaultRowHeight="12.75" x14ac:dyDescent="0.2"/>
  <cols>
    <col min="1" max="1" width="2.28515625" style="36" customWidth="1"/>
    <col min="2" max="2" width="17.28515625" style="144" customWidth="1"/>
    <col min="3" max="3" width="62.42578125" style="36" bestFit="1" customWidth="1"/>
    <col min="4" max="4" width="20" style="36" bestFit="1" customWidth="1"/>
    <col min="5" max="5" width="13.85546875" style="36" bestFit="1" customWidth="1"/>
    <col min="6" max="6" width="12.5703125" style="36" customWidth="1"/>
    <col min="7" max="7" width="17.7109375" style="36" customWidth="1"/>
    <col min="8" max="8" width="19.85546875" style="36" bestFit="1" customWidth="1"/>
    <col min="9" max="9" width="15.42578125" style="36" customWidth="1"/>
    <col min="10" max="10" width="13.85546875" style="36" bestFit="1" customWidth="1"/>
    <col min="11" max="11" width="14.5703125" style="36" bestFit="1" customWidth="1"/>
    <col min="12" max="12" width="12.5703125" style="36" bestFit="1" customWidth="1"/>
    <col min="13" max="13" width="14" style="36" customWidth="1"/>
    <col min="14" max="14" width="12.85546875" style="36" bestFit="1" customWidth="1"/>
    <col min="15" max="16384" width="9.140625" style="36"/>
  </cols>
  <sheetData>
    <row r="2" spans="3:11" ht="40.5" customHeight="1" x14ac:dyDescent="0.2">
      <c r="C2" s="110" t="str">
        <f>Criteria!E9</f>
        <v>HOLDING COMPANY 268 (PROPRIETARY) LIMITED</v>
      </c>
      <c r="J2" s="109" t="s">
        <v>76</v>
      </c>
      <c r="K2" s="109"/>
    </row>
    <row r="3" spans="3:11" ht="12.75" customHeight="1" x14ac:dyDescent="0.2">
      <c r="C3" s="57" t="s">
        <v>75</v>
      </c>
      <c r="D3" s="57" t="str">
        <f>Criteria!E20</f>
        <v>28 FEBRUARY 2025</v>
      </c>
      <c r="E3" s="57"/>
      <c r="F3" s="57"/>
      <c r="G3" s="57"/>
    </row>
    <row r="4" spans="3:11" ht="40.5" customHeight="1" x14ac:dyDescent="0.2">
      <c r="C4" s="138" t="s">
        <v>96</v>
      </c>
      <c r="D4" s="57"/>
      <c r="E4" s="57"/>
      <c r="F4" s="57"/>
      <c r="G4" s="57"/>
      <c r="J4" s="109" t="s">
        <v>77</v>
      </c>
      <c r="K4" s="109"/>
    </row>
    <row r="5" spans="3:11" x14ac:dyDescent="0.2">
      <c r="C5" s="60"/>
      <c r="D5" s="60"/>
      <c r="E5" s="60"/>
      <c r="F5" s="60"/>
      <c r="G5" s="60"/>
      <c r="H5" s="60"/>
      <c r="I5" s="60"/>
      <c r="J5" s="60"/>
      <c r="K5" s="60"/>
    </row>
    <row r="7" spans="3:11" x14ac:dyDescent="0.2">
      <c r="C7" s="58" t="s">
        <v>640</v>
      </c>
    </row>
    <row r="8" spans="3:11" x14ac:dyDescent="0.2">
      <c r="I8" s="495" t="str">
        <f>Criteria!G24</f>
        <v>28 February 2025</v>
      </c>
      <c r="J8" s="495"/>
      <c r="K8" s="495"/>
    </row>
    <row r="9" spans="3:11" x14ac:dyDescent="0.2">
      <c r="C9" s="157"/>
      <c r="D9" s="57"/>
      <c r="E9" s="57"/>
      <c r="F9" s="57"/>
      <c r="G9" s="57"/>
      <c r="H9" s="58"/>
      <c r="I9" s="21" t="s">
        <v>949</v>
      </c>
      <c r="J9" s="21" t="s">
        <v>561</v>
      </c>
      <c r="K9" s="21" t="s">
        <v>560</v>
      </c>
    </row>
    <row r="10" spans="3:11" x14ac:dyDescent="0.2">
      <c r="C10" s="162" t="str">
        <f>B23</f>
        <v>REVALUATION</v>
      </c>
      <c r="D10" s="57"/>
      <c r="E10" s="57"/>
      <c r="F10" s="57"/>
      <c r="G10" s="57"/>
      <c r="H10" s="58"/>
      <c r="I10" s="162">
        <f>I52</f>
        <v>0</v>
      </c>
      <c r="J10" s="162">
        <f>J52</f>
        <v>0</v>
      </c>
      <c r="K10" s="162">
        <f>K52</f>
        <v>0</v>
      </c>
    </row>
    <row r="11" spans="3:11" x14ac:dyDescent="0.2">
      <c r="C11" s="162" t="str">
        <f>B54</f>
        <v>INVESTMENT PROPERTY</v>
      </c>
      <c r="D11" s="57"/>
      <c r="E11" s="57"/>
      <c r="F11" s="57"/>
      <c r="G11" s="57"/>
      <c r="H11" s="58"/>
      <c r="I11" s="162">
        <f>I81</f>
        <v>0</v>
      </c>
      <c r="J11" s="162"/>
      <c r="K11" s="162">
        <f>K81</f>
        <v>0</v>
      </c>
    </row>
    <row r="12" spans="3:11" x14ac:dyDescent="0.2">
      <c r="C12" s="36" t="str">
        <f>B83</f>
        <v>PROPERTY</v>
      </c>
      <c r="I12" s="36">
        <f>I169</f>
        <v>0</v>
      </c>
      <c r="J12" s="36">
        <f>J169</f>
        <v>0</v>
      </c>
      <c r="K12" s="36">
        <f>K169</f>
        <v>0</v>
      </c>
    </row>
    <row r="13" spans="3:11" x14ac:dyDescent="0.2">
      <c r="C13" s="36" t="str">
        <f>B171</f>
        <v>PLANT AND EQUIPMENT</v>
      </c>
      <c r="I13" s="36">
        <f>I212</f>
        <v>0</v>
      </c>
      <c r="J13" s="36">
        <f>J212</f>
        <v>0</v>
      </c>
      <c r="K13" s="36">
        <f>K212</f>
        <v>0</v>
      </c>
    </row>
    <row r="14" spans="3:11" x14ac:dyDescent="0.2">
      <c r="C14" s="36" t="str">
        <f>B215</f>
        <v>MOTOR VEHICLES</v>
      </c>
      <c r="I14" s="36">
        <f>I246</f>
        <v>0</v>
      </c>
      <c r="J14" s="36">
        <f>J246</f>
        <v>0</v>
      </c>
      <c r="K14" s="36">
        <f>K246</f>
        <v>0</v>
      </c>
    </row>
    <row r="15" spans="3:11" x14ac:dyDescent="0.2">
      <c r="C15" s="36" t="str">
        <f>B249</f>
        <v>ELECTRONIC EQUIPMENT</v>
      </c>
      <c r="I15" s="36">
        <f>I285</f>
        <v>0</v>
      </c>
      <c r="J15" s="36">
        <f>J285</f>
        <v>0</v>
      </c>
      <c r="K15" s="36">
        <f>K285</f>
        <v>0</v>
      </c>
    </row>
    <row r="16" spans="3:11" x14ac:dyDescent="0.2">
      <c r="C16" s="36" t="str">
        <f>B288</f>
        <v>FURNITURE AND FITTINGS</v>
      </c>
      <c r="I16" s="36">
        <f>I390</f>
        <v>0</v>
      </c>
      <c r="J16" s="36">
        <f>J390</f>
        <v>0</v>
      </c>
      <c r="K16" s="36">
        <f>K390</f>
        <v>0</v>
      </c>
    </row>
    <row r="17" spans="2:11" ht="13.5" thickBot="1" x14ac:dyDescent="0.25">
      <c r="I17" s="99">
        <f>SUM(I10:I16)</f>
        <v>0</v>
      </c>
      <c r="J17" s="99">
        <f t="shared" ref="J17:K17" si="0">SUM(J10:J16)</f>
        <v>0</v>
      </c>
      <c r="K17" s="99">
        <f t="shared" si="0"/>
        <v>0</v>
      </c>
    </row>
    <row r="18" spans="2:11" ht="13.5" thickTop="1" x14ac:dyDescent="0.2">
      <c r="I18" s="57"/>
      <c r="J18" s="57"/>
      <c r="K18" s="57"/>
    </row>
    <row r="19" spans="2:11" x14ac:dyDescent="0.2">
      <c r="C19" s="36" t="s">
        <v>635</v>
      </c>
      <c r="I19" s="36">
        <f>SUM(TrialBalance!L230:L234)+SUM(TrialBalance!L241:L250)+SUM(TrialBalance!L252:L254)+SUM(TrialBalance!L260:L262)+SUM(TrialBalance!L268:L270)+SUM(TrialBalance!L276:L278)</f>
        <v>0</v>
      </c>
      <c r="J19" s="36">
        <f>-SUM(TrialBalance!L236:L239)-SUM(TrialBalance!L256:L258)-SUM(TrialBalance!L264:L266)-SUM(TrialBalance!L272:L274)-SUM(TrialBalance!L280:L282)</f>
        <v>0</v>
      </c>
      <c r="K19" s="36">
        <f>I19-J19</f>
        <v>0</v>
      </c>
    </row>
    <row r="20" spans="2:11" ht="15" x14ac:dyDescent="0.35">
      <c r="C20" s="36" t="s">
        <v>543</v>
      </c>
      <c r="I20" s="93">
        <f>ROUND(I17-I19,0)</f>
        <v>0</v>
      </c>
      <c r="J20" s="93">
        <f t="shared" ref="J20:K20" si="1">ROUND(J17-J19,0)</f>
        <v>0</v>
      </c>
      <c r="K20" s="93">
        <f t="shared" si="1"/>
        <v>0</v>
      </c>
    </row>
    <row r="23" spans="2:11" x14ac:dyDescent="0.2">
      <c r="B23" s="145" t="s">
        <v>948</v>
      </c>
      <c r="I23" s="173"/>
      <c r="J23" s="173"/>
    </row>
    <row r="24" spans="2:11" x14ac:dyDescent="0.2">
      <c r="B24" s="146"/>
      <c r="I24" s="19"/>
      <c r="J24" s="19"/>
      <c r="K24" s="19"/>
    </row>
    <row r="25" spans="2:11" x14ac:dyDescent="0.2">
      <c r="B25" s="147" t="s">
        <v>24</v>
      </c>
      <c r="C25" s="61" t="s">
        <v>210</v>
      </c>
      <c r="D25" s="61"/>
      <c r="E25" s="87"/>
      <c r="F25" s="88"/>
      <c r="G25" s="87"/>
      <c r="H25" s="87"/>
      <c r="I25" s="21" t="s">
        <v>936</v>
      </c>
      <c r="J25" s="21"/>
      <c r="K25" s="21" t="s">
        <v>560</v>
      </c>
    </row>
    <row r="27" spans="2:11" ht="15" x14ac:dyDescent="0.35">
      <c r="C27" s="344" t="str">
        <f>Criteria!E9</f>
        <v>HOLDING COMPANY 268 (PROPRIETARY) LIMITED</v>
      </c>
      <c r="K27" s="36">
        <f t="shared" ref="K27:K51" si="2">I27-J27</f>
        <v>0</v>
      </c>
    </row>
    <row r="28" spans="2:11" x14ac:dyDescent="0.2">
      <c r="K28" s="36">
        <f t="shared" si="2"/>
        <v>0</v>
      </c>
    </row>
    <row r="29" spans="2:11" x14ac:dyDescent="0.2">
      <c r="K29" s="36">
        <f t="shared" si="2"/>
        <v>0</v>
      </c>
    </row>
    <row r="30" spans="2:11" x14ac:dyDescent="0.2">
      <c r="K30" s="36">
        <f t="shared" si="2"/>
        <v>0</v>
      </c>
    </row>
    <row r="31" spans="2:11" x14ac:dyDescent="0.2">
      <c r="K31" s="36">
        <f t="shared" si="2"/>
        <v>0</v>
      </c>
    </row>
    <row r="32" spans="2:11" x14ac:dyDescent="0.2">
      <c r="K32" s="36">
        <f t="shared" ref="K32:K49" si="3">I32-J32</f>
        <v>0</v>
      </c>
    </row>
    <row r="33" spans="2:11" ht="15" x14ac:dyDescent="0.35">
      <c r="C33" s="93" t="str">
        <f>Criteria!E14</f>
        <v>SUBSIDIARY ONE 111 (PTY) LTD</v>
      </c>
      <c r="K33" s="36">
        <f t="shared" si="3"/>
        <v>0</v>
      </c>
    </row>
    <row r="34" spans="2:11" x14ac:dyDescent="0.2">
      <c r="B34" s="201"/>
      <c r="C34" s="126"/>
      <c r="K34" s="36">
        <f t="shared" si="3"/>
        <v>0</v>
      </c>
    </row>
    <row r="35" spans="2:11" x14ac:dyDescent="0.2">
      <c r="B35" s="201"/>
      <c r="C35" s="161"/>
      <c r="K35" s="36">
        <f t="shared" si="3"/>
        <v>0</v>
      </c>
    </row>
    <row r="36" spans="2:11" x14ac:dyDescent="0.2">
      <c r="B36" s="201"/>
      <c r="C36" s="158"/>
      <c r="K36" s="36">
        <f t="shared" si="3"/>
        <v>0</v>
      </c>
    </row>
    <row r="37" spans="2:11" x14ac:dyDescent="0.2">
      <c r="B37" s="201"/>
      <c r="C37" s="161"/>
      <c r="K37" s="36">
        <f t="shared" si="3"/>
        <v>0</v>
      </c>
    </row>
    <row r="38" spans="2:11" x14ac:dyDescent="0.2">
      <c r="B38" s="201"/>
      <c r="C38" s="161"/>
      <c r="K38" s="36">
        <f t="shared" si="3"/>
        <v>0</v>
      </c>
    </row>
    <row r="39" spans="2:11" x14ac:dyDescent="0.2">
      <c r="B39" s="201"/>
      <c r="C39" s="161"/>
      <c r="K39" s="36">
        <f t="shared" si="3"/>
        <v>0</v>
      </c>
    </row>
    <row r="40" spans="2:11" ht="15" x14ac:dyDescent="0.35">
      <c r="B40" s="201"/>
      <c r="C40" s="93" t="str">
        <f>Criteria!E15</f>
        <v>SUBSIDIARY TWO 15 (PTY) LTD</v>
      </c>
      <c r="K40" s="36">
        <f t="shared" si="3"/>
        <v>0</v>
      </c>
    </row>
    <row r="41" spans="2:11" x14ac:dyDescent="0.2">
      <c r="B41" s="201"/>
      <c r="C41" s="161"/>
      <c r="K41" s="36">
        <f t="shared" si="3"/>
        <v>0</v>
      </c>
    </row>
    <row r="42" spans="2:11" x14ac:dyDescent="0.2">
      <c r="B42" s="201"/>
      <c r="C42" s="161"/>
      <c r="K42" s="36">
        <f t="shared" si="3"/>
        <v>0</v>
      </c>
    </row>
    <row r="43" spans="2:11" x14ac:dyDescent="0.2">
      <c r="K43" s="36">
        <f t="shared" si="3"/>
        <v>0</v>
      </c>
    </row>
    <row r="44" spans="2:11" x14ac:dyDescent="0.2">
      <c r="C44" s="202"/>
      <c r="K44" s="36">
        <f t="shared" si="3"/>
        <v>0</v>
      </c>
    </row>
    <row r="45" spans="2:11" x14ac:dyDescent="0.2">
      <c r="B45" s="201"/>
      <c r="C45" s="126"/>
      <c r="D45" s="126"/>
      <c r="E45" s="126"/>
      <c r="F45" s="130"/>
      <c r="G45" s="201"/>
      <c r="H45" s="130"/>
      <c r="K45" s="36">
        <f t="shared" si="3"/>
        <v>0</v>
      </c>
    </row>
    <row r="46" spans="2:11" x14ac:dyDescent="0.2">
      <c r="B46" s="201"/>
      <c r="C46" s="126"/>
      <c r="D46" s="126"/>
      <c r="E46" s="126"/>
      <c r="F46" s="130"/>
      <c r="G46" s="130"/>
      <c r="H46" s="161"/>
      <c r="K46" s="36">
        <f t="shared" si="3"/>
        <v>0</v>
      </c>
    </row>
    <row r="47" spans="2:11" x14ac:dyDescent="0.2">
      <c r="C47" s="202">
        <f>Criteria!E16</f>
        <v>0</v>
      </c>
      <c r="K47" s="36">
        <f t="shared" si="3"/>
        <v>0</v>
      </c>
    </row>
    <row r="48" spans="2:11" x14ac:dyDescent="0.2">
      <c r="K48" s="36">
        <f t="shared" si="3"/>
        <v>0</v>
      </c>
    </row>
    <row r="49" spans="2:11" x14ac:dyDescent="0.2">
      <c r="K49" s="36">
        <f t="shared" si="3"/>
        <v>0</v>
      </c>
    </row>
    <row r="50" spans="2:11" x14ac:dyDescent="0.2">
      <c r="K50" s="36">
        <f t="shared" si="2"/>
        <v>0</v>
      </c>
    </row>
    <row r="51" spans="2:11" x14ac:dyDescent="0.2">
      <c r="K51" s="36">
        <f t="shared" si="2"/>
        <v>0</v>
      </c>
    </row>
    <row r="52" spans="2:11" ht="13.5" thickBot="1" x14ac:dyDescent="0.25">
      <c r="I52" s="44">
        <f>SUM(I26:I51)</f>
        <v>0</v>
      </c>
      <c r="J52" s="44">
        <f>SUM(J26:J51)</f>
        <v>0</v>
      </c>
      <c r="K52" s="44">
        <f>SUM(K26:K51)</f>
        <v>0</v>
      </c>
    </row>
    <row r="53" spans="2:11" ht="13.5" thickTop="1" x14ac:dyDescent="0.2"/>
    <row r="54" spans="2:11" x14ac:dyDescent="0.2">
      <c r="B54" s="145" t="s">
        <v>858</v>
      </c>
      <c r="I54" s="343"/>
      <c r="J54" s="173"/>
    </row>
    <row r="55" spans="2:11" x14ac:dyDescent="0.2">
      <c r="B55" s="146"/>
      <c r="E55" s="7"/>
      <c r="F55" s="7"/>
      <c r="G55" s="7"/>
      <c r="H55" s="7"/>
      <c r="I55" s="19"/>
      <c r="J55" s="19"/>
      <c r="K55" s="19"/>
    </row>
    <row r="56" spans="2:11" x14ac:dyDescent="0.2">
      <c r="B56" s="147" t="s">
        <v>24</v>
      </c>
      <c r="C56" s="61" t="s">
        <v>210</v>
      </c>
      <c r="D56" s="61"/>
      <c r="E56" s="174" t="s">
        <v>612</v>
      </c>
      <c r="F56" s="175" t="s">
        <v>483</v>
      </c>
      <c r="G56" s="174" t="s">
        <v>484</v>
      </c>
      <c r="H56" s="174" t="s">
        <v>562</v>
      </c>
      <c r="I56" s="21" t="s">
        <v>352</v>
      </c>
      <c r="J56" s="21"/>
      <c r="K56" s="21" t="s">
        <v>560</v>
      </c>
    </row>
    <row r="57" spans="2:11" x14ac:dyDescent="0.2">
      <c r="K57" s="36">
        <f t="shared" ref="K57:K67" si="4">I57</f>
        <v>0</v>
      </c>
    </row>
    <row r="58" spans="2:11" ht="15" x14ac:dyDescent="0.35">
      <c r="C58" s="344" t="str">
        <f>C27</f>
        <v>HOLDING COMPANY 268 (PROPRIETARY) LIMITED</v>
      </c>
      <c r="K58" s="36">
        <f t="shared" si="4"/>
        <v>0</v>
      </c>
    </row>
    <row r="59" spans="2:11" x14ac:dyDescent="0.2">
      <c r="K59" s="36">
        <f t="shared" si="4"/>
        <v>0</v>
      </c>
    </row>
    <row r="60" spans="2:11" x14ac:dyDescent="0.2">
      <c r="K60" s="36">
        <f t="shared" si="4"/>
        <v>0</v>
      </c>
    </row>
    <row r="61" spans="2:11" x14ac:dyDescent="0.2">
      <c r="K61" s="36">
        <f t="shared" si="4"/>
        <v>0</v>
      </c>
    </row>
    <row r="62" spans="2:11" x14ac:dyDescent="0.2">
      <c r="K62" s="36">
        <f t="shared" si="4"/>
        <v>0</v>
      </c>
    </row>
    <row r="63" spans="2:11" x14ac:dyDescent="0.2">
      <c r="K63" s="36">
        <f t="shared" si="4"/>
        <v>0</v>
      </c>
    </row>
    <row r="64" spans="2:11" x14ac:dyDescent="0.2">
      <c r="K64" s="36">
        <f t="shared" si="4"/>
        <v>0</v>
      </c>
    </row>
    <row r="65" spans="3:11" x14ac:dyDescent="0.2">
      <c r="K65" s="36">
        <f t="shared" si="4"/>
        <v>0</v>
      </c>
    </row>
    <row r="66" spans="3:11" ht="15" x14ac:dyDescent="0.35">
      <c r="C66" s="344" t="str">
        <f>C33</f>
        <v>SUBSIDIARY ONE 111 (PTY) LTD</v>
      </c>
      <c r="K66" s="36">
        <f t="shared" si="4"/>
        <v>0</v>
      </c>
    </row>
    <row r="67" spans="3:11" x14ac:dyDescent="0.2">
      <c r="K67" s="36">
        <f t="shared" si="4"/>
        <v>0</v>
      </c>
    </row>
    <row r="68" spans="3:11" x14ac:dyDescent="0.2">
      <c r="K68" s="36">
        <f>I68</f>
        <v>0</v>
      </c>
    </row>
    <row r="69" spans="3:11" x14ac:dyDescent="0.2">
      <c r="K69" s="36">
        <f t="shared" ref="K69:K80" si="5">I69</f>
        <v>0</v>
      </c>
    </row>
    <row r="70" spans="3:11" x14ac:dyDescent="0.2">
      <c r="K70" s="36">
        <f t="shared" si="5"/>
        <v>0</v>
      </c>
    </row>
    <row r="71" spans="3:11" x14ac:dyDescent="0.2">
      <c r="K71" s="36">
        <f t="shared" si="5"/>
        <v>0</v>
      </c>
    </row>
    <row r="72" spans="3:11" x14ac:dyDescent="0.2">
      <c r="K72" s="36">
        <f t="shared" si="5"/>
        <v>0</v>
      </c>
    </row>
    <row r="73" spans="3:11" x14ac:dyDescent="0.2">
      <c r="K73" s="36">
        <f t="shared" si="5"/>
        <v>0</v>
      </c>
    </row>
    <row r="74" spans="3:11" ht="15" x14ac:dyDescent="0.35">
      <c r="C74" s="344" t="str">
        <f>C40</f>
        <v>SUBSIDIARY TWO 15 (PTY) LTD</v>
      </c>
      <c r="K74" s="36">
        <f t="shared" si="5"/>
        <v>0</v>
      </c>
    </row>
    <row r="75" spans="3:11" x14ac:dyDescent="0.2">
      <c r="K75" s="36">
        <f t="shared" si="5"/>
        <v>0</v>
      </c>
    </row>
    <row r="76" spans="3:11" x14ac:dyDescent="0.2">
      <c r="K76" s="36">
        <f t="shared" si="5"/>
        <v>0</v>
      </c>
    </row>
    <row r="77" spans="3:11" x14ac:dyDescent="0.2">
      <c r="K77" s="36">
        <f t="shared" si="5"/>
        <v>0</v>
      </c>
    </row>
    <row r="78" spans="3:11" x14ac:dyDescent="0.2">
      <c r="K78" s="36">
        <f t="shared" si="5"/>
        <v>0</v>
      </c>
    </row>
    <row r="79" spans="3:11" x14ac:dyDescent="0.2">
      <c r="K79" s="36">
        <f t="shared" si="5"/>
        <v>0</v>
      </c>
    </row>
    <row r="80" spans="3:11" x14ac:dyDescent="0.2">
      <c r="K80" s="36">
        <f t="shared" si="5"/>
        <v>0</v>
      </c>
    </row>
    <row r="81" spans="2:11" ht="13.5" thickBot="1" x14ac:dyDescent="0.25">
      <c r="I81" s="44">
        <f>SUM(I57:I80)</f>
        <v>0</v>
      </c>
      <c r="J81" s="44">
        <f t="shared" ref="J81:K81" si="6">SUM(J57:J80)</f>
        <v>0</v>
      </c>
      <c r="K81" s="44">
        <f t="shared" si="6"/>
        <v>0</v>
      </c>
    </row>
    <row r="82" spans="2:11" ht="13.5" thickTop="1" x14ac:dyDescent="0.2"/>
    <row r="83" spans="2:11" x14ac:dyDescent="0.2">
      <c r="B83" s="145" t="s">
        <v>876</v>
      </c>
      <c r="I83" s="195">
        <v>0.02</v>
      </c>
      <c r="J83" s="36" t="s">
        <v>247</v>
      </c>
    </row>
    <row r="84" spans="2:11" x14ac:dyDescent="0.2">
      <c r="B84" s="146"/>
      <c r="E84" s="7"/>
      <c r="F84" s="7"/>
      <c r="G84" s="7"/>
      <c r="H84" s="7"/>
      <c r="I84" s="19"/>
      <c r="J84" s="19"/>
      <c r="K84" s="19"/>
    </row>
    <row r="85" spans="2:11" x14ac:dyDescent="0.2">
      <c r="B85" s="147" t="s">
        <v>24</v>
      </c>
      <c r="C85" s="61" t="s">
        <v>210</v>
      </c>
      <c r="D85" s="61"/>
      <c r="E85" s="174" t="s">
        <v>612</v>
      </c>
      <c r="F85" s="175" t="s">
        <v>483</v>
      </c>
      <c r="G85" s="174" t="s">
        <v>484</v>
      </c>
      <c r="H85" s="174" t="s">
        <v>562</v>
      </c>
      <c r="I85" s="21" t="s">
        <v>352</v>
      </c>
      <c r="J85" s="21" t="s">
        <v>561</v>
      </c>
      <c r="K85" s="21" t="s">
        <v>560</v>
      </c>
    </row>
    <row r="87" spans="2:11" x14ac:dyDescent="0.2">
      <c r="K87" s="36">
        <f t="shared" ref="K87:K94" si="7">I87-J87</f>
        <v>0</v>
      </c>
    </row>
    <row r="88" spans="2:11" x14ac:dyDescent="0.2">
      <c r="B88" s="84"/>
      <c r="C88" s="126"/>
      <c r="D88" s="126"/>
      <c r="E88" s="126"/>
      <c r="F88" s="127"/>
      <c r="G88" s="1"/>
      <c r="H88" s="126"/>
      <c r="K88" s="36">
        <f t="shared" si="7"/>
        <v>0</v>
      </c>
    </row>
    <row r="89" spans="2:11" ht="15" x14ac:dyDescent="0.35">
      <c r="B89" s="84"/>
      <c r="C89" s="128" t="s">
        <v>485</v>
      </c>
      <c r="D89" s="128"/>
      <c r="E89" s="126"/>
      <c r="F89" s="127"/>
      <c r="G89" s="1"/>
      <c r="H89" s="126"/>
      <c r="K89" s="36">
        <f t="shared" si="7"/>
        <v>0</v>
      </c>
    </row>
    <row r="90" spans="2:11" ht="15" x14ac:dyDescent="0.35">
      <c r="B90" s="84"/>
      <c r="C90" s="128"/>
      <c r="D90" s="128"/>
      <c r="E90" s="126"/>
      <c r="F90" s="127"/>
      <c r="G90" s="1"/>
      <c r="H90" s="126"/>
      <c r="K90" s="36">
        <f t="shared" si="7"/>
        <v>0</v>
      </c>
    </row>
    <row r="91" spans="2:11" x14ac:dyDescent="0.2">
      <c r="B91" s="129"/>
      <c r="C91" s="199" t="str">
        <f>Criteria!E9</f>
        <v>HOLDING COMPANY 268 (PROPRIETARY) LIMITED</v>
      </c>
      <c r="D91" s="131"/>
      <c r="E91" s="126"/>
      <c r="F91" s="130"/>
      <c r="G91" s="1"/>
      <c r="H91" s="126"/>
      <c r="K91" s="36">
        <f t="shared" si="7"/>
        <v>0</v>
      </c>
    </row>
    <row r="92" spans="2:11" x14ac:dyDescent="0.2">
      <c r="B92" s="129"/>
      <c r="C92" s="158"/>
      <c r="D92" s="158"/>
      <c r="E92" s="158"/>
      <c r="F92" s="159"/>
      <c r="G92" s="160"/>
      <c r="H92" s="161"/>
      <c r="I92" s="162"/>
      <c r="J92" s="162"/>
      <c r="K92" s="36">
        <f t="shared" si="7"/>
        <v>0</v>
      </c>
    </row>
    <row r="93" spans="2:11" x14ac:dyDescent="0.2">
      <c r="B93" s="129"/>
      <c r="C93" s="161"/>
      <c r="D93" s="161"/>
      <c r="E93" s="161"/>
      <c r="F93" s="159"/>
      <c r="G93" s="160"/>
      <c r="H93" s="161"/>
      <c r="I93" s="162"/>
      <c r="J93" s="162"/>
      <c r="K93" s="36">
        <f t="shared" si="7"/>
        <v>0</v>
      </c>
    </row>
    <row r="94" spans="2:11" x14ac:dyDescent="0.2">
      <c r="B94" s="129"/>
      <c r="C94" s="161"/>
      <c r="D94" s="161"/>
      <c r="E94" s="161"/>
      <c r="F94" s="162"/>
      <c r="G94" s="163"/>
      <c r="H94" s="161"/>
      <c r="I94" s="162"/>
      <c r="J94" s="162"/>
      <c r="K94" s="36">
        <f t="shared" si="7"/>
        <v>0</v>
      </c>
    </row>
    <row r="95" spans="2:11" ht="15" x14ac:dyDescent="0.35">
      <c r="B95" s="129"/>
      <c r="C95" s="164"/>
      <c r="D95" s="162"/>
      <c r="E95" s="161"/>
      <c r="F95" s="162"/>
      <c r="G95" s="165"/>
      <c r="H95" s="161"/>
      <c r="I95" s="162"/>
      <c r="J95" s="162"/>
      <c r="K95" s="36">
        <f t="shared" ref="K95:K144" si="8">I95-J95</f>
        <v>0</v>
      </c>
    </row>
    <row r="96" spans="2:11" x14ac:dyDescent="0.2">
      <c r="B96" s="129"/>
      <c r="C96" s="158"/>
      <c r="D96" s="162"/>
      <c r="E96" s="158"/>
      <c r="F96" s="162"/>
      <c r="G96" s="165"/>
      <c r="H96" s="158"/>
      <c r="I96" s="162"/>
      <c r="J96" s="162"/>
      <c r="K96" s="36">
        <f t="shared" si="8"/>
        <v>0</v>
      </c>
    </row>
    <row r="97" spans="2:11" x14ac:dyDescent="0.2">
      <c r="B97" s="129"/>
      <c r="C97" s="161"/>
      <c r="D97" s="162"/>
      <c r="E97" s="161"/>
      <c r="F97" s="162"/>
      <c r="G97" s="165"/>
      <c r="H97" s="161"/>
      <c r="I97" s="162"/>
      <c r="J97" s="162"/>
      <c r="K97" s="36">
        <f t="shared" si="8"/>
        <v>0</v>
      </c>
    </row>
    <row r="98" spans="2:11" x14ac:dyDescent="0.2">
      <c r="B98" s="129"/>
      <c r="C98" s="161"/>
      <c r="D98" s="162"/>
      <c r="E98" s="161"/>
      <c r="F98" s="162"/>
      <c r="G98" s="165"/>
      <c r="H98" s="161"/>
      <c r="I98" s="162"/>
      <c r="J98" s="162"/>
      <c r="K98" s="36">
        <f t="shared" si="8"/>
        <v>0</v>
      </c>
    </row>
    <row r="99" spans="2:11" x14ac:dyDescent="0.2">
      <c r="B99" s="129"/>
      <c r="C99" s="200" t="str">
        <f>Criteria!E14</f>
        <v>SUBSIDIARY ONE 111 (PTY) LTD</v>
      </c>
      <c r="D99" s="162"/>
      <c r="E99" s="166"/>
      <c r="F99" s="162"/>
      <c r="G99" s="163"/>
      <c r="H99" s="161"/>
      <c r="I99" s="162"/>
      <c r="J99" s="162"/>
      <c r="K99" s="36">
        <f t="shared" ref="K99:K140" si="9">I99-J99</f>
        <v>0</v>
      </c>
    </row>
    <row r="100" spans="2:11" x14ac:dyDescent="0.2">
      <c r="B100" s="129"/>
      <c r="C100" s="161"/>
      <c r="D100" s="162"/>
      <c r="E100" s="161"/>
      <c r="F100" s="162"/>
      <c r="G100" s="165"/>
      <c r="H100" s="161"/>
      <c r="I100" s="162"/>
      <c r="J100" s="162"/>
      <c r="K100" s="36">
        <f t="shared" si="9"/>
        <v>0</v>
      </c>
    </row>
    <row r="101" spans="2:11" x14ac:dyDescent="0.2">
      <c r="B101" s="201"/>
      <c r="C101" s="126"/>
      <c r="D101" s="162"/>
      <c r="E101" s="166"/>
      <c r="F101" s="162"/>
      <c r="G101" s="163"/>
      <c r="H101" s="161"/>
      <c r="I101" s="162"/>
      <c r="J101" s="162"/>
      <c r="K101" s="36">
        <f t="shared" si="9"/>
        <v>0</v>
      </c>
    </row>
    <row r="102" spans="2:11" x14ac:dyDescent="0.2">
      <c r="B102" s="201"/>
      <c r="C102" s="126"/>
      <c r="D102" s="162"/>
      <c r="E102" s="161"/>
      <c r="F102" s="162"/>
      <c r="G102" s="165"/>
      <c r="H102" s="161"/>
      <c r="I102" s="162"/>
      <c r="J102" s="162"/>
      <c r="K102" s="36">
        <f t="shared" ref="K102:K128" si="10">I102-J102</f>
        <v>0</v>
      </c>
    </row>
    <row r="103" spans="2:11" x14ac:dyDescent="0.2">
      <c r="B103" s="201"/>
      <c r="C103" s="126"/>
      <c r="D103" s="162"/>
      <c r="E103" s="166"/>
      <c r="F103" s="162"/>
      <c r="G103" s="163"/>
      <c r="H103" s="161"/>
      <c r="I103" s="162"/>
      <c r="J103" s="162"/>
      <c r="K103" s="36">
        <f t="shared" si="10"/>
        <v>0</v>
      </c>
    </row>
    <row r="104" spans="2:11" x14ac:dyDescent="0.2">
      <c r="B104" s="201"/>
      <c r="C104" s="126"/>
      <c r="D104" s="162"/>
      <c r="E104" s="161"/>
      <c r="F104" s="162"/>
      <c r="G104" s="165"/>
      <c r="H104" s="161"/>
      <c r="I104" s="162"/>
      <c r="J104" s="162"/>
      <c r="K104" s="36">
        <f t="shared" si="10"/>
        <v>0</v>
      </c>
    </row>
    <row r="105" spans="2:11" x14ac:dyDescent="0.2">
      <c r="B105" s="201"/>
      <c r="C105" s="126"/>
      <c r="D105" s="162"/>
      <c r="E105" s="166"/>
      <c r="F105" s="162"/>
      <c r="G105" s="163"/>
      <c r="H105" s="161"/>
      <c r="I105" s="162"/>
      <c r="J105" s="162"/>
      <c r="K105" s="36">
        <f t="shared" si="10"/>
        <v>0</v>
      </c>
    </row>
    <row r="106" spans="2:11" x14ac:dyDescent="0.2">
      <c r="B106" s="129"/>
      <c r="C106" s="161"/>
      <c r="D106" s="162"/>
      <c r="E106" s="161"/>
      <c r="F106" s="162"/>
      <c r="G106" s="163"/>
      <c r="H106" s="161"/>
      <c r="I106" s="162"/>
      <c r="J106" s="162"/>
      <c r="K106" s="36">
        <f t="shared" si="10"/>
        <v>0</v>
      </c>
    </row>
    <row r="107" spans="2:11" x14ac:dyDescent="0.2">
      <c r="B107" s="129"/>
      <c r="C107" s="161"/>
      <c r="D107" s="162"/>
      <c r="E107" s="166"/>
      <c r="F107" s="162"/>
      <c r="G107" s="163"/>
      <c r="H107" s="161"/>
      <c r="I107" s="162"/>
      <c r="J107" s="162"/>
      <c r="K107" s="36">
        <f t="shared" si="10"/>
        <v>0</v>
      </c>
    </row>
    <row r="108" spans="2:11" x14ac:dyDescent="0.2">
      <c r="B108" s="129"/>
      <c r="C108" s="200" t="str">
        <f>Criteria!E15</f>
        <v>SUBSIDIARY TWO 15 (PTY) LTD</v>
      </c>
      <c r="D108" s="162"/>
      <c r="E108" s="161"/>
      <c r="F108" s="162"/>
      <c r="G108" s="163"/>
      <c r="H108" s="161"/>
      <c r="I108" s="162"/>
      <c r="J108" s="162"/>
      <c r="K108" s="36">
        <f t="shared" si="10"/>
        <v>0</v>
      </c>
    </row>
    <row r="109" spans="2:11" x14ac:dyDescent="0.2">
      <c r="B109" s="129"/>
      <c r="C109" s="161"/>
      <c r="D109" s="162"/>
      <c r="E109" s="166"/>
      <c r="F109" s="162"/>
      <c r="G109" s="163"/>
      <c r="H109" s="161"/>
      <c r="I109" s="162"/>
      <c r="J109" s="162"/>
      <c r="K109" s="36">
        <f t="shared" si="10"/>
        <v>0</v>
      </c>
    </row>
    <row r="110" spans="2:11" x14ac:dyDescent="0.2">
      <c r="B110" s="129"/>
      <c r="C110" s="161"/>
      <c r="D110" s="162"/>
      <c r="E110" s="161"/>
      <c r="F110" s="162"/>
      <c r="G110" s="163"/>
      <c r="H110" s="161"/>
      <c r="I110" s="162"/>
      <c r="J110" s="162"/>
      <c r="K110" s="36">
        <f t="shared" si="10"/>
        <v>0</v>
      </c>
    </row>
    <row r="111" spans="2:11" x14ac:dyDescent="0.2">
      <c r="B111" s="129"/>
      <c r="C111" s="161"/>
      <c r="D111" s="162"/>
      <c r="E111" s="166"/>
      <c r="F111" s="162"/>
      <c r="G111" s="163"/>
      <c r="H111" s="161"/>
      <c r="I111" s="162"/>
      <c r="J111" s="162"/>
      <c r="K111" s="36">
        <f t="shared" si="10"/>
        <v>0</v>
      </c>
    </row>
    <row r="112" spans="2:11" x14ac:dyDescent="0.2">
      <c r="B112" s="129"/>
      <c r="C112" s="161"/>
      <c r="D112" s="162"/>
      <c r="E112" s="161"/>
      <c r="F112" s="162"/>
      <c r="G112" s="163"/>
      <c r="H112" s="161"/>
      <c r="I112" s="162"/>
      <c r="J112" s="162"/>
      <c r="K112" s="36">
        <f t="shared" si="10"/>
        <v>0</v>
      </c>
    </row>
    <row r="113" spans="2:11" x14ac:dyDescent="0.2">
      <c r="B113" s="129"/>
      <c r="C113" s="161"/>
      <c r="D113" s="162"/>
      <c r="E113" s="166"/>
      <c r="F113" s="162"/>
      <c r="G113" s="163"/>
      <c r="H113" s="161"/>
      <c r="I113" s="162"/>
      <c r="J113" s="162"/>
      <c r="K113" s="36">
        <f t="shared" si="10"/>
        <v>0</v>
      </c>
    </row>
    <row r="114" spans="2:11" x14ac:dyDescent="0.2">
      <c r="B114" s="129"/>
      <c r="D114" s="162"/>
      <c r="E114" s="161"/>
      <c r="F114" s="162"/>
      <c r="G114" s="163"/>
      <c r="H114" s="161"/>
      <c r="I114" s="162"/>
      <c r="J114" s="162"/>
      <c r="K114" s="36">
        <f t="shared" si="10"/>
        <v>0</v>
      </c>
    </row>
    <row r="115" spans="2:11" x14ac:dyDescent="0.2">
      <c r="B115" s="129"/>
      <c r="C115" s="161"/>
      <c r="D115" s="162"/>
      <c r="E115" s="166"/>
      <c r="F115" s="162"/>
      <c r="G115" s="163"/>
      <c r="H115" s="161"/>
      <c r="I115" s="162"/>
      <c r="J115" s="162"/>
      <c r="K115" s="36">
        <f t="shared" si="10"/>
        <v>0</v>
      </c>
    </row>
    <row r="116" spans="2:11" x14ac:dyDescent="0.2">
      <c r="B116" s="201"/>
      <c r="C116" s="200">
        <f>Criteria!E16</f>
        <v>0</v>
      </c>
      <c r="D116" s="126"/>
      <c r="E116" s="126"/>
      <c r="F116" s="130"/>
      <c r="G116" s="201"/>
      <c r="H116" s="130"/>
      <c r="I116" s="162"/>
      <c r="J116" s="162"/>
      <c r="K116" s="36">
        <f t="shared" si="10"/>
        <v>0</v>
      </c>
    </row>
    <row r="117" spans="2:11" x14ac:dyDescent="0.2">
      <c r="B117" s="201"/>
      <c r="C117" s="126"/>
      <c r="D117" s="126"/>
      <c r="E117" s="126"/>
      <c r="F117" s="130"/>
      <c r="G117" s="130"/>
      <c r="H117" s="161"/>
      <c r="I117" s="162"/>
      <c r="J117" s="162"/>
      <c r="K117" s="36">
        <f t="shared" si="10"/>
        <v>0</v>
      </c>
    </row>
    <row r="118" spans="2:11" x14ac:dyDescent="0.2">
      <c r="B118" s="129"/>
      <c r="C118" s="161"/>
      <c r="D118" s="162"/>
      <c r="E118" s="161"/>
      <c r="F118" s="162"/>
      <c r="G118" s="163"/>
      <c r="H118" s="161"/>
      <c r="I118" s="162"/>
      <c r="J118" s="162"/>
      <c r="K118" s="36">
        <f t="shared" si="10"/>
        <v>0</v>
      </c>
    </row>
    <row r="119" spans="2:11" x14ac:dyDescent="0.2">
      <c r="B119" s="129"/>
      <c r="C119" s="161"/>
      <c r="D119" s="162"/>
      <c r="E119" s="166"/>
      <c r="F119" s="162"/>
      <c r="G119" s="163"/>
      <c r="H119" s="161"/>
      <c r="I119" s="162"/>
      <c r="J119" s="162"/>
      <c r="K119" s="36">
        <f t="shared" si="10"/>
        <v>0</v>
      </c>
    </row>
    <row r="120" spans="2:11" x14ac:dyDescent="0.2">
      <c r="B120" s="129"/>
      <c r="C120" s="161"/>
      <c r="D120" s="162"/>
      <c r="E120" s="161"/>
      <c r="F120" s="162"/>
      <c r="G120" s="165"/>
      <c r="H120" s="161"/>
      <c r="I120" s="162"/>
      <c r="J120" s="162"/>
      <c r="K120" s="36">
        <f t="shared" si="10"/>
        <v>0</v>
      </c>
    </row>
    <row r="121" spans="2:11" x14ac:dyDescent="0.2">
      <c r="B121" s="129"/>
      <c r="C121" s="161"/>
      <c r="D121" s="162"/>
      <c r="E121" s="161"/>
      <c r="F121" s="162"/>
      <c r="G121" s="165"/>
      <c r="H121" s="161"/>
      <c r="I121" s="162"/>
      <c r="J121" s="162"/>
      <c r="K121" s="36">
        <f t="shared" si="10"/>
        <v>0</v>
      </c>
    </row>
    <row r="122" spans="2:11" x14ac:dyDescent="0.2">
      <c r="B122" s="129"/>
      <c r="C122" s="161"/>
      <c r="D122" s="162"/>
      <c r="E122" s="161"/>
      <c r="F122" s="162"/>
      <c r="G122" s="165"/>
      <c r="H122" s="161"/>
      <c r="I122" s="162"/>
      <c r="J122" s="162"/>
      <c r="K122" s="36">
        <f t="shared" si="10"/>
        <v>0</v>
      </c>
    </row>
    <row r="123" spans="2:11" x14ac:dyDescent="0.2">
      <c r="B123" s="129"/>
      <c r="C123" s="161"/>
      <c r="D123" s="162"/>
      <c r="E123" s="161"/>
      <c r="F123" s="162"/>
      <c r="G123" s="163"/>
      <c r="H123" s="161"/>
      <c r="I123" s="162"/>
      <c r="J123" s="162"/>
      <c r="K123" s="36">
        <f t="shared" si="10"/>
        <v>0</v>
      </c>
    </row>
    <row r="124" spans="2:11" x14ac:dyDescent="0.2">
      <c r="B124" s="129"/>
      <c r="C124" s="161"/>
      <c r="D124" s="162"/>
      <c r="E124" s="161"/>
      <c r="F124" s="162"/>
      <c r="G124" s="165"/>
      <c r="H124" s="161"/>
      <c r="I124" s="162"/>
      <c r="J124" s="162"/>
      <c r="K124" s="36">
        <f t="shared" si="10"/>
        <v>0</v>
      </c>
    </row>
    <row r="125" spans="2:11" x14ac:dyDescent="0.2">
      <c r="B125" s="129"/>
      <c r="C125" s="161"/>
      <c r="D125" s="162"/>
      <c r="E125" s="161"/>
      <c r="F125" s="162"/>
      <c r="G125" s="163"/>
      <c r="H125" s="161"/>
      <c r="I125" s="162"/>
      <c r="J125" s="162"/>
      <c r="K125" s="36">
        <f t="shared" si="10"/>
        <v>0</v>
      </c>
    </row>
    <row r="126" spans="2:11" x14ac:dyDescent="0.2">
      <c r="B126" s="84"/>
      <c r="C126" s="161"/>
      <c r="D126" s="162"/>
      <c r="E126" s="161"/>
      <c r="F126" s="167"/>
      <c r="G126" s="160"/>
      <c r="H126" s="161"/>
      <c r="I126" s="162"/>
      <c r="J126" s="162"/>
      <c r="K126" s="36">
        <f t="shared" si="10"/>
        <v>0</v>
      </c>
    </row>
    <row r="127" spans="2:11" x14ac:dyDescent="0.2">
      <c r="B127" s="84"/>
      <c r="C127" s="161"/>
      <c r="D127" s="161"/>
      <c r="E127" s="161"/>
      <c r="F127" s="167"/>
      <c r="G127" s="160"/>
      <c r="H127" s="161"/>
      <c r="I127" s="162"/>
      <c r="J127" s="162"/>
      <c r="K127" s="36">
        <f t="shared" si="10"/>
        <v>0</v>
      </c>
    </row>
    <row r="128" spans="2:11" x14ac:dyDescent="0.2">
      <c r="B128" s="84"/>
      <c r="C128" s="161"/>
      <c r="D128" s="168"/>
      <c r="E128" s="161"/>
      <c r="F128" s="167"/>
      <c r="G128" s="160"/>
      <c r="H128" s="161"/>
      <c r="I128" s="162"/>
      <c r="J128" s="162"/>
      <c r="K128" s="36">
        <f t="shared" si="10"/>
        <v>0</v>
      </c>
    </row>
    <row r="129" spans="2:11" x14ac:dyDescent="0.2">
      <c r="B129" s="84"/>
      <c r="C129" s="161"/>
      <c r="D129" s="168"/>
      <c r="E129" s="161"/>
      <c r="F129" s="167"/>
      <c r="G129" s="160"/>
      <c r="H129" s="161"/>
      <c r="I129" s="162"/>
      <c r="J129" s="162"/>
      <c r="K129" s="36">
        <f t="shared" ref="K129:K138" si="11">I129-J129</f>
        <v>0</v>
      </c>
    </row>
    <row r="130" spans="2:11" x14ac:dyDescent="0.2">
      <c r="B130" s="84"/>
      <c r="C130" s="161"/>
      <c r="D130" s="168"/>
      <c r="E130" s="161"/>
      <c r="F130" s="167"/>
      <c r="G130" s="160"/>
      <c r="H130" s="161"/>
      <c r="I130" s="162"/>
      <c r="J130" s="162"/>
      <c r="K130" s="36">
        <f t="shared" ref="K130" si="12">I130-J130</f>
        <v>0</v>
      </c>
    </row>
    <row r="131" spans="2:11" x14ac:dyDescent="0.2">
      <c r="B131" s="84"/>
      <c r="C131" s="161"/>
      <c r="D131" s="168"/>
      <c r="E131" s="161"/>
      <c r="F131" s="167"/>
      <c r="G131" s="160"/>
      <c r="H131" s="161"/>
      <c r="I131" s="162"/>
      <c r="J131" s="162"/>
      <c r="K131" s="36">
        <f t="shared" si="11"/>
        <v>0</v>
      </c>
    </row>
    <row r="132" spans="2:11" x14ac:dyDescent="0.2">
      <c r="B132" s="84"/>
      <c r="C132" s="161"/>
      <c r="D132" s="168"/>
      <c r="E132" s="161"/>
      <c r="F132" s="167"/>
      <c r="G132" s="160"/>
      <c r="H132" s="161"/>
      <c r="I132" s="162"/>
      <c r="J132" s="162"/>
      <c r="K132" s="36">
        <f t="shared" si="11"/>
        <v>0</v>
      </c>
    </row>
    <row r="133" spans="2:11" x14ac:dyDescent="0.2">
      <c r="B133" s="84"/>
      <c r="C133" s="161"/>
      <c r="D133" s="168"/>
      <c r="E133" s="161"/>
      <c r="F133" s="167"/>
      <c r="G133" s="160"/>
      <c r="H133" s="161"/>
      <c r="I133" s="162"/>
      <c r="J133" s="162"/>
      <c r="K133" s="36">
        <f t="shared" si="11"/>
        <v>0</v>
      </c>
    </row>
    <row r="134" spans="2:11" x14ac:dyDescent="0.2">
      <c r="B134" s="84"/>
      <c r="C134" s="161"/>
      <c r="D134" s="168"/>
      <c r="E134" s="161"/>
      <c r="F134" s="167"/>
      <c r="G134" s="160"/>
      <c r="H134" s="161"/>
      <c r="I134" s="162"/>
      <c r="J134" s="162"/>
      <c r="K134" s="36">
        <f t="shared" si="11"/>
        <v>0</v>
      </c>
    </row>
    <row r="135" spans="2:11" x14ac:dyDescent="0.2">
      <c r="B135" s="84"/>
      <c r="C135" s="161"/>
      <c r="D135" s="168"/>
      <c r="E135" s="161"/>
      <c r="F135" s="167"/>
      <c r="G135" s="160"/>
      <c r="H135" s="161"/>
      <c r="I135" s="162"/>
      <c r="J135" s="162"/>
      <c r="K135" s="36">
        <f t="shared" si="11"/>
        <v>0</v>
      </c>
    </row>
    <row r="136" spans="2:11" x14ac:dyDescent="0.2">
      <c r="B136" s="84"/>
      <c r="C136" s="161"/>
      <c r="D136" s="161"/>
      <c r="E136" s="161"/>
      <c r="F136" s="167"/>
      <c r="G136" s="160"/>
      <c r="H136" s="161"/>
      <c r="I136" s="162"/>
      <c r="J136" s="162"/>
      <c r="K136" s="36">
        <f t="shared" si="11"/>
        <v>0</v>
      </c>
    </row>
    <row r="137" spans="2:11" x14ac:dyDescent="0.2">
      <c r="B137" s="84"/>
      <c r="C137" s="161"/>
      <c r="D137" s="161"/>
      <c r="E137" s="161"/>
      <c r="F137" s="167"/>
      <c r="G137" s="1"/>
      <c r="H137" s="161"/>
      <c r="I137" s="162"/>
      <c r="J137" s="162"/>
      <c r="K137" s="36">
        <f t="shared" si="11"/>
        <v>0</v>
      </c>
    </row>
    <row r="138" spans="2:11" x14ac:dyDescent="0.2">
      <c r="B138" s="84"/>
      <c r="C138" s="161"/>
      <c r="D138" s="161"/>
      <c r="E138" s="166"/>
      <c r="F138" s="167"/>
      <c r="G138" s="169"/>
      <c r="H138" s="161"/>
      <c r="I138" s="162"/>
      <c r="J138" s="162"/>
      <c r="K138" s="36">
        <f t="shared" si="11"/>
        <v>0</v>
      </c>
    </row>
    <row r="139" spans="2:11" x14ac:dyDescent="0.2">
      <c r="B139" s="84"/>
      <c r="C139" s="126"/>
      <c r="D139" s="126"/>
      <c r="E139" s="126"/>
      <c r="F139" s="127"/>
      <c r="G139" s="1"/>
      <c r="H139" s="126"/>
      <c r="K139" s="36">
        <f t="shared" si="9"/>
        <v>0</v>
      </c>
    </row>
    <row r="140" spans="2:11" x14ac:dyDescent="0.2">
      <c r="B140" s="84"/>
      <c r="C140" s="126"/>
      <c r="D140" s="126"/>
      <c r="E140" s="126"/>
      <c r="F140" s="127"/>
      <c r="G140" s="1"/>
      <c r="H140" s="126"/>
      <c r="K140" s="36">
        <f t="shared" si="9"/>
        <v>0</v>
      </c>
    </row>
    <row r="141" spans="2:11" x14ac:dyDescent="0.2">
      <c r="B141" s="84"/>
      <c r="C141" s="126"/>
      <c r="D141" s="126"/>
      <c r="E141" s="126"/>
      <c r="F141" s="127"/>
      <c r="G141" s="1"/>
      <c r="H141" s="126"/>
      <c r="K141" s="36">
        <f t="shared" si="8"/>
        <v>0</v>
      </c>
    </row>
    <row r="142" spans="2:11" ht="15" x14ac:dyDescent="0.35">
      <c r="B142" s="84"/>
      <c r="C142" s="128" t="s">
        <v>486</v>
      </c>
      <c r="D142" s="128"/>
      <c r="E142" s="126"/>
      <c r="F142" s="127"/>
      <c r="G142" s="1"/>
      <c r="H142" s="126"/>
      <c r="K142" s="36">
        <f t="shared" si="8"/>
        <v>0</v>
      </c>
    </row>
    <row r="143" spans="2:11" ht="15" x14ac:dyDescent="0.35">
      <c r="B143" s="84"/>
      <c r="C143" s="128"/>
      <c r="D143" s="128"/>
      <c r="E143" s="126"/>
      <c r="F143" s="127"/>
      <c r="G143" s="1"/>
      <c r="H143" s="126"/>
      <c r="K143" s="36">
        <f t="shared" si="8"/>
        <v>0</v>
      </c>
    </row>
    <row r="144" spans="2:11" x14ac:dyDescent="0.2">
      <c r="B144" s="129"/>
      <c r="C144" s="200" t="str">
        <f>Criteria!E9</f>
        <v>HOLDING COMPANY 268 (PROPRIETARY) LIMITED</v>
      </c>
      <c r="D144" s="161"/>
      <c r="E144" s="161"/>
      <c r="F144" s="162"/>
      <c r="G144" s="129"/>
      <c r="H144" s="161"/>
      <c r="I144" s="170"/>
      <c r="J144" s="162"/>
      <c r="K144" s="36">
        <f t="shared" si="8"/>
        <v>0</v>
      </c>
    </row>
    <row r="145" spans="2:11" x14ac:dyDescent="0.2">
      <c r="B145" s="129"/>
      <c r="C145" s="161"/>
      <c r="D145" s="161"/>
      <c r="E145" s="161"/>
      <c r="F145" s="162"/>
      <c r="G145" s="159"/>
      <c r="H145" s="171"/>
      <c r="I145" s="170"/>
      <c r="J145" s="162"/>
      <c r="K145" s="36">
        <f t="shared" ref="K145:K148" si="13">I145-J145</f>
        <v>0</v>
      </c>
    </row>
    <row r="146" spans="2:11" x14ac:dyDescent="0.2">
      <c r="B146" s="129"/>
      <c r="C146" s="161"/>
      <c r="D146" s="161"/>
      <c r="E146" s="161"/>
      <c r="F146" s="162"/>
      <c r="G146" s="129"/>
      <c r="H146" s="171"/>
      <c r="I146" s="170"/>
      <c r="J146" s="162"/>
      <c r="K146" s="36">
        <f t="shared" si="13"/>
        <v>0</v>
      </c>
    </row>
    <row r="147" spans="2:11" x14ac:dyDescent="0.2">
      <c r="B147" s="129"/>
      <c r="C147" s="161"/>
      <c r="D147" s="161"/>
      <c r="E147" s="161"/>
      <c r="F147" s="162"/>
      <c r="G147" s="159"/>
      <c r="H147" s="171"/>
      <c r="I147" s="170"/>
      <c r="J147" s="162"/>
      <c r="K147" s="36">
        <f t="shared" si="13"/>
        <v>0</v>
      </c>
    </row>
    <row r="148" spans="2:11" x14ac:dyDescent="0.2">
      <c r="B148" s="129"/>
      <c r="C148" s="161"/>
      <c r="D148" s="161"/>
      <c r="E148" s="161"/>
      <c r="F148" s="162"/>
      <c r="G148" s="129"/>
      <c r="H148" s="171"/>
      <c r="I148" s="170"/>
      <c r="J148" s="162"/>
      <c r="K148" s="36">
        <f t="shared" si="13"/>
        <v>0</v>
      </c>
    </row>
    <row r="149" spans="2:11" x14ac:dyDescent="0.2">
      <c r="B149" s="129"/>
      <c r="C149" s="161"/>
      <c r="D149" s="161"/>
      <c r="E149" s="161"/>
      <c r="F149" s="162"/>
      <c r="G149" s="129"/>
      <c r="H149" s="171"/>
      <c r="I149" s="170"/>
      <c r="J149" s="162"/>
      <c r="K149" s="36">
        <f t="shared" ref="K149:K167" si="14">I149-J149</f>
        <v>0</v>
      </c>
    </row>
    <row r="150" spans="2:11" x14ac:dyDescent="0.2">
      <c r="B150" s="129"/>
      <c r="C150" s="161"/>
      <c r="D150" s="161"/>
      <c r="E150" s="161"/>
      <c r="F150" s="162"/>
      <c r="G150" s="129"/>
      <c r="H150" s="171"/>
      <c r="I150" s="170"/>
      <c r="J150" s="162"/>
      <c r="K150" s="36">
        <f t="shared" si="14"/>
        <v>0</v>
      </c>
    </row>
    <row r="151" spans="2:11" x14ac:dyDescent="0.2">
      <c r="B151" s="129"/>
      <c r="C151" s="200" t="str">
        <f>Criteria!E14</f>
        <v>SUBSIDIARY ONE 111 (PTY) LTD</v>
      </c>
      <c r="D151" s="161"/>
      <c r="E151" s="161"/>
      <c r="F151" s="162"/>
      <c r="G151" s="129"/>
      <c r="H151" s="171"/>
      <c r="I151" s="170"/>
      <c r="J151" s="162"/>
      <c r="K151" s="36">
        <f t="shared" si="14"/>
        <v>0</v>
      </c>
    </row>
    <row r="152" spans="2:11" x14ac:dyDescent="0.2">
      <c r="B152" s="129"/>
      <c r="C152" s="161"/>
      <c r="D152" s="161"/>
      <c r="E152" s="161"/>
      <c r="F152" s="162"/>
      <c r="G152" s="129"/>
      <c r="H152" s="171"/>
      <c r="I152" s="162"/>
      <c r="J152" s="162"/>
      <c r="K152" s="36">
        <f t="shared" si="14"/>
        <v>0</v>
      </c>
    </row>
    <row r="153" spans="2:11" x14ac:dyDescent="0.2">
      <c r="B153" s="129"/>
      <c r="D153" s="161"/>
      <c r="E153" s="161"/>
      <c r="F153" s="162"/>
      <c r="G153" s="129"/>
      <c r="H153" s="171"/>
      <c r="I153" s="162"/>
      <c r="J153" s="162"/>
      <c r="K153" s="36">
        <f t="shared" si="14"/>
        <v>0</v>
      </c>
    </row>
    <row r="154" spans="2:11" x14ac:dyDescent="0.2">
      <c r="B154" s="129"/>
      <c r="C154" s="161"/>
      <c r="D154" s="161"/>
      <c r="E154" s="161"/>
      <c r="F154" s="162"/>
      <c r="G154" s="129"/>
      <c r="H154" s="171"/>
      <c r="I154" s="162"/>
      <c r="J154" s="162"/>
      <c r="K154" s="36">
        <f t="shared" si="14"/>
        <v>0</v>
      </c>
    </row>
    <row r="155" spans="2:11" x14ac:dyDescent="0.2">
      <c r="B155" s="129"/>
      <c r="C155" s="161"/>
      <c r="D155" s="161"/>
      <c r="E155" s="161"/>
      <c r="F155" s="162"/>
      <c r="G155" s="129"/>
      <c r="H155" s="171"/>
      <c r="I155" s="162"/>
      <c r="J155" s="162"/>
      <c r="K155" s="36">
        <f t="shared" si="14"/>
        <v>0</v>
      </c>
    </row>
    <row r="156" spans="2:11" x14ac:dyDescent="0.2">
      <c r="B156" s="129"/>
      <c r="C156" s="161"/>
      <c r="D156" s="161"/>
      <c r="E156" s="161"/>
      <c r="F156" s="162"/>
      <c r="G156" s="129"/>
      <c r="H156" s="171"/>
      <c r="I156" s="162"/>
      <c r="J156" s="162"/>
      <c r="K156" s="36">
        <f t="shared" si="14"/>
        <v>0</v>
      </c>
    </row>
    <row r="157" spans="2:11" x14ac:dyDescent="0.2">
      <c r="B157" s="129"/>
      <c r="C157" s="161"/>
      <c r="D157" s="161"/>
      <c r="E157" s="161"/>
      <c r="F157" s="162"/>
      <c r="G157" s="129"/>
      <c r="H157" s="171"/>
      <c r="I157" s="162"/>
      <c r="J157" s="162"/>
      <c r="K157" s="36">
        <f t="shared" si="14"/>
        <v>0</v>
      </c>
    </row>
    <row r="158" spans="2:11" x14ac:dyDescent="0.2">
      <c r="B158" s="129"/>
      <c r="C158" s="200" t="str">
        <f>Criteria!E15</f>
        <v>SUBSIDIARY TWO 15 (PTY) LTD</v>
      </c>
      <c r="D158" s="161"/>
      <c r="E158" s="161"/>
      <c r="F158" s="162"/>
      <c r="G158" s="129"/>
      <c r="H158" s="171"/>
      <c r="I158" s="162"/>
      <c r="J158" s="162"/>
      <c r="K158" s="36">
        <f t="shared" si="14"/>
        <v>0</v>
      </c>
    </row>
    <row r="159" spans="2:11" x14ac:dyDescent="0.2">
      <c r="B159" s="129"/>
      <c r="C159" s="161"/>
      <c r="D159" s="161"/>
      <c r="E159" s="161"/>
      <c r="F159" s="162"/>
      <c r="G159" s="129"/>
      <c r="H159" s="171"/>
      <c r="I159" s="162"/>
      <c r="J159" s="162"/>
      <c r="K159" s="36">
        <f t="shared" si="14"/>
        <v>0</v>
      </c>
    </row>
    <row r="160" spans="2:11" x14ac:dyDescent="0.2">
      <c r="B160" s="129"/>
      <c r="C160" s="161"/>
      <c r="D160" s="161"/>
      <c r="E160" s="161"/>
      <c r="F160" s="162"/>
      <c r="G160" s="129"/>
      <c r="H160" s="171"/>
      <c r="I160" s="162"/>
      <c r="J160" s="162"/>
      <c r="K160" s="36">
        <f t="shared" si="14"/>
        <v>0</v>
      </c>
    </row>
    <row r="161" spans="2:13" x14ac:dyDescent="0.2">
      <c r="B161" s="129"/>
      <c r="D161" s="161"/>
      <c r="E161" s="161"/>
      <c r="F161" s="162"/>
      <c r="G161" s="129"/>
      <c r="H161" s="171"/>
      <c r="I161" s="162"/>
      <c r="J161" s="162"/>
      <c r="K161" s="36">
        <f t="shared" si="14"/>
        <v>0</v>
      </c>
    </row>
    <row r="162" spans="2:13" x14ac:dyDescent="0.2">
      <c r="B162" s="129"/>
      <c r="C162" s="161"/>
      <c r="D162" s="161"/>
      <c r="E162" s="161"/>
      <c r="F162" s="162"/>
      <c r="G162" s="129"/>
      <c r="H162" s="171"/>
      <c r="I162" s="162"/>
      <c r="J162" s="162"/>
      <c r="K162" s="36">
        <f t="shared" si="14"/>
        <v>0</v>
      </c>
    </row>
    <row r="163" spans="2:13" x14ac:dyDescent="0.2">
      <c r="B163" s="129"/>
      <c r="C163" s="200">
        <f>Criteria!E16</f>
        <v>0</v>
      </c>
      <c r="D163" s="161"/>
      <c r="E163" s="161"/>
      <c r="F163" s="162"/>
      <c r="G163" s="129"/>
      <c r="H163" s="171"/>
      <c r="I163" s="162"/>
      <c r="J163" s="162"/>
      <c r="K163" s="36">
        <f t="shared" si="14"/>
        <v>0</v>
      </c>
    </row>
    <row r="164" spans="2:13" x14ac:dyDescent="0.2">
      <c r="B164" s="129"/>
      <c r="C164" s="161"/>
      <c r="D164" s="161"/>
      <c r="E164" s="161"/>
      <c r="F164" s="162"/>
      <c r="G164" s="129"/>
      <c r="H164" s="171"/>
      <c r="I164" s="162"/>
      <c r="J164" s="162"/>
      <c r="K164" s="36">
        <f t="shared" si="14"/>
        <v>0</v>
      </c>
    </row>
    <row r="165" spans="2:13" x14ac:dyDescent="0.2">
      <c r="B165" s="129"/>
      <c r="C165" s="161"/>
      <c r="D165" s="161"/>
      <c r="E165" s="161"/>
      <c r="F165" s="162"/>
      <c r="G165" s="129"/>
      <c r="H165" s="171"/>
      <c r="I165" s="162"/>
      <c r="J165" s="162"/>
      <c r="K165" s="36">
        <f t="shared" si="14"/>
        <v>0</v>
      </c>
    </row>
    <row r="166" spans="2:13" x14ac:dyDescent="0.2">
      <c r="B166" s="129"/>
      <c r="C166" s="161"/>
      <c r="D166" s="161"/>
      <c r="E166" s="161"/>
      <c r="F166" s="162"/>
      <c r="G166" s="129"/>
      <c r="H166" s="171"/>
      <c r="I166" s="162"/>
      <c r="J166" s="162"/>
      <c r="K166" s="36">
        <f t="shared" si="14"/>
        <v>0</v>
      </c>
    </row>
    <row r="167" spans="2:13" x14ac:dyDescent="0.2">
      <c r="B167" s="129"/>
      <c r="C167" s="166"/>
      <c r="D167" s="161"/>
      <c r="E167" s="161"/>
      <c r="F167" s="162"/>
      <c r="G167" s="129"/>
      <c r="H167" s="171"/>
      <c r="I167" s="162"/>
      <c r="J167" s="162"/>
      <c r="K167" s="36">
        <f t="shared" si="14"/>
        <v>0</v>
      </c>
    </row>
    <row r="169" spans="2:13" ht="13.5" thickBot="1" x14ac:dyDescent="0.25">
      <c r="C169" s="36" t="s">
        <v>328</v>
      </c>
      <c r="I169" s="44">
        <f>SUM(I86:I168)</f>
        <v>0</v>
      </c>
      <c r="J169" s="44">
        <f t="shared" ref="J169:K169" si="15">SUM(J86:J168)</f>
        <v>0</v>
      </c>
      <c r="K169" s="44">
        <f t="shared" si="15"/>
        <v>0</v>
      </c>
    </row>
    <row r="170" spans="2:13" ht="13.5" thickTop="1" x14ac:dyDescent="0.2"/>
    <row r="171" spans="2:13" x14ac:dyDescent="0.2">
      <c r="B171" s="145" t="s">
        <v>154</v>
      </c>
      <c r="I171" s="195">
        <v>0.2</v>
      </c>
      <c r="J171" s="36" t="s">
        <v>247</v>
      </c>
    </row>
    <row r="172" spans="2:13" x14ac:dyDescent="0.2">
      <c r="B172" s="146"/>
      <c r="I172" s="19"/>
      <c r="J172" s="19"/>
      <c r="K172" s="19"/>
    </row>
    <row r="173" spans="2:13" x14ac:dyDescent="0.2">
      <c r="B173" s="147" t="s">
        <v>24</v>
      </c>
      <c r="C173" s="61" t="s">
        <v>210</v>
      </c>
      <c r="D173" s="61"/>
      <c r="E173" s="87"/>
      <c r="F173" s="88"/>
      <c r="G173" s="87"/>
      <c r="H173" s="87"/>
      <c r="I173" s="21" t="s">
        <v>352</v>
      </c>
      <c r="J173" s="21" t="s">
        <v>561</v>
      </c>
      <c r="K173" s="21" t="s">
        <v>560</v>
      </c>
      <c r="M173" s="57"/>
    </row>
    <row r="175" spans="2:13" x14ac:dyDescent="0.2">
      <c r="B175" s="84"/>
      <c r="C175" s="200" t="str">
        <f>Criteria!E9</f>
        <v>HOLDING COMPANY 268 (PROPRIETARY) LIMITED</v>
      </c>
      <c r="D175" s="1"/>
      <c r="E175" s="1"/>
      <c r="F175" s="1"/>
      <c r="G175" s="1"/>
      <c r="H175" s="15"/>
      <c r="I175" s="85"/>
      <c r="K175" s="36">
        <f>+I175-J175</f>
        <v>0</v>
      </c>
    </row>
    <row r="176" spans="2:13" x14ac:dyDescent="0.2">
      <c r="B176" s="150"/>
      <c r="C176" s="161"/>
      <c r="D176" s="141"/>
      <c r="E176" s="141"/>
      <c r="F176" s="141"/>
      <c r="G176" s="141"/>
      <c r="H176" s="15"/>
      <c r="I176" s="85"/>
      <c r="K176" s="36">
        <f>+I176-J176</f>
        <v>0</v>
      </c>
    </row>
    <row r="177" spans="2:11" x14ac:dyDescent="0.2">
      <c r="B177" s="150"/>
      <c r="C177" s="161"/>
      <c r="D177" s="141"/>
      <c r="E177" s="141"/>
      <c r="F177" s="141"/>
      <c r="G177" s="141"/>
      <c r="H177" s="15"/>
      <c r="I177" s="85"/>
      <c r="K177" s="36">
        <f>+I177-J177</f>
        <v>0</v>
      </c>
    </row>
    <row r="178" spans="2:11" x14ac:dyDescent="0.2">
      <c r="B178" s="84"/>
      <c r="C178" s="161"/>
      <c r="D178" s="1"/>
      <c r="E178" s="1"/>
      <c r="F178" s="1"/>
      <c r="G178" s="1"/>
      <c r="K178" s="36">
        <f t="shared" ref="K178:K210" si="16">+I178-J178</f>
        <v>0</v>
      </c>
    </row>
    <row r="179" spans="2:11" x14ac:dyDescent="0.2">
      <c r="B179" s="49"/>
      <c r="C179" s="161"/>
      <c r="D179" s="1"/>
      <c r="E179" s="1"/>
      <c r="F179" s="1"/>
      <c r="G179" s="1"/>
      <c r="K179" s="36">
        <f t="shared" si="16"/>
        <v>0</v>
      </c>
    </row>
    <row r="180" spans="2:11" x14ac:dyDescent="0.2">
      <c r="B180" s="84"/>
      <c r="C180" s="161"/>
      <c r="D180" s="1"/>
      <c r="E180" s="1"/>
      <c r="F180" s="1"/>
      <c r="G180" s="1"/>
      <c r="K180" s="36">
        <f t="shared" si="16"/>
        <v>0</v>
      </c>
    </row>
    <row r="181" spans="2:11" x14ac:dyDescent="0.2">
      <c r="B181" s="84"/>
      <c r="C181" s="161"/>
      <c r="D181" s="1"/>
      <c r="E181" s="1"/>
      <c r="F181" s="1"/>
      <c r="G181" s="1"/>
      <c r="K181" s="36">
        <f t="shared" si="16"/>
        <v>0</v>
      </c>
    </row>
    <row r="182" spans="2:11" x14ac:dyDescent="0.2">
      <c r="B182" s="84"/>
      <c r="C182" s="161"/>
      <c r="D182" s="1"/>
      <c r="E182" s="1"/>
      <c r="F182" s="1"/>
      <c r="G182" s="1"/>
      <c r="K182" s="36">
        <f t="shared" si="16"/>
        <v>0</v>
      </c>
    </row>
    <row r="183" spans="2:11" x14ac:dyDescent="0.2">
      <c r="B183" s="148"/>
      <c r="C183" s="161"/>
      <c r="K183" s="36">
        <f t="shared" si="16"/>
        <v>0</v>
      </c>
    </row>
    <row r="184" spans="2:11" x14ac:dyDescent="0.2">
      <c r="B184" s="148"/>
      <c r="C184" s="200" t="str">
        <f>Criteria!E14</f>
        <v>SUBSIDIARY ONE 111 (PTY) LTD</v>
      </c>
      <c r="K184" s="36">
        <f t="shared" si="16"/>
        <v>0</v>
      </c>
    </row>
    <row r="185" spans="2:11" x14ac:dyDescent="0.2">
      <c r="B185" s="148"/>
      <c r="C185" s="161"/>
      <c r="K185" s="36">
        <f t="shared" si="16"/>
        <v>0</v>
      </c>
    </row>
    <row r="186" spans="2:11" x14ac:dyDescent="0.2">
      <c r="B186" s="148"/>
      <c r="C186" s="161"/>
      <c r="K186" s="36">
        <f t="shared" si="16"/>
        <v>0</v>
      </c>
    </row>
    <row r="187" spans="2:11" x14ac:dyDescent="0.2">
      <c r="B187" s="148"/>
      <c r="C187" s="161"/>
      <c r="K187" s="36">
        <f t="shared" si="16"/>
        <v>0</v>
      </c>
    </row>
    <row r="188" spans="2:11" x14ac:dyDescent="0.2">
      <c r="B188" s="148"/>
      <c r="C188" s="161"/>
      <c r="K188" s="36">
        <f t="shared" si="16"/>
        <v>0</v>
      </c>
    </row>
    <row r="189" spans="2:11" x14ac:dyDescent="0.2">
      <c r="B189" s="148"/>
      <c r="C189" s="161"/>
      <c r="K189" s="36">
        <f t="shared" si="16"/>
        <v>0</v>
      </c>
    </row>
    <row r="190" spans="2:11" x14ac:dyDescent="0.2">
      <c r="B190" s="148"/>
      <c r="C190" s="161"/>
      <c r="K190" s="36">
        <f t="shared" si="16"/>
        <v>0</v>
      </c>
    </row>
    <row r="191" spans="2:11" x14ac:dyDescent="0.2">
      <c r="B191" s="148"/>
      <c r="C191" s="161"/>
      <c r="K191" s="36">
        <f t="shared" si="16"/>
        <v>0</v>
      </c>
    </row>
    <row r="192" spans="2:11" x14ac:dyDescent="0.2">
      <c r="B192" s="148"/>
      <c r="C192" s="200" t="str">
        <f>Criteria!E15</f>
        <v>SUBSIDIARY TWO 15 (PTY) LTD</v>
      </c>
      <c r="K192" s="36">
        <f t="shared" si="16"/>
        <v>0</v>
      </c>
    </row>
    <row r="193" spans="2:11" x14ac:dyDescent="0.2">
      <c r="B193" s="148"/>
      <c r="K193" s="36">
        <f t="shared" si="16"/>
        <v>0</v>
      </c>
    </row>
    <row r="194" spans="2:11" x14ac:dyDescent="0.2">
      <c r="B194" s="148"/>
      <c r="K194" s="36">
        <f t="shared" ref="K194:K209" si="17">+I194-J194</f>
        <v>0</v>
      </c>
    </row>
    <row r="195" spans="2:11" x14ac:dyDescent="0.2">
      <c r="B195" s="148"/>
      <c r="K195" s="36">
        <f t="shared" si="17"/>
        <v>0</v>
      </c>
    </row>
    <row r="196" spans="2:11" x14ac:dyDescent="0.2">
      <c r="B196" s="148"/>
      <c r="K196" s="36">
        <f t="shared" si="17"/>
        <v>0</v>
      </c>
    </row>
    <row r="197" spans="2:11" x14ac:dyDescent="0.2">
      <c r="B197" s="148"/>
      <c r="K197" s="36">
        <f t="shared" si="17"/>
        <v>0</v>
      </c>
    </row>
    <row r="198" spans="2:11" x14ac:dyDescent="0.2">
      <c r="B198" s="148"/>
      <c r="K198" s="36">
        <f t="shared" si="17"/>
        <v>0</v>
      </c>
    </row>
    <row r="199" spans="2:11" x14ac:dyDescent="0.2">
      <c r="B199" s="148"/>
      <c r="K199" s="36">
        <f t="shared" si="17"/>
        <v>0</v>
      </c>
    </row>
    <row r="200" spans="2:11" x14ac:dyDescent="0.2">
      <c r="B200" s="148"/>
      <c r="K200" s="36">
        <f t="shared" si="17"/>
        <v>0</v>
      </c>
    </row>
    <row r="201" spans="2:11" x14ac:dyDescent="0.2">
      <c r="B201" s="148"/>
      <c r="K201" s="36">
        <f t="shared" si="17"/>
        <v>0</v>
      </c>
    </row>
    <row r="202" spans="2:11" x14ac:dyDescent="0.2">
      <c r="B202" s="148"/>
      <c r="C202" s="200">
        <f>Criteria!E16</f>
        <v>0</v>
      </c>
      <c r="K202" s="36">
        <f t="shared" si="17"/>
        <v>0</v>
      </c>
    </row>
    <row r="203" spans="2:11" x14ac:dyDescent="0.2">
      <c r="B203" s="148"/>
      <c r="K203" s="36">
        <f t="shared" si="17"/>
        <v>0</v>
      </c>
    </row>
    <row r="204" spans="2:11" x14ac:dyDescent="0.2">
      <c r="B204" s="148"/>
      <c r="K204" s="36">
        <f t="shared" si="17"/>
        <v>0</v>
      </c>
    </row>
    <row r="205" spans="2:11" x14ac:dyDescent="0.2">
      <c r="B205" s="148"/>
      <c r="K205" s="36">
        <f t="shared" si="17"/>
        <v>0</v>
      </c>
    </row>
    <row r="206" spans="2:11" x14ac:dyDescent="0.2">
      <c r="B206" s="148"/>
      <c r="K206" s="36">
        <f t="shared" si="17"/>
        <v>0</v>
      </c>
    </row>
    <row r="207" spans="2:11" x14ac:dyDescent="0.2">
      <c r="B207" s="148"/>
      <c r="K207" s="36">
        <f t="shared" si="17"/>
        <v>0</v>
      </c>
    </row>
    <row r="208" spans="2:11" x14ac:dyDescent="0.2">
      <c r="B208" s="148"/>
      <c r="K208" s="36">
        <f t="shared" si="17"/>
        <v>0</v>
      </c>
    </row>
    <row r="209" spans="2:11" x14ac:dyDescent="0.2">
      <c r="B209" s="148"/>
      <c r="K209" s="36">
        <f t="shared" si="17"/>
        <v>0</v>
      </c>
    </row>
    <row r="210" spans="2:11" x14ac:dyDescent="0.2">
      <c r="B210" s="148"/>
      <c r="K210" s="36">
        <f t="shared" si="16"/>
        <v>0</v>
      </c>
    </row>
    <row r="212" spans="2:11" ht="13.5" thickBot="1" x14ac:dyDescent="0.25">
      <c r="C212" s="36" t="s">
        <v>328</v>
      </c>
      <c r="I212" s="44">
        <f>SUM(I174:I211)</f>
        <v>0</v>
      </c>
      <c r="J212" s="44">
        <f>SUM(J174:J211)</f>
        <v>0</v>
      </c>
      <c r="K212" s="44">
        <f>SUM(K174:K211)</f>
        <v>0</v>
      </c>
    </row>
    <row r="213" spans="2:11" ht="13.5" thickTop="1" x14ac:dyDescent="0.2"/>
    <row r="215" spans="2:11" x14ac:dyDescent="0.2">
      <c r="B215" s="145" t="s">
        <v>329</v>
      </c>
      <c r="I215" s="195">
        <v>0.2</v>
      </c>
      <c r="J215" s="36" t="s">
        <v>247</v>
      </c>
    </row>
    <row r="216" spans="2:11" x14ac:dyDescent="0.2">
      <c r="B216" s="146"/>
      <c r="I216" s="19"/>
      <c r="J216" s="19"/>
      <c r="K216" s="19"/>
    </row>
    <row r="217" spans="2:11" x14ac:dyDescent="0.2">
      <c r="B217" s="147" t="s">
        <v>24</v>
      </c>
      <c r="C217" s="61" t="s">
        <v>210</v>
      </c>
      <c r="D217" s="61"/>
      <c r="E217" s="87"/>
      <c r="F217" s="88"/>
      <c r="G217" s="87"/>
      <c r="H217" s="87"/>
      <c r="I217" s="21" t="s">
        <v>352</v>
      </c>
      <c r="J217" s="21" t="s">
        <v>561</v>
      </c>
      <c r="K217" s="21" t="s">
        <v>560</v>
      </c>
    </row>
    <row r="219" spans="2:11" x14ac:dyDescent="0.2">
      <c r="B219" s="151"/>
      <c r="C219" s="200" t="str">
        <f>Criteria!E9</f>
        <v>HOLDING COMPANY 268 (PROPRIETARY) LIMITED</v>
      </c>
      <c r="D219" s="141"/>
      <c r="E219" s="141"/>
      <c r="F219" s="141"/>
      <c r="G219" s="141"/>
      <c r="H219" s="1"/>
      <c r="I219" s="65"/>
      <c r="K219" s="36">
        <f>+I219-J219</f>
        <v>0</v>
      </c>
    </row>
    <row r="220" spans="2:11" x14ac:dyDescent="0.2">
      <c r="B220" s="49"/>
      <c r="C220" s="161"/>
      <c r="D220" s="1"/>
      <c r="E220" s="1"/>
      <c r="F220" s="1"/>
      <c r="G220" s="1"/>
      <c r="H220" s="1"/>
      <c r="I220" s="65"/>
      <c r="K220" s="36">
        <f>+I220-J220</f>
        <v>0</v>
      </c>
    </row>
    <row r="221" spans="2:11" x14ac:dyDescent="0.2">
      <c r="B221" s="49"/>
      <c r="C221" s="161"/>
      <c r="D221" s="1"/>
      <c r="E221" s="1"/>
      <c r="F221" s="1"/>
      <c r="G221" s="1"/>
      <c r="H221" s="1"/>
      <c r="I221" s="65"/>
      <c r="K221" s="36">
        <f>+I221-J221</f>
        <v>0</v>
      </c>
    </row>
    <row r="222" spans="2:11" x14ac:dyDescent="0.2">
      <c r="B222" s="49"/>
      <c r="C222" s="161"/>
      <c r="D222" s="1"/>
      <c r="E222" s="1"/>
      <c r="F222" s="1"/>
      <c r="G222" s="1"/>
      <c r="H222" s="1"/>
      <c r="I222" s="65"/>
      <c r="K222" s="36">
        <f t="shared" ref="K222:K243" si="18">+I222-J222</f>
        <v>0</v>
      </c>
    </row>
    <row r="223" spans="2:11" x14ac:dyDescent="0.2">
      <c r="B223" s="49"/>
      <c r="C223" s="161"/>
      <c r="D223" s="1"/>
      <c r="E223" s="1"/>
      <c r="F223" s="1"/>
      <c r="G223" s="1"/>
      <c r="H223" s="1"/>
      <c r="I223" s="65"/>
      <c r="K223" s="36">
        <f t="shared" si="18"/>
        <v>0</v>
      </c>
    </row>
    <row r="224" spans="2:11" x14ac:dyDescent="0.2">
      <c r="B224" s="49"/>
      <c r="C224" s="161"/>
      <c r="D224" s="1"/>
      <c r="E224" s="1"/>
      <c r="F224" s="1"/>
      <c r="G224" s="1"/>
      <c r="H224" s="1"/>
      <c r="I224" s="65"/>
      <c r="K224" s="36">
        <f t="shared" si="18"/>
        <v>0</v>
      </c>
    </row>
    <row r="225" spans="2:11" x14ac:dyDescent="0.2">
      <c r="B225" s="49"/>
      <c r="C225" s="161"/>
      <c r="D225" s="1"/>
      <c r="E225" s="1"/>
      <c r="F225" s="1"/>
      <c r="G225" s="1"/>
      <c r="H225" s="1"/>
      <c r="I225" s="65"/>
      <c r="K225" s="36">
        <f t="shared" si="18"/>
        <v>0</v>
      </c>
    </row>
    <row r="226" spans="2:11" x14ac:dyDescent="0.2">
      <c r="B226" s="49"/>
      <c r="C226" s="161"/>
      <c r="D226" s="1"/>
      <c r="E226" s="1"/>
      <c r="F226" s="1"/>
      <c r="G226" s="1"/>
      <c r="H226" s="1"/>
      <c r="I226" s="65"/>
      <c r="K226" s="36">
        <f t="shared" si="18"/>
        <v>0</v>
      </c>
    </row>
    <row r="227" spans="2:11" x14ac:dyDescent="0.2">
      <c r="B227" s="49"/>
      <c r="C227" s="200" t="str">
        <f>Criteria!E14</f>
        <v>SUBSIDIARY ONE 111 (PTY) LTD</v>
      </c>
      <c r="D227" s="1"/>
      <c r="E227" s="1"/>
      <c r="F227" s="1"/>
      <c r="G227" s="1"/>
      <c r="H227" s="1"/>
      <c r="I227" s="65"/>
      <c r="K227" s="36">
        <f t="shared" si="18"/>
        <v>0</v>
      </c>
    </row>
    <row r="228" spans="2:11" x14ac:dyDescent="0.2">
      <c r="B228" s="49"/>
      <c r="D228" s="1"/>
      <c r="E228" s="1"/>
      <c r="F228" s="1"/>
      <c r="G228" s="1"/>
      <c r="H228" s="1"/>
      <c r="I228" s="65"/>
      <c r="K228" s="36">
        <f t="shared" si="18"/>
        <v>0</v>
      </c>
    </row>
    <row r="229" spans="2:11" x14ac:dyDescent="0.2">
      <c r="B229" s="49"/>
      <c r="C229" s="161"/>
      <c r="D229" s="1"/>
      <c r="E229" s="1"/>
      <c r="F229" s="1"/>
      <c r="G229" s="1"/>
      <c r="H229" s="1"/>
      <c r="I229" s="65"/>
      <c r="K229" s="36">
        <f t="shared" si="18"/>
        <v>0</v>
      </c>
    </row>
    <row r="230" spans="2:11" x14ac:dyDescent="0.2">
      <c r="B230" s="49"/>
      <c r="C230" s="161"/>
      <c r="D230" s="1"/>
      <c r="E230" s="1"/>
      <c r="F230" s="1"/>
      <c r="G230" s="1"/>
      <c r="H230" s="1"/>
      <c r="I230" s="65"/>
      <c r="K230" s="36">
        <f t="shared" si="18"/>
        <v>0</v>
      </c>
    </row>
    <row r="231" spans="2:11" x14ac:dyDescent="0.2">
      <c r="B231" s="49"/>
      <c r="C231" s="161"/>
      <c r="D231" s="1"/>
      <c r="E231" s="1"/>
      <c r="F231" s="1"/>
      <c r="G231" s="1"/>
      <c r="H231" s="1"/>
      <c r="I231" s="65"/>
      <c r="K231" s="36">
        <f t="shared" si="18"/>
        <v>0</v>
      </c>
    </row>
    <row r="232" spans="2:11" x14ac:dyDescent="0.2">
      <c r="B232" s="49"/>
      <c r="C232" s="161"/>
      <c r="D232" s="1"/>
      <c r="E232" s="1"/>
      <c r="F232" s="1"/>
      <c r="G232" s="1"/>
      <c r="H232" s="1"/>
      <c r="I232" s="65"/>
      <c r="K232" s="36">
        <f t="shared" si="18"/>
        <v>0</v>
      </c>
    </row>
    <row r="233" spans="2:11" x14ac:dyDescent="0.2">
      <c r="B233" s="49"/>
      <c r="C233" s="161"/>
      <c r="D233" s="1"/>
      <c r="E233" s="1"/>
      <c r="F233" s="1"/>
      <c r="G233" s="1"/>
      <c r="H233" s="1"/>
      <c r="I233" s="65"/>
      <c r="K233" s="36">
        <f t="shared" si="18"/>
        <v>0</v>
      </c>
    </row>
    <row r="234" spans="2:11" x14ac:dyDescent="0.2">
      <c r="B234" s="49"/>
      <c r="C234" s="200" t="str">
        <f>Criteria!E15</f>
        <v>SUBSIDIARY TWO 15 (PTY) LTD</v>
      </c>
      <c r="D234" s="1"/>
      <c r="E234" s="1"/>
      <c r="F234" s="1"/>
      <c r="G234" s="1"/>
      <c r="H234" s="1"/>
      <c r="I234" s="65"/>
      <c r="K234" s="36">
        <f t="shared" si="18"/>
        <v>0</v>
      </c>
    </row>
    <row r="235" spans="2:11" x14ac:dyDescent="0.2">
      <c r="B235" s="49"/>
      <c r="C235" s="161"/>
      <c r="D235" s="1"/>
      <c r="E235" s="1"/>
      <c r="F235" s="1"/>
      <c r="G235" s="1"/>
      <c r="H235" s="1"/>
      <c r="I235" s="65"/>
      <c r="K235" s="36">
        <f t="shared" si="18"/>
        <v>0</v>
      </c>
    </row>
    <row r="236" spans="2:11" x14ac:dyDescent="0.2">
      <c r="B236" s="49"/>
      <c r="D236" s="1"/>
      <c r="E236" s="1"/>
      <c r="F236" s="1"/>
      <c r="G236" s="1"/>
      <c r="H236" s="1"/>
      <c r="I236" s="65"/>
      <c r="K236" s="36">
        <f t="shared" si="18"/>
        <v>0</v>
      </c>
    </row>
    <row r="237" spans="2:11" x14ac:dyDescent="0.2">
      <c r="B237" s="49"/>
      <c r="C237" s="1"/>
      <c r="D237" s="1"/>
      <c r="E237" s="1"/>
      <c r="F237" s="1"/>
      <c r="G237" s="1"/>
      <c r="H237" s="1"/>
      <c r="I237" s="65"/>
      <c r="K237" s="36">
        <f t="shared" si="18"/>
        <v>0</v>
      </c>
    </row>
    <row r="238" spans="2:11" x14ac:dyDescent="0.2">
      <c r="B238" s="49"/>
      <c r="C238" s="1"/>
      <c r="D238" s="1"/>
      <c r="E238" s="1"/>
      <c r="F238" s="1"/>
      <c r="G238" s="1"/>
      <c r="H238" s="1"/>
      <c r="I238" s="65"/>
      <c r="K238" s="36">
        <f t="shared" si="18"/>
        <v>0</v>
      </c>
    </row>
    <row r="239" spans="2:11" x14ac:dyDescent="0.2">
      <c r="B239" s="49"/>
      <c r="C239" s="1"/>
      <c r="D239" s="1"/>
      <c r="E239" s="1"/>
      <c r="F239" s="1"/>
      <c r="G239" s="1"/>
      <c r="H239" s="1"/>
      <c r="I239" s="65"/>
      <c r="K239" s="36">
        <f t="shared" si="18"/>
        <v>0</v>
      </c>
    </row>
    <row r="240" spans="2:11" x14ac:dyDescent="0.2">
      <c r="B240" s="49"/>
      <c r="C240" s="200">
        <f>Criteria!E16</f>
        <v>0</v>
      </c>
      <c r="D240" s="1"/>
      <c r="E240" s="1"/>
      <c r="F240" s="1"/>
      <c r="G240" s="1"/>
      <c r="H240" s="1"/>
      <c r="I240" s="65"/>
      <c r="K240" s="36">
        <f t="shared" si="18"/>
        <v>0</v>
      </c>
    </row>
    <row r="241" spans="2:11" x14ac:dyDescent="0.2">
      <c r="B241" s="49"/>
      <c r="C241" s="1"/>
      <c r="D241" s="1"/>
      <c r="E241" s="1"/>
      <c r="F241" s="1"/>
      <c r="G241" s="1"/>
      <c r="H241" s="1"/>
      <c r="I241" s="65"/>
      <c r="K241" s="36">
        <f t="shared" si="18"/>
        <v>0</v>
      </c>
    </row>
    <row r="242" spans="2:11" x14ac:dyDescent="0.2">
      <c r="B242" s="49"/>
      <c r="C242" s="1"/>
      <c r="D242" s="1"/>
      <c r="E242" s="1"/>
      <c r="F242" s="1"/>
      <c r="G242" s="1"/>
      <c r="H242" s="1"/>
      <c r="I242" s="65"/>
      <c r="K242" s="36">
        <f t="shared" si="18"/>
        <v>0</v>
      </c>
    </row>
    <row r="243" spans="2:11" x14ac:dyDescent="0.2">
      <c r="B243" s="49"/>
      <c r="C243" s="1"/>
      <c r="D243" s="1"/>
      <c r="E243" s="1"/>
      <c r="F243" s="1"/>
      <c r="G243" s="1"/>
      <c r="H243" s="1"/>
      <c r="I243" s="65"/>
      <c r="K243" s="36">
        <f t="shared" si="18"/>
        <v>0</v>
      </c>
    </row>
    <row r="244" spans="2:11" x14ac:dyDescent="0.2">
      <c r="B244" s="49"/>
      <c r="C244" s="1"/>
      <c r="D244" s="1"/>
      <c r="E244" s="1"/>
      <c r="F244" s="1"/>
      <c r="G244" s="1"/>
      <c r="H244" s="1"/>
      <c r="I244" s="65"/>
      <c r="K244" s="36">
        <f>+I244-J244</f>
        <v>0</v>
      </c>
    </row>
    <row r="246" spans="2:11" ht="13.5" thickBot="1" x14ac:dyDescent="0.25">
      <c r="C246" s="36" t="s">
        <v>328</v>
      </c>
      <c r="I246" s="44">
        <f>SUM(I218:I245)</f>
        <v>0</v>
      </c>
      <c r="J246" s="44">
        <f>SUM(J218:J245)</f>
        <v>0</v>
      </c>
      <c r="K246" s="44">
        <f>SUM(K218:K245)</f>
        <v>0</v>
      </c>
    </row>
    <row r="247" spans="2:11" ht="13.5" thickTop="1" x14ac:dyDescent="0.2"/>
    <row r="249" spans="2:11" x14ac:dyDescent="0.2">
      <c r="B249" s="145" t="s">
        <v>330</v>
      </c>
      <c r="I249" s="195">
        <v>0.33339999999999997</v>
      </c>
      <c r="J249" s="36" t="s">
        <v>247</v>
      </c>
    </row>
    <row r="250" spans="2:11" x14ac:dyDescent="0.2">
      <c r="B250" s="146"/>
      <c r="I250" s="19"/>
      <c r="J250" s="19"/>
      <c r="K250" s="19"/>
    </row>
    <row r="251" spans="2:11" x14ac:dyDescent="0.2">
      <c r="B251" s="147" t="s">
        <v>24</v>
      </c>
      <c r="C251" s="61" t="s">
        <v>210</v>
      </c>
      <c r="D251" s="61"/>
      <c r="E251" s="87"/>
      <c r="F251" s="88"/>
      <c r="G251" s="87"/>
      <c r="H251" s="87"/>
      <c r="I251" s="21" t="s">
        <v>352</v>
      </c>
      <c r="J251" s="21" t="s">
        <v>561</v>
      </c>
      <c r="K251" s="21" t="s">
        <v>560</v>
      </c>
    </row>
    <row r="253" spans="2:11" x14ac:dyDescent="0.2">
      <c r="B253" s="84"/>
      <c r="C253" s="200" t="str">
        <f>Criteria!E9</f>
        <v>HOLDING COMPANY 268 (PROPRIETARY) LIMITED</v>
      </c>
      <c r="D253" s="1"/>
      <c r="E253" s="1"/>
      <c r="F253" s="1"/>
      <c r="G253" s="1"/>
      <c r="H253" s="15"/>
      <c r="I253" s="85"/>
      <c r="K253" s="36">
        <f>+I253-J253</f>
        <v>0</v>
      </c>
    </row>
    <row r="254" spans="2:11" x14ac:dyDescent="0.2">
      <c r="B254" s="84"/>
      <c r="C254" s="161"/>
      <c r="D254" s="1"/>
      <c r="E254" s="1"/>
      <c r="F254" s="1"/>
      <c r="G254" s="1"/>
      <c r="H254" s="15"/>
      <c r="I254" s="85"/>
      <c r="K254" s="36">
        <f t="shared" ref="K254:K281" si="19">+I254-J254</f>
        <v>0</v>
      </c>
    </row>
    <row r="255" spans="2:11" x14ac:dyDescent="0.2">
      <c r="B255" s="84"/>
      <c r="C255" s="161"/>
      <c r="D255" s="1"/>
      <c r="E255" s="1"/>
      <c r="F255" s="1"/>
      <c r="G255" s="1"/>
      <c r="H255" s="15"/>
      <c r="I255" s="85"/>
      <c r="K255" s="36">
        <f t="shared" si="19"/>
        <v>0</v>
      </c>
    </row>
    <row r="256" spans="2:11" x14ac:dyDescent="0.2">
      <c r="B256" s="84"/>
      <c r="C256" s="161"/>
      <c r="D256" s="1"/>
      <c r="E256" s="1"/>
      <c r="F256" s="1"/>
      <c r="G256" s="1"/>
      <c r="H256" s="15"/>
      <c r="I256" s="85"/>
      <c r="K256" s="36">
        <f t="shared" si="19"/>
        <v>0</v>
      </c>
    </row>
    <row r="257" spans="2:11" x14ac:dyDescent="0.2">
      <c r="B257" s="84"/>
      <c r="C257" s="161"/>
      <c r="D257" s="1"/>
      <c r="E257" s="1"/>
      <c r="F257" s="1"/>
      <c r="G257" s="1"/>
      <c r="H257" s="15"/>
      <c r="I257" s="85"/>
      <c r="K257" s="36">
        <f t="shared" si="19"/>
        <v>0</v>
      </c>
    </row>
    <row r="258" spans="2:11" x14ac:dyDescent="0.2">
      <c r="B258" s="84"/>
      <c r="C258" s="161"/>
      <c r="D258" s="1"/>
      <c r="E258" s="1"/>
      <c r="F258" s="1"/>
      <c r="G258" s="1"/>
      <c r="H258" s="15"/>
      <c r="I258" s="85"/>
      <c r="K258" s="36">
        <f t="shared" si="19"/>
        <v>0</v>
      </c>
    </row>
    <row r="259" spans="2:11" x14ac:dyDescent="0.2">
      <c r="B259" s="84"/>
      <c r="C259" s="161"/>
      <c r="D259" s="1"/>
      <c r="E259" s="1"/>
      <c r="F259" s="1"/>
      <c r="G259" s="1"/>
      <c r="H259" s="15"/>
      <c r="I259" s="85"/>
      <c r="K259" s="36">
        <f t="shared" si="19"/>
        <v>0</v>
      </c>
    </row>
    <row r="260" spans="2:11" x14ac:dyDescent="0.2">
      <c r="B260" s="84"/>
      <c r="C260" s="161"/>
      <c r="D260" s="1"/>
      <c r="E260" s="1"/>
      <c r="F260" s="1"/>
      <c r="G260" s="1"/>
      <c r="H260" s="15"/>
      <c r="I260" s="85"/>
      <c r="K260" s="36">
        <f t="shared" si="19"/>
        <v>0</v>
      </c>
    </row>
    <row r="261" spans="2:11" x14ac:dyDescent="0.2">
      <c r="B261" s="84"/>
      <c r="C261" s="161"/>
      <c r="D261" s="1"/>
      <c r="E261" s="1"/>
      <c r="F261" s="1"/>
      <c r="G261" s="1"/>
      <c r="H261" s="15"/>
      <c r="I261" s="85"/>
      <c r="K261" s="36">
        <f t="shared" si="19"/>
        <v>0</v>
      </c>
    </row>
    <row r="262" spans="2:11" x14ac:dyDescent="0.2">
      <c r="B262" s="84"/>
      <c r="C262" s="200" t="str">
        <f>Criteria!E14</f>
        <v>SUBSIDIARY ONE 111 (PTY) LTD</v>
      </c>
      <c r="D262" s="1"/>
      <c r="E262" s="1"/>
      <c r="F262" s="1"/>
      <c r="G262" s="1"/>
      <c r="H262" s="15"/>
      <c r="I262" s="85"/>
      <c r="K262" s="36">
        <f t="shared" si="19"/>
        <v>0</v>
      </c>
    </row>
    <row r="263" spans="2:11" x14ac:dyDescent="0.2">
      <c r="B263" s="84"/>
      <c r="C263" s="161"/>
      <c r="D263" s="1"/>
      <c r="E263" s="1"/>
      <c r="F263" s="1"/>
      <c r="G263" s="1"/>
      <c r="H263" s="15"/>
      <c r="I263" s="85"/>
      <c r="K263" s="36">
        <f t="shared" si="19"/>
        <v>0</v>
      </c>
    </row>
    <row r="264" spans="2:11" x14ac:dyDescent="0.2">
      <c r="B264" s="84"/>
      <c r="C264" s="161"/>
      <c r="D264" s="1"/>
      <c r="E264" s="1"/>
      <c r="F264" s="1"/>
      <c r="G264" s="1"/>
      <c r="H264" s="15"/>
      <c r="I264" s="85"/>
      <c r="K264" s="36">
        <f t="shared" si="19"/>
        <v>0</v>
      </c>
    </row>
    <row r="265" spans="2:11" x14ac:dyDescent="0.2">
      <c r="B265" s="84"/>
      <c r="C265" s="161"/>
      <c r="D265" s="1"/>
      <c r="E265" s="1"/>
      <c r="F265" s="1"/>
      <c r="G265" s="1"/>
      <c r="H265" s="15"/>
      <c r="I265" s="85"/>
      <c r="K265" s="36">
        <f t="shared" si="19"/>
        <v>0</v>
      </c>
    </row>
    <row r="266" spans="2:11" x14ac:dyDescent="0.2">
      <c r="B266" s="84"/>
      <c r="C266" s="161"/>
      <c r="D266" s="1"/>
      <c r="E266" s="1"/>
      <c r="F266" s="1"/>
      <c r="G266" s="1"/>
      <c r="H266" s="15"/>
      <c r="I266" s="85"/>
      <c r="K266" s="36">
        <f t="shared" si="19"/>
        <v>0</v>
      </c>
    </row>
    <row r="267" spans="2:11" x14ac:dyDescent="0.2">
      <c r="B267" s="84"/>
      <c r="C267" s="161"/>
      <c r="D267" s="1"/>
      <c r="E267" s="1"/>
      <c r="F267" s="1"/>
      <c r="G267" s="1"/>
      <c r="H267" s="15"/>
      <c r="I267" s="85"/>
      <c r="K267" s="36">
        <f t="shared" si="19"/>
        <v>0</v>
      </c>
    </row>
    <row r="268" spans="2:11" x14ac:dyDescent="0.2">
      <c r="B268" s="84"/>
      <c r="C268" s="161"/>
      <c r="D268" s="1"/>
      <c r="E268" s="1"/>
      <c r="F268" s="1"/>
      <c r="G268" s="1"/>
      <c r="H268" s="15"/>
      <c r="I268" s="85"/>
      <c r="K268" s="36">
        <f t="shared" si="19"/>
        <v>0</v>
      </c>
    </row>
    <row r="269" spans="2:11" x14ac:dyDescent="0.2">
      <c r="B269" s="84"/>
      <c r="C269" s="161"/>
      <c r="D269" s="1"/>
      <c r="E269" s="1"/>
      <c r="F269" s="1"/>
      <c r="G269" s="1"/>
      <c r="H269" s="15"/>
      <c r="I269" s="85"/>
      <c r="K269" s="36">
        <f t="shared" si="19"/>
        <v>0</v>
      </c>
    </row>
    <row r="270" spans="2:11" x14ac:dyDescent="0.2">
      <c r="B270" s="84"/>
      <c r="C270" s="200" t="str">
        <f>Criteria!E15</f>
        <v>SUBSIDIARY TWO 15 (PTY) LTD</v>
      </c>
      <c r="D270" s="1"/>
      <c r="E270" s="1"/>
      <c r="F270" s="1"/>
      <c r="G270" s="1"/>
      <c r="H270" s="15"/>
      <c r="I270" s="85"/>
      <c r="K270" s="36">
        <f t="shared" si="19"/>
        <v>0</v>
      </c>
    </row>
    <row r="271" spans="2:11" x14ac:dyDescent="0.2">
      <c r="B271" s="84"/>
      <c r="C271" s="1"/>
      <c r="D271" s="1"/>
      <c r="E271" s="1"/>
      <c r="F271" s="1"/>
      <c r="G271" s="1"/>
      <c r="H271" s="15"/>
      <c r="I271" s="85"/>
      <c r="K271" s="36">
        <f t="shared" si="19"/>
        <v>0</v>
      </c>
    </row>
    <row r="272" spans="2:11" x14ac:dyDescent="0.2">
      <c r="B272" s="84"/>
      <c r="C272" s="1"/>
      <c r="D272" s="1"/>
      <c r="E272" s="1"/>
      <c r="F272" s="1"/>
      <c r="G272" s="1"/>
      <c r="H272" s="15"/>
      <c r="I272" s="85"/>
      <c r="K272" s="36">
        <f t="shared" si="19"/>
        <v>0</v>
      </c>
    </row>
    <row r="273" spans="2:11" x14ac:dyDescent="0.2">
      <c r="B273" s="84"/>
      <c r="C273" s="1"/>
      <c r="D273" s="1"/>
      <c r="E273" s="1"/>
      <c r="F273" s="1"/>
      <c r="G273" s="1"/>
      <c r="H273" s="15"/>
      <c r="I273" s="85"/>
      <c r="K273" s="36">
        <f t="shared" si="19"/>
        <v>0</v>
      </c>
    </row>
    <row r="274" spans="2:11" x14ac:dyDescent="0.2">
      <c r="B274" s="84"/>
      <c r="C274" s="1"/>
      <c r="D274" s="1"/>
      <c r="E274" s="1"/>
      <c r="F274" s="1"/>
      <c r="G274" s="1"/>
      <c r="H274" s="15"/>
      <c r="I274" s="85"/>
      <c r="K274" s="36">
        <f t="shared" si="19"/>
        <v>0</v>
      </c>
    </row>
    <row r="275" spans="2:11" x14ac:dyDescent="0.2">
      <c r="B275" s="84"/>
      <c r="C275" s="1"/>
      <c r="D275" s="1"/>
      <c r="E275" s="1"/>
      <c r="F275" s="1"/>
      <c r="G275" s="1"/>
      <c r="H275" s="15"/>
      <c r="I275" s="85"/>
      <c r="K275" s="36">
        <f t="shared" si="19"/>
        <v>0</v>
      </c>
    </row>
    <row r="276" spans="2:11" x14ac:dyDescent="0.2">
      <c r="B276" s="84"/>
      <c r="C276" s="1"/>
      <c r="D276" s="1"/>
      <c r="E276" s="1"/>
      <c r="F276" s="1"/>
      <c r="G276" s="1"/>
      <c r="H276" s="15"/>
      <c r="I276" s="85"/>
      <c r="K276" s="36">
        <f t="shared" si="19"/>
        <v>0</v>
      </c>
    </row>
    <row r="277" spans="2:11" x14ac:dyDescent="0.2">
      <c r="B277" s="84"/>
      <c r="C277" s="200">
        <f>Criteria!E16</f>
        <v>0</v>
      </c>
      <c r="D277" s="1"/>
      <c r="E277" s="1"/>
      <c r="F277" s="1"/>
      <c r="G277" s="1"/>
      <c r="H277" s="15"/>
      <c r="I277" s="85"/>
      <c r="K277" s="36">
        <f t="shared" si="19"/>
        <v>0</v>
      </c>
    </row>
    <row r="278" spans="2:11" x14ac:dyDescent="0.2">
      <c r="B278" s="84"/>
      <c r="C278" s="1"/>
      <c r="D278" s="1"/>
      <c r="E278" s="1"/>
      <c r="F278" s="1"/>
      <c r="G278" s="1"/>
      <c r="H278" s="15"/>
      <c r="I278" s="85"/>
      <c r="K278" s="36">
        <f t="shared" si="19"/>
        <v>0</v>
      </c>
    </row>
    <row r="279" spans="2:11" x14ac:dyDescent="0.2">
      <c r="B279" s="84"/>
      <c r="C279" s="1"/>
      <c r="D279" s="1"/>
      <c r="E279" s="1"/>
      <c r="F279" s="1"/>
      <c r="G279" s="1"/>
      <c r="H279" s="15"/>
      <c r="I279" s="85"/>
      <c r="K279" s="36">
        <f t="shared" si="19"/>
        <v>0</v>
      </c>
    </row>
    <row r="280" spans="2:11" x14ac:dyDescent="0.2">
      <c r="B280" s="84"/>
      <c r="C280" s="1"/>
      <c r="D280" s="1"/>
      <c r="E280" s="1"/>
      <c r="F280" s="1"/>
      <c r="G280" s="1"/>
      <c r="H280" s="15"/>
      <c r="I280" s="85"/>
      <c r="K280" s="36">
        <f t="shared" si="19"/>
        <v>0</v>
      </c>
    </row>
    <row r="281" spans="2:11" x14ac:dyDescent="0.2">
      <c r="B281" s="84"/>
      <c r="C281" s="1"/>
      <c r="D281" s="1"/>
      <c r="E281" s="1"/>
      <c r="F281" s="1"/>
      <c r="G281" s="1"/>
      <c r="H281" s="15"/>
      <c r="I281" s="85"/>
      <c r="K281" s="36">
        <f t="shared" si="19"/>
        <v>0</v>
      </c>
    </row>
    <row r="282" spans="2:11" x14ac:dyDescent="0.2">
      <c r="B282" s="150"/>
      <c r="C282" s="1"/>
      <c r="D282" s="1"/>
      <c r="E282" s="1"/>
      <c r="F282" s="1"/>
      <c r="G282" s="1"/>
      <c r="H282" s="15"/>
      <c r="I282" s="85"/>
      <c r="K282" s="36">
        <f>+I282-J282</f>
        <v>0</v>
      </c>
    </row>
    <row r="283" spans="2:11" x14ac:dyDescent="0.2">
      <c r="B283" s="150"/>
      <c r="C283" s="1"/>
      <c r="D283" s="1"/>
      <c r="E283" s="1"/>
      <c r="F283" s="1"/>
      <c r="G283" s="1"/>
      <c r="H283" s="15"/>
      <c r="I283" s="85"/>
      <c r="K283" s="36">
        <f>+I283-J283</f>
        <v>0</v>
      </c>
    </row>
    <row r="285" spans="2:11" ht="13.5" thickBot="1" x14ac:dyDescent="0.25">
      <c r="C285" s="36" t="s">
        <v>328</v>
      </c>
      <c r="I285" s="44">
        <f>SUM(I252:I284)</f>
        <v>0</v>
      </c>
      <c r="J285" s="44">
        <f>SUM(J252:J284)</f>
        <v>0</v>
      </c>
      <c r="K285" s="44">
        <f>SUM(K252:K284)</f>
        <v>0</v>
      </c>
    </row>
    <row r="286" spans="2:11" ht="13.5" thickTop="1" x14ac:dyDescent="0.2"/>
    <row r="288" spans="2:11" ht="14.25" x14ac:dyDescent="0.2">
      <c r="B288" s="149" t="s">
        <v>324</v>
      </c>
      <c r="I288" s="195">
        <v>0.2</v>
      </c>
      <c r="J288" s="36" t="s">
        <v>247</v>
      </c>
    </row>
    <row r="289" spans="2:11" x14ac:dyDescent="0.2">
      <c r="B289" s="146"/>
      <c r="I289" s="19"/>
      <c r="J289" s="19"/>
      <c r="K289" s="19"/>
    </row>
    <row r="290" spans="2:11" x14ac:dyDescent="0.2">
      <c r="B290" s="147" t="s">
        <v>24</v>
      </c>
      <c r="C290" s="61" t="s">
        <v>210</v>
      </c>
      <c r="D290" s="61"/>
      <c r="E290" s="87"/>
      <c r="F290" s="88"/>
      <c r="G290" s="87"/>
      <c r="H290" s="87"/>
      <c r="I290" s="21" t="s">
        <v>352</v>
      </c>
      <c r="J290" s="21" t="s">
        <v>561</v>
      </c>
      <c r="K290" s="21" t="s">
        <v>560</v>
      </c>
    </row>
    <row r="292" spans="2:11" x14ac:dyDescent="0.2">
      <c r="C292" s="200" t="str">
        <f>Criteria!E9</f>
        <v>HOLDING COMPANY 268 (PROPRIETARY) LIMITED</v>
      </c>
      <c r="K292" s="36">
        <f t="shared" ref="K292:K297" si="20">+I292-J292</f>
        <v>0</v>
      </c>
    </row>
    <row r="293" spans="2:11" x14ac:dyDescent="0.2">
      <c r="C293" s="161"/>
      <c r="K293" s="36">
        <f t="shared" si="20"/>
        <v>0</v>
      </c>
    </row>
    <row r="294" spans="2:11" x14ac:dyDescent="0.2">
      <c r="B294" s="49"/>
      <c r="C294" s="161"/>
      <c r="D294" s="1"/>
      <c r="E294" s="1"/>
      <c r="F294" s="1"/>
      <c r="G294" s="1"/>
      <c r="K294" s="36">
        <f t="shared" si="20"/>
        <v>0</v>
      </c>
    </row>
    <row r="295" spans="2:11" x14ac:dyDescent="0.2">
      <c r="B295" s="49"/>
      <c r="C295" s="161"/>
      <c r="D295" s="1"/>
      <c r="E295" s="1"/>
      <c r="F295" s="1"/>
      <c r="G295" s="1"/>
      <c r="K295" s="36">
        <f t="shared" si="20"/>
        <v>0</v>
      </c>
    </row>
    <row r="296" spans="2:11" x14ac:dyDescent="0.2">
      <c r="B296" s="49"/>
      <c r="C296" s="161"/>
      <c r="D296" s="1"/>
      <c r="E296" s="1"/>
      <c r="F296" s="1"/>
      <c r="G296" s="1"/>
      <c r="K296" s="36">
        <f t="shared" si="20"/>
        <v>0</v>
      </c>
    </row>
    <row r="297" spans="2:11" x14ac:dyDescent="0.2">
      <c r="B297" s="49"/>
      <c r="C297" s="161"/>
      <c r="D297" s="1"/>
      <c r="E297" s="1"/>
      <c r="F297" s="1"/>
      <c r="G297" s="1"/>
      <c r="K297" s="36">
        <f t="shared" si="20"/>
        <v>0</v>
      </c>
    </row>
    <row r="298" spans="2:11" x14ac:dyDescent="0.2">
      <c r="B298" s="49"/>
      <c r="C298" s="161"/>
      <c r="D298" s="27"/>
      <c r="E298" s="27"/>
      <c r="F298" s="27"/>
      <c r="G298" s="27"/>
      <c r="K298" s="36">
        <f t="shared" ref="K298:K299" si="21">+I298-J298</f>
        <v>0</v>
      </c>
    </row>
    <row r="299" spans="2:11" x14ac:dyDescent="0.2">
      <c r="B299" s="49"/>
      <c r="C299" s="161"/>
      <c r="D299" s="27"/>
      <c r="E299" s="27"/>
      <c r="F299" s="27"/>
      <c r="G299" s="27"/>
      <c r="K299" s="36">
        <f t="shared" si="21"/>
        <v>0</v>
      </c>
    </row>
    <row r="300" spans="2:11" ht="15" x14ac:dyDescent="0.25">
      <c r="B300" s="49"/>
      <c r="C300" s="161"/>
      <c r="D300" s="142"/>
      <c r="E300" s="142"/>
      <c r="F300" s="143"/>
      <c r="G300" s="142"/>
      <c r="K300" s="36">
        <f>+I300-J300</f>
        <v>0</v>
      </c>
    </row>
    <row r="301" spans="2:11" ht="15" x14ac:dyDescent="0.25">
      <c r="B301" s="152"/>
      <c r="D301" s="142"/>
      <c r="E301" s="142"/>
      <c r="F301" s="143"/>
      <c r="G301" s="142"/>
      <c r="K301" s="36">
        <f>+I301-J301</f>
        <v>0</v>
      </c>
    </row>
    <row r="302" spans="2:11" ht="15" x14ac:dyDescent="0.25">
      <c r="B302" s="152"/>
      <c r="D302" s="142"/>
      <c r="E302" s="142"/>
      <c r="F302" s="143"/>
      <c r="G302" s="142"/>
      <c r="K302" s="36">
        <f>+I302-J302</f>
        <v>0</v>
      </c>
    </row>
    <row r="303" spans="2:11" ht="15" x14ac:dyDescent="0.25">
      <c r="B303" s="152"/>
      <c r="D303" s="142"/>
      <c r="E303" s="142"/>
      <c r="F303" s="143"/>
      <c r="G303" s="142"/>
      <c r="K303" s="36">
        <f>+I303-J303</f>
        <v>0</v>
      </c>
    </row>
    <row r="304" spans="2:11" ht="15" x14ac:dyDescent="0.25">
      <c r="B304" s="152"/>
      <c r="D304" s="142"/>
      <c r="E304" s="142"/>
      <c r="F304" s="143"/>
      <c r="G304" s="142"/>
      <c r="K304" s="36">
        <f>+I304-J304</f>
        <v>0</v>
      </c>
    </row>
    <row r="305" spans="2:11" ht="15" x14ac:dyDescent="0.25">
      <c r="B305" s="152"/>
      <c r="D305" s="142"/>
      <c r="E305" s="142"/>
      <c r="F305" s="143"/>
      <c r="G305" s="142"/>
      <c r="K305" s="36">
        <f t="shared" ref="K305:K388" si="22">+I305-J305</f>
        <v>0</v>
      </c>
    </row>
    <row r="306" spans="2:11" ht="15" x14ac:dyDescent="0.25">
      <c r="B306" s="152"/>
      <c r="D306" s="142"/>
      <c r="E306" s="142"/>
      <c r="F306" s="143"/>
      <c r="G306" s="142"/>
      <c r="K306" s="36">
        <f t="shared" si="22"/>
        <v>0</v>
      </c>
    </row>
    <row r="307" spans="2:11" ht="15" x14ac:dyDescent="0.25">
      <c r="B307" s="152"/>
      <c r="D307" s="142"/>
      <c r="E307" s="142"/>
      <c r="F307" s="143"/>
      <c r="G307" s="142"/>
      <c r="K307" s="36">
        <f t="shared" si="22"/>
        <v>0</v>
      </c>
    </row>
    <row r="308" spans="2:11" ht="15" x14ac:dyDescent="0.25">
      <c r="B308" s="152"/>
      <c r="D308" s="142"/>
      <c r="E308" s="142"/>
      <c r="F308" s="143"/>
      <c r="G308" s="142"/>
      <c r="K308" s="36">
        <f t="shared" si="22"/>
        <v>0</v>
      </c>
    </row>
    <row r="309" spans="2:11" ht="15" x14ac:dyDescent="0.25">
      <c r="B309" s="152"/>
      <c r="D309" s="142"/>
      <c r="E309" s="142"/>
      <c r="F309" s="143"/>
      <c r="G309" s="142"/>
      <c r="K309" s="36">
        <f t="shared" si="22"/>
        <v>0</v>
      </c>
    </row>
    <row r="310" spans="2:11" ht="15" x14ac:dyDescent="0.25">
      <c r="B310" s="152"/>
      <c r="C310" s="161"/>
      <c r="D310" s="209"/>
      <c r="E310" s="142"/>
      <c r="F310" s="143"/>
      <c r="G310" s="142"/>
      <c r="K310" s="36">
        <f t="shared" si="22"/>
        <v>0</v>
      </c>
    </row>
    <row r="311" spans="2:11" ht="15" x14ac:dyDescent="0.25">
      <c r="C311" s="203"/>
      <c r="D311" s="204"/>
      <c r="E311" s="142"/>
      <c r="F311" s="143"/>
      <c r="G311" s="142"/>
      <c r="K311" s="36">
        <f t="shared" si="22"/>
        <v>0</v>
      </c>
    </row>
    <row r="312" spans="2:11" ht="15" x14ac:dyDescent="0.25">
      <c r="C312" s="205"/>
      <c r="D312" s="204"/>
      <c r="E312" s="142"/>
      <c r="F312" s="143"/>
      <c r="G312" s="142"/>
      <c r="K312" s="36">
        <f t="shared" si="22"/>
        <v>0</v>
      </c>
    </row>
    <row r="313" spans="2:11" ht="15" x14ac:dyDescent="0.25">
      <c r="B313" s="49"/>
      <c r="C313" s="1"/>
      <c r="D313" s="206"/>
      <c r="E313" s="142"/>
      <c r="F313" s="143"/>
      <c r="G313" s="142"/>
      <c r="K313" s="36">
        <f t="shared" si="22"/>
        <v>0</v>
      </c>
    </row>
    <row r="314" spans="2:11" ht="15" x14ac:dyDescent="0.25">
      <c r="B314" s="49"/>
      <c r="C314" s="1"/>
      <c r="D314" s="206"/>
      <c r="E314" s="142"/>
      <c r="F314" s="143"/>
      <c r="G314" s="142"/>
      <c r="K314" s="36">
        <f t="shared" ref="K314:K377" si="23">+I314-J314</f>
        <v>0</v>
      </c>
    </row>
    <row r="315" spans="2:11" ht="15" x14ac:dyDescent="0.25">
      <c r="B315" s="49"/>
      <c r="C315" s="200" t="str">
        <f>Criteria!E14</f>
        <v>SUBSIDIARY ONE 111 (PTY) LTD</v>
      </c>
      <c r="D315" s="206"/>
      <c r="E315" s="142"/>
      <c r="F315" s="143"/>
      <c r="G315" s="142"/>
      <c r="K315" s="36">
        <f t="shared" si="23"/>
        <v>0</v>
      </c>
    </row>
    <row r="316" spans="2:11" ht="15" x14ac:dyDescent="0.25">
      <c r="B316" s="49"/>
      <c r="C316" s="1"/>
      <c r="D316" s="206"/>
      <c r="E316" s="142"/>
      <c r="F316" s="143"/>
      <c r="G316" s="142"/>
      <c r="K316" s="36">
        <f t="shared" si="23"/>
        <v>0</v>
      </c>
    </row>
    <row r="317" spans="2:11" ht="15" x14ac:dyDescent="0.25">
      <c r="B317" s="49"/>
      <c r="C317" s="1"/>
      <c r="D317" s="207"/>
      <c r="E317" s="142"/>
      <c r="F317" s="143"/>
      <c r="G317" s="142"/>
      <c r="K317" s="36">
        <f t="shared" si="23"/>
        <v>0</v>
      </c>
    </row>
    <row r="318" spans="2:11" ht="15" x14ac:dyDescent="0.25">
      <c r="B318" s="49"/>
      <c r="C318" s="1"/>
      <c r="D318" s="207"/>
      <c r="E318" s="142"/>
      <c r="F318" s="143"/>
      <c r="G318" s="142"/>
      <c r="K318" s="36">
        <f t="shared" si="23"/>
        <v>0</v>
      </c>
    </row>
    <row r="319" spans="2:11" ht="15" x14ac:dyDescent="0.25">
      <c r="B319" s="49"/>
      <c r="C319" s="1"/>
      <c r="D319" s="208"/>
      <c r="E319" s="142"/>
      <c r="F319" s="143"/>
      <c r="G319" s="142"/>
      <c r="K319" s="36">
        <f t="shared" si="23"/>
        <v>0</v>
      </c>
    </row>
    <row r="320" spans="2:11" ht="15" x14ac:dyDescent="0.25">
      <c r="B320" s="152"/>
      <c r="C320" s="205"/>
      <c r="D320" s="208"/>
      <c r="E320" s="142"/>
      <c r="F320" s="143"/>
      <c r="G320" s="142"/>
      <c r="K320" s="36">
        <f t="shared" si="23"/>
        <v>0</v>
      </c>
    </row>
    <row r="321" spans="2:11" ht="15" x14ac:dyDescent="0.25">
      <c r="B321" s="152"/>
      <c r="C321" s="142"/>
      <c r="D321" s="142"/>
      <c r="E321" s="142"/>
      <c r="F321" s="143"/>
      <c r="G321" s="142"/>
      <c r="K321" s="36">
        <f t="shared" si="23"/>
        <v>0</v>
      </c>
    </row>
    <row r="322" spans="2:11" ht="15" x14ac:dyDescent="0.25">
      <c r="B322" s="152"/>
      <c r="C322" s="142"/>
      <c r="D322" s="142"/>
      <c r="E322" s="142"/>
      <c r="F322" s="143"/>
      <c r="G322" s="142"/>
      <c r="K322" s="36">
        <f t="shared" si="23"/>
        <v>0</v>
      </c>
    </row>
    <row r="323" spans="2:11" ht="15" x14ac:dyDescent="0.25">
      <c r="B323" s="152"/>
      <c r="C323" s="142"/>
      <c r="D323" s="142"/>
      <c r="E323" s="142"/>
      <c r="F323" s="143"/>
      <c r="G323" s="142"/>
      <c r="K323" s="36">
        <f t="shared" si="23"/>
        <v>0</v>
      </c>
    </row>
    <row r="324" spans="2:11" ht="15" x14ac:dyDescent="0.25">
      <c r="B324" s="152"/>
      <c r="C324" s="142"/>
      <c r="D324" s="142"/>
      <c r="E324" s="142"/>
      <c r="F324" s="143"/>
      <c r="G324" s="142"/>
      <c r="K324" s="36">
        <f t="shared" si="23"/>
        <v>0</v>
      </c>
    </row>
    <row r="325" spans="2:11" ht="15" x14ac:dyDescent="0.25">
      <c r="B325" s="152"/>
      <c r="C325" s="142"/>
      <c r="D325" s="142"/>
      <c r="E325" s="142"/>
      <c r="F325" s="143"/>
      <c r="G325" s="142"/>
      <c r="K325" s="36">
        <f t="shared" si="23"/>
        <v>0</v>
      </c>
    </row>
    <row r="326" spans="2:11" ht="15" x14ac:dyDescent="0.25">
      <c r="B326" s="152"/>
      <c r="C326" s="142"/>
      <c r="D326" s="142"/>
      <c r="E326" s="142"/>
      <c r="F326" s="143"/>
      <c r="G326" s="142"/>
      <c r="K326" s="36">
        <f t="shared" si="23"/>
        <v>0</v>
      </c>
    </row>
    <row r="327" spans="2:11" ht="15" x14ac:dyDescent="0.25">
      <c r="B327" s="152"/>
      <c r="C327" s="142"/>
      <c r="D327" s="142"/>
      <c r="E327" s="142"/>
      <c r="F327" s="143"/>
      <c r="G327" s="142"/>
      <c r="K327" s="36">
        <f t="shared" si="23"/>
        <v>0</v>
      </c>
    </row>
    <row r="328" spans="2:11" ht="15" x14ac:dyDescent="0.25">
      <c r="B328" s="152"/>
      <c r="C328" s="142"/>
      <c r="D328" s="142"/>
      <c r="E328" s="142"/>
      <c r="F328" s="143"/>
      <c r="G328" s="142"/>
      <c r="K328" s="36">
        <f t="shared" si="23"/>
        <v>0</v>
      </c>
    </row>
    <row r="329" spans="2:11" ht="15" x14ac:dyDescent="0.25">
      <c r="B329" s="152"/>
      <c r="C329" s="142"/>
      <c r="D329" s="142"/>
      <c r="E329" s="142"/>
      <c r="F329" s="143"/>
      <c r="G329" s="142"/>
      <c r="K329" s="36">
        <f t="shared" si="23"/>
        <v>0</v>
      </c>
    </row>
    <row r="330" spans="2:11" ht="15" x14ac:dyDescent="0.25">
      <c r="B330" s="152"/>
      <c r="C330" s="142"/>
      <c r="D330" s="142"/>
      <c r="E330" s="142"/>
      <c r="F330" s="143"/>
      <c r="G330" s="142"/>
      <c r="K330" s="36">
        <f t="shared" si="23"/>
        <v>0</v>
      </c>
    </row>
    <row r="331" spans="2:11" ht="15" x14ac:dyDescent="0.25">
      <c r="B331" s="152"/>
      <c r="C331" s="142"/>
      <c r="D331" s="142"/>
      <c r="E331" s="142"/>
      <c r="F331" s="143"/>
      <c r="G331" s="142"/>
      <c r="K331" s="36">
        <f t="shared" si="23"/>
        <v>0</v>
      </c>
    </row>
    <row r="332" spans="2:11" ht="15" x14ac:dyDescent="0.25">
      <c r="B332" s="152"/>
      <c r="C332" s="142"/>
      <c r="D332" s="142"/>
      <c r="E332" s="142"/>
      <c r="F332" s="143"/>
      <c r="G332" s="142"/>
      <c r="K332" s="36">
        <f t="shared" si="23"/>
        <v>0</v>
      </c>
    </row>
    <row r="333" spans="2:11" ht="15" x14ac:dyDescent="0.25">
      <c r="B333" s="152"/>
      <c r="C333" s="142"/>
      <c r="D333" s="142"/>
      <c r="E333" s="142"/>
      <c r="F333" s="143"/>
      <c r="G333" s="142"/>
      <c r="K333" s="36">
        <f t="shared" si="23"/>
        <v>0</v>
      </c>
    </row>
    <row r="334" spans="2:11" ht="15" x14ac:dyDescent="0.25">
      <c r="B334" s="152"/>
      <c r="C334" s="142"/>
      <c r="D334" s="142"/>
      <c r="E334" s="142"/>
      <c r="F334" s="143"/>
      <c r="G334" s="142"/>
      <c r="K334" s="36">
        <f t="shared" si="23"/>
        <v>0</v>
      </c>
    </row>
    <row r="335" spans="2:11" ht="15" x14ac:dyDescent="0.25">
      <c r="B335" s="152"/>
      <c r="C335" s="142"/>
      <c r="D335" s="142"/>
      <c r="E335" s="142"/>
      <c r="F335" s="143"/>
      <c r="G335" s="142"/>
      <c r="K335" s="36">
        <f t="shared" si="23"/>
        <v>0</v>
      </c>
    </row>
    <row r="336" spans="2:11" ht="15" x14ac:dyDescent="0.25">
      <c r="B336" s="152"/>
      <c r="C336" s="142"/>
      <c r="D336" s="142"/>
      <c r="E336" s="142"/>
      <c r="F336" s="143"/>
      <c r="G336" s="142"/>
      <c r="K336" s="36">
        <f t="shared" si="23"/>
        <v>0</v>
      </c>
    </row>
    <row r="337" spans="2:11" ht="15" x14ac:dyDescent="0.25">
      <c r="B337" s="152"/>
      <c r="D337" s="142"/>
      <c r="E337" s="142"/>
      <c r="F337" s="143"/>
      <c r="G337" s="142"/>
      <c r="K337" s="36">
        <f t="shared" si="23"/>
        <v>0</v>
      </c>
    </row>
    <row r="338" spans="2:11" ht="15" x14ac:dyDescent="0.25">
      <c r="B338" s="152"/>
      <c r="C338" s="142"/>
      <c r="D338" s="142"/>
      <c r="E338" s="142"/>
      <c r="F338" s="143"/>
      <c r="G338" s="142"/>
      <c r="K338" s="36">
        <f t="shared" si="23"/>
        <v>0</v>
      </c>
    </row>
    <row r="339" spans="2:11" ht="15" x14ac:dyDescent="0.25">
      <c r="B339" s="152"/>
      <c r="C339" s="142"/>
      <c r="D339" s="142"/>
      <c r="E339" s="142"/>
      <c r="F339" s="143"/>
      <c r="G339" s="142"/>
      <c r="K339" s="36">
        <f t="shared" si="23"/>
        <v>0</v>
      </c>
    </row>
    <row r="340" spans="2:11" ht="15" x14ac:dyDescent="0.25">
      <c r="B340" s="152"/>
      <c r="C340" s="142"/>
      <c r="D340" s="142"/>
      <c r="E340" s="142"/>
      <c r="F340" s="143"/>
      <c r="G340" s="142"/>
      <c r="K340" s="36">
        <f t="shared" si="23"/>
        <v>0</v>
      </c>
    </row>
    <row r="341" spans="2:11" ht="15" x14ac:dyDescent="0.25">
      <c r="B341" s="152"/>
      <c r="C341" s="142"/>
      <c r="D341" s="142"/>
      <c r="E341" s="142"/>
      <c r="F341" s="143"/>
      <c r="G341" s="142"/>
      <c r="K341" s="36">
        <f t="shared" si="23"/>
        <v>0</v>
      </c>
    </row>
    <row r="342" spans="2:11" ht="15" x14ac:dyDescent="0.25">
      <c r="B342" s="152"/>
      <c r="C342" s="142"/>
      <c r="D342" s="142"/>
      <c r="E342" s="142"/>
      <c r="F342" s="143"/>
      <c r="G342" s="142"/>
      <c r="K342" s="36">
        <f t="shared" si="23"/>
        <v>0</v>
      </c>
    </row>
    <row r="343" spans="2:11" ht="15" x14ac:dyDescent="0.25">
      <c r="B343" s="152"/>
      <c r="C343" s="142"/>
      <c r="D343" s="142"/>
      <c r="E343" s="142"/>
      <c r="F343" s="143"/>
      <c r="G343" s="142"/>
      <c r="K343" s="36">
        <f t="shared" si="23"/>
        <v>0</v>
      </c>
    </row>
    <row r="344" spans="2:11" ht="15" x14ac:dyDescent="0.25">
      <c r="B344" s="152"/>
      <c r="C344" s="142"/>
      <c r="D344" s="142"/>
      <c r="E344" s="142"/>
      <c r="F344" s="143"/>
      <c r="G344" s="142"/>
      <c r="K344" s="36">
        <f t="shared" si="23"/>
        <v>0</v>
      </c>
    </row>
    <row r="345" spans="2:11" ht="15" x14ac:dyDescent="0.25">
      <c r="B345" s="152"/>
      <c r="C345" s="142"/>
      <c r="D345" s="142"/>
      <c r="E345" s="142"/>
      <c r="F345" s="143"/>
      <c r="G345" s="142"/>
      <c r="K345" s="36">
        <f t="shared" si="23"/>
        <v>0</v>
      </c>
    </row>
    <row r="346" spans="2:11" ht="15" x14ac:dyDescent="0.25">
      <c r="B346" s="152"/>
      <c r="C346" s="200" t="str">
        <f>Criteria!E15</f>
        <v>SUBSIDIARY TWO 15 (PTY) LTD</v>
      </c>
      <c r="D346" s="142"/>
      <c r="E346" s="142"/>
      <c r="F346" s="143"/>
      <c r="G346" s="142"/>
      <c r="K346" s="36">
        <f t="shared" si="23"/>
        <v>0</v>
      </c>
    </row>
    <row r="347" spans="2:11" ht="15" x14ac:dyDescent="0.25">
      <c r="B347" s="152"/>
      <c r="C347" s="142"/>
      <c r="D347" s="142"/>
      <c r="E347" s="142"/>
      <c r="F347" s="143"/>
      <c r="G347" s="142"/>
      <c r="K347" s="36">
        <f t="shared" si="23"/>
        <v>0</v>
      </c>
    </row>
    <row r="348" spans="2:11" ht="15" x14ac:dyDescent="0.25">
      <c r="B348" s="152"/>
      <c r="C348" s="142"/>
      <c r="D348" s="142"/>
      <c r="E348" s="142"/>
      <c r="F348" s="143"/>
      <c r="G348" s="142"/>
      <c r="K348" s="36">
        <f t="shared" si="23"/>
        <v>0</v>
      </c>
    </row>
    <row r="349" spans="2:11" ht="15" x14ac:dyDescent="0.25">
      <c r="B349" s="152"/>
      <c r="C349" s="142"/>
      <c r="D349" s="142"/>
      <c r="E349" s="142"/>
      <c r="F349" s="143"/>
      <c r="G349" s="142"/>
      <c r="K349" s="36">
        <f t="shared" si="23"/>
        <v>0</v>
      </c>
    </row>
    <row r="350" spans="2:11" ht="15" x14ac:dyDescent="0.25">
      <c r="B350" s="152"/>
      <c r="C350" s="142"/>
      <c r="D350" s="142"/>
      <c r="E350" s="142"/>
      <c r="F350" s="143"/>
      <c r="G350" s="142"/>
      <c r="K350" s="36">
        <f t="shared" si="23"/>
        <v>0</v>
      </c>
    </row>
    <row r="351" spans="2:11" ht="15" x14ac:dyDescent="0.25">
      <c r="B351" s="152"/>
      <c r="C351" s="142"/>
      <c r="D351" s="142"/>
      <c r="E351" s="142"/>
      <c r="F351" s="143"/>
      <c r="G351" s="142"/>
      <c r="K351" s="36">
        <f t="shared" si="23"/>
        <v>0</v>
      </c>
    </row>
    <row r="352" spans="2:11" ht="15" x14ac:dyDescent="0.25">
      <c r="B352" s="152"/>
      <c r="C352" s="142"/>
      <c r="D352" s="142"/>
      <c r="E352" s="142"/>
      <c r="F352" s="143"/>
      <c r="G352" s="142"/>
      <c r="K352" s="36">
        <f t="shared" si="23"/>
        <v>0</v>
      </c>
    </row>
    <row r="353" spans="2:11" ht="15" x14ac:dyDescent="0.25">
      <c r="B353" s="152"/>
      <c r="C353" s="142"/>
      <c r="D353" s="142"/>
      <c r="E353" s="142"/>
      <c r="F353" s="143"/>
      <c r="G353" s="142"/>
      <c r="K353" s="36">
        <f t="shared" si="23"/>
        <v>0</v>
      </c>
    </row>
    <row r="354" spans="2:11" ht="15" x14ac:dyDescent="0.25">
      <c r="B354" s="152"/>
      <c r="C354" s="142"/>
      <c r="D354" s="142"/>
      <c r="E354" s="142"/>
      <c r="F354" s="143"/>
      <c r="G354" s="142"/>
      <c r="K354" s="36">
        <f t="shared" si="23"/>
        <v>0</v>
      </c>
    </row>
    <row r="355" spans="2:11" ht="15" x14ac:dyDescent="0.25">
      <c r="B355" s="152"/>
      <c r="C355" s="142"/>
      <c r="D355" s="142"/>
      <c r="E355" s="142"/>
      <c r="F355" s="143"/>
      <c r="G355" s="142"/>
      <c r="K355" s="36">
        <f t="shared" si="23"/>
        <v>0</v>
      </c>
    </row>
    <row r="356" spans="2:11" ht="15" x14ac:dyDescent="0.25">
      <c r="B356" s="152"/>
      <c r="C356" s="142"/>
      <c r="D356" s="142"/>
      <c r="E356" s="142"/>
      <c r="F356" s="143"/>
      <c r="G356" s="142"/>
      <c r="K356" s="36">
        <f t="shared" si="23"/>
        <v>0</v>
      </c>
    </row>
    <row r="357" spans="2:11" ht="15" x14ac:dyDescent="0.25">
      <c r="B357" s="152"/>
      <c r="C357" s="142"/>
      <c r="D357" s="142"/>
      <c r="E357" s="142"/>
      <c r="F357" s="143"/>
      <c r="G357" s="142"/>
      <c r="K357" s="36">
        <f t="shared" si="23"/>
        <v>0</v>
      </c>
    </row>
    <row r="358" spans="2:11" ht="15" x14ac:dyDescent="0.25">
      <c r="B358" s="152"/>
      <c r="C358" s="142"/>
      <c r="D358" s="142"/>
      <c r="E358" s="142"/>
      <c r="F358" s="143"/>
      <c r="G358" s="142"/>
      <c r="K358" s="36">
        <f t="shared" si="23"/>
        <v>0</v>
      </c>
    </row>
    <row r="359" spans="2:11" ht="15" x14ac:dyDescent="0.25">
      <c r="B359" s="152"/>
      <c r="C359" s="142"/>
      <c r="D359" s="142"/>
      <c r="E359" s="142"/>
      <c r="F359" s="143"/>
      <c r="G359" s="142"/>
      <c r="K359" s="36">
        <f t="shared" si="23"/>
        <v>0</v>
      </c>
    </row>
    <row r="360" spans="2:11" ht="15" x14ac:dyDescent="0.25">
      <c r="B360" s="152"/>
      <c r="D360" s="142"/>
      <c r="E360" s="142"/>
      <c r="F360" s="143"/>
      <c r="G360" s="142"/>
      <c r="K360" s="36">
        <f t="shared" si="23"/>
        <v>0</v>
      </c>
    </row>
    <row r="361" spans="2:11" ht="15" x14ac:dyDescent="0.25">
      <c r="B361" s="152"/>
      <c r="C361" s="142"/>
      <c r="D361" s="142"/>
      <c r="E361" s="142"/>
      <c r="F361" s="143"/>
      <c r="G361" s="142"/>
      <c r="K361" s="36">
        <f t="shared" si="23"/>
        <v>0</v>
      </c>
    </row>
    <row r="362" spans="2:11" ht="15" x14ac:dyDescent="0.25">
      <c r="B362" s="152"/>
      <c r="C362" s="142"/>
      <c r="D362" s="142"/>
      <c r="E362" s="142"/>
      <c r="F362" s="143"/>
      <c r="G362" s="142"/>
      <c r="K362" s="36">
        <f t="shared" si="23"/>
        <v>0</v>
      </c>
    </row>
    <row r="363" spans="2:11" ht="15" x14ac:dyDescent="0.25">
      <c r="B363" s="152"/>
      <c r="C363" s="142"/>
      <c r="D363" s="142"/>
      <c r="E363" s="142"/>
      <c r="F363" s="143"/>
      <c r="G363" s="142"/>
      <c r="K363" s="36">
        <f t="shared" si="23"/>
        <v>0</v>
      </c>
    </row>
    <row r="364" spans="2:11" ht="15" x14ac:dyDescent="0.25">
      <c r="B364" s="152"/>
      <c r="C364" s="142"/>
      <c r="D364" s="142"/>
      <c r="E364" s="142"/>
      <c r="F364" s="143"/>
      <c r="G364" s="142"/>
      <c r="K364" s="36">
        <f t="shared" si="23"/>
        <v>0</v>
      </c>
    </row>
    <row r="365" spans="2:11" ht="15" x14ac:dyDescent="0.25">
      <c r="B365" s="152"/>
      <c r="C365" s="142"/>
      <c r="D365" s="142"/>
      <c r="E365" s="142"/>
      <c r="F365" s="143"/>
      <c r="G365" s="142"/>
      <c r="K365" s="36">
        <f t="shared" si="23"/>
        <v>0</v>
      </c>
    </row>
    <row r="366" spans="2:11" ht="15" x14ac:dyDescent="0.25">
      <c r="B366" s="152"/>
      <c r="C366" s="142"/>
      <c r="D366" s="142"/>
      <c r="E366" s="142"/>
      <c r="F366" s="143"/>
      <c r="G366" s="142"/>
      <c r="K366" s="36">
        <f t="shared" si="23"/>
        <v>0</v>
      </c>
    </row>
    <row r="367" spans="2:11" ht="15" x14ac:dyDescent="0.25">
      <c r="B367" s="152"/>
      <c r="C367" s="142"/>
      <c r="D367" s="142"/>
      <c r="E367" s="142"/>
      <c r="F367" s="143"/>
      <c r="G367" s="142"/>
      <c r="K367" s="36">
        <f t="shared" si="23"/>
        <v>0</v>
      </c>
    </row>
    <row r="368" spans="2:11" ht="15" x14ac:dyDescent="0.25">
      <c r="B368" s="152"/>
      <c r="C368" s="142"/>
      <c r="D368" s="142"/>
      <c r="E368" s="142"/>
      <c r="F368" s="143"/>
      <c r="G368" s="142"/>
      <c r="K368" s="36">
        <f t="shared" si="23"/>
        <v>0</v>
      </c>
    </row>
    <row r="369" spans="2:11" ht="15" x14ac:dyDescent="0.25">
      <c r="B369" s="152"/>
      <c r="C369" s="142"/>
      <c r="D369" s="142"/>
      <c r="E369" s="142"/>
      <c r="F369" s="143"/>
      <c r="G369" s="142"/>
      <c r="K369" s="36">
        <f t="shared" si="23"/>
        <v>0</v>
      </c>
    </row>
    <row r="370" spans="2:11" ht="15" x14ac:dyDescent="0.25">
      <c r="B370" s="152"/>
      <c r="C370" s="142"/>
      <c r="D370" s="142"/>
      <c r="E370" s="142"/>
      <c r="F370" s="143"/>
      <c r="G370" s="142"/>
      <c r="K370" s="36">
        <f t="shared" si="23"/>
        <v>0</v>
      </c>
    </row>
    <row r="371" spans="2:11" ht="15" x14ac:dyDescent="0.25">
      <c r="B371" s="152"/>
      <c r="C371" s="142"/>
      <c r="D371" s="142"/>
      <c r="E371" s="142"/>
      <c r="F371" s="143"/>
      <c r="G371" s="142"/>
      <c r="K371" s="36">
        <f t="shared" si="23"/>
        <v>0</v>
      </c>
    </row>
    <row r="372" spans="2:11" ht="15" x14ac:dyDescent="0.25">
      <c r="B372" s="152"/>
      <c r="C372" s="200">
        <f>Criteria!E16</f>
        <v>0</v>
      </c>
      <c r="D372" s="142"/>
      <c r="E372" s="142"/>
      <c r="F372" s="143"/>
      <c r="G372" s="142"/>
      <c r="K372" s="36">
        <f t="shared" si="23"/>
        <v>0</v>
      </c>
    </row>
    <row r="373" spans="2:11" ht="15" x14ac:dyDescent="0.25">
      <c r="B373" s="152"/>
      <c r="C373" s="142"/>
      <c r="D373" s="142"/>
      <c r="E373" s="142"/>
      <c r="F373" s="143"/>
      <c r="G373" s="142"/>
      <c r="K373" s="36">
        <f t="shared" si="23"/>
        <v>0</v>
      </c>
    </row>
    <row r="374" spans="2:11" ht="15" x14ac:dyDescent="0.25">
      <c r="B374" s="152"/>
      <c r="C374" s="142"/>
      <c r="D374" s="142"/>
      <c r="E374" s="142"/>
      <c r="F374" s="143"/>
      <c r="G374" s="142"/>
      <c r="K374" s="36">
        <f t="shared" si="23"/>
        <v>0</v>
      </c>
    </row>
    <row r="375" spans="2:11" ht="15" x14ac:dyDescent="0.25">
      <c r="B375" s="152"/>
      <c r="C375" s="142"/>
      <c r="D375" s="142"/>
      <c r="E375" s="142"/>
      <c r="F375" s="143"/>
      <c r="G375" s="142"/>
      <c r="K375" s="36">
        <f t="shared" si="23"/>
        <v>0</v>
      </c>
    </row>
    <row r="376" spans="2:11" ht="15" x14ac:dyDescent="0.25">
      <c r="B376" s="152"/>
      <c r="C376" s="142"/>
      <c r="D376" s="142"/>
      <c r="E376" s="142"/>
      <c r="F376" s="143"/>
      <c r="G376" s="142"/>
      <c r="K376" s="36">
        <f t="shared" si="23"/>
        <v>0</v>
      </c>
    </row>
    <row r="377" spans="2:11" ht="15" x14ac:dyDescent="0.25">
      <c r="B377" s="152"/>
      <c r="C377" s="142"/>
      <c r="D377" s="142"/>
      <c r="E377" s="142"/>
      <c r="F377" s="143"/>
      <c r="G377" s="142"/>
      <c r="K377" s="36">
        <f t="shared" si="23"/>
        <v>0</v>
      </c>
    </row>
    <row r="378" spans="2:11" ht="15" x14ac:dyDescent="0.25">
      <c r="B378" s="152"/>
      <c r="C378" s="142"/>
      <c r="D378" s="142"/>
      <c r="E378" s="142"/>
      <c r="F378" s="143"/>
      <c r="G378" s="142"/>
      <c r="K378" s="36">
        <f t="shared" ref="K378:K386" si="24">+I378-J378</f>
        <v>0</v>
      </c>
    </row>
    <row r="379" spans="2:11" ht="15" x14ac:dyDescent="0.25">
      <c r="B379" s="152"/>
      <c r="C379" s="142"/>
      <c r="D379" s="142"/>
      <c r="E379" s="142"/>
      <c r="F379" s="143"/>
      <c r="G379" s="142"/>
      <c r="K379" s="36">
        <f t="shared" si="24"/>
        <v>0</v>
      </c>
    </row>
    <row r="380" spans="2:11" ht="15" x14ac:dyDescent="0.25">
      <c r="B380" s="152"/>
      <c r="C380" s="142"/>
      <c r="D380" s="142"/>
      <c r="E380" s="142"/>
      <c r="F380" s="143"/>
      <c r="G380" s="142"/>
      <c r="K380" s="36">
        <f t="shared" si="24"/>
        <v>0</v>
      </c>
    </row>
    <row r="381" spans="2:11" ht="15" x14ac:dyDescent="0.25">
      <c r="B381" s="152"/>
      <c r="C381" s="142"/>
      <c r="D381" s="142"/>
      <c r="E381" s="142"/>
      <c r="F381" s="143"/>
      <c r="G381" s="142"/>
      <c r="K381" s="36">
        <f t="shared" si="24"/>
        <v>0</v>
      </c>
    </row>
    <row r="382" spans="2:11" ht="15" x14ac:dyDescent="0.25">
      <c r="B382" s="152"/>
      <c r="C382" s="142"/>
      <c r="D382" s="142"/>
      <c r="E382" s="142"/>
      <c r="F382" s="143"/>
      <c r="G382" s="142"/>
      <c r="K382" s="36">
        <f t="shared" si="24"/>
        <v>0</v>
      </c>
    </row>
    <row r="383" spans="2:11" ht="15" x14ac:dyDescent="0.25">
      <c r="B383" s="152"/>
      <c r="C383" s="142"/>
      <c r="D383" s="142"/>
      <c r="E383" s="142"/>
      <c r="F383" s="143"/>
      <c r="G383" s="142"/>
      <c r="K383" s="36">
        <f t="shared" si="24"/>
        <v>0</v>
      </c>
    </row>
    <row r="384" spans="2:11" ht="15" x14ac:dyDescent="0.25">
      <c r="B384" s="152"/>
      <c r="C384" s="142"/>
      <c r="D384" s="142"/>
      <c r="E384" s="142"/>
      <c r="F384" s="143"/>
      <c r="G384" s="142"/>
      <c r="K384" s="36">
        <f t="shared" si="24"/>
        <v>0</v>
      </c>
    </row>
    <row r="385" spans="2:11" ht="15" x14ac:dyDescent="0.25">
      <c r="B385" s="152"/>
      <c r="C385" s="142"/>
      <c r="D385" s="142"/>
      <c r="E385" s="142"/>
      <c r="F385" s="143"/>
      <c r="G385" s="142"/>
      <c r="K385" s="36">
        <f t="shared" si="24"/>
        <v>0</v>
      </c>
    </row>
    <row r="386" spans="2:11" ht="15" x14ac:dyDescent="0.25">
      <c r="B386" s="152"/>
      <c r="C386" s="142"/>
      <c r="D386" s="142"/>
      <c r="E386" s="142"/>
      <c r="F386" s="143"/>
      <c r="G386" s="142"/>
      <c r="K386" s="36">
        <f t="shared" si="24"/>
        <v>0</v>
      </c>
    </row>
    <row r="387" spans="2:11" ht="15" x14ac:dyDescent="0.25">
      <c r="B387" s="152"/>
      <c r="C387" s="142"/>
      <c r="D387" s="142"/>
      <c r="E387" s="142"/>
      <c r="F387" s="143"/>
      <c r="G387" s="142"/>
      <c r="K387" s="36">
        <f t="shared" si="22"/>
        <v>0</v>
      </c>
    </row>
    <row r="388" spans="2:11" ht="15" x14ac:dyDescent="0.25">
      <c r="B388" s="152"/>
      <c r="C388" s="142"/>
      <c r="D388" s="142"/>
      <c r="E388" s="142"/>
      <c r="F388" s="143"/>
      <c r="G388" s="142"/>
      <c r="K388" s="36">
        <f t="shared" si="22"/>
        <v>0</v>
      </c>
    </row>
    <row r="390" spans="2:11" ht="13.5" thickBot="1" x14ac:dyDescent="0.25">
      <c r="C390" s="36" t="s">
        <v>328</v>
      </c>
      <c r="I390" s="44">
        <f>SUM(I291:I389)</f>
        <v>0</v>
      </c>
      <c r="J390" s="44">
        <f t="shared" ref="J390:K390" si="25">SUM(J291:J389)</f>
        <v>0</v>
      </c>
      <c r="K390" s="44">
        <f t="shared" si="25"/>
        <v>0</v>
      </c>
    </row>
    <row r="391" spans="2:11" ht="13.5" thickTop="1" x14ac:dyDescent="0.2"/>
    <row r="393" spans="2:11" ht="13.5" thickBot="1" x14ac:dyDescent="0.25">
      <c r="C393" s="57" t="s">
        <v>312</v>
      </c>
      <c r="D393" s="57"/>
      <c r="E393" s="57"/>
      <c r="F393" s="57"/>
      <c r="G393" s="57"/>
      <c r="I393" s="44">
        <f>SUM(I52+I81+I169+I212+I246+I285+I390)</f>
        <v>0</v>
      </c>
      <c r="J393" s="44">
        <f>SUM(J52+J81+J169+J212+J246+J285+J390)</f>
        <v>0</v>
      </c>
      <c r="K393" s="44">
        <f>SUM(K52+K81+K169+K212+K246+K285+K390)</f>
        <v>0</v>
      </c>
    </row>
    <row r="394" spans="2:11" ht="13.5" thickTop="1" x14ac:dyDescent="0.2">
      <c r="C394" s="57"/>
      <c r="D394" s="57"/>
      <c r="E394" s="57"/>
      <c r="F394" s="57"/>
      <c r="G394" s="57"/>
      <c r="I394" s="36">
        <f>I393-I17</f>
        <v>0</v>
      </c>
      <c r="J394" s="36">
        <f>J393-J17</f>
        <v>0</v>
      </c>
      <c r="K394" s="36">
        <f>K393-K17</f>
        <v>0</v>
      </c>
    </row>
  </sheetData>
  <mergeCells count="1">
    <mergeCell ref="I8:K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37" t="s">
        <v>117</v>
      </c>
      <c r="G4" s="105" t="s">
        <v>77</v>
      </c>
      <c r="H4" s="105"/>
    </row>
    <row r="5" spans="3:8" ht="15.75" customHeight="1" x14ac:dyDescent="0.25">
      <c r="G5" s="25"/>
      <c r="H5" s="25"/>
    </row>
    <row r="6" spans="3:8" s="2" customFormat="1" x14ac:dyDescent="0.25">
      <c r="G6" s="5">
        <f>Criteria!E22</f>
        <v>2025</v>
      </c>
      <c r="H6" s="5">
        <f>Criteria!E27</f>
        <v>2024</v>
      </c>
    </row>
    <row r="8" spans="3:8" s="2" customFormat="1" x14ac:dyDescent="0.25">
      <c r="C8" s="28">
        <f>TrialBalance!C186</f>
        <v>0</v>
      </c>
      <c r="G8" s="101">
        <f>-TrialBalance!L186</f>
        <v>0</v>
      </c>
      <c r="H8" s="101">
        <f>-TrialBalance!N186</f>
        <v>0</v>
      </c>
    </row>
    <row r="9" spans="3:8" s="2" customFormat="1" x14ac:dyDescent="0.25">
      <c r="C9" s="28">
        <f>TrialBalance!C187</f>
        <v>0</v>
      </c>
      <c r="G9" s="101">
        <f>-TrialBalance!L187</f>
        <v>0</v>
      </c>
      <c r="H9" s="101">
        <f>-TrialBalance!N187</f>
        <v>0</v>
      </c>
    </row>
    <row r="10" spans="3:8" s="2" customFormat="1" x14ac:dyDescent="0.25">
      <c r="C10" s="28">
        <f>TrialBalance!C188</f>
        <v>0</v>
      </c>
      <c r="G10" s="101">
        <f>-TrialBalance!L188</f>
        <v>0</v>
      </c>
      <c r="H10" s="101">
        <f>-TrialBalance!N188</f>
        <v>0</v>
      </c>
    </row>
    <row r="11" spans="3:8" s="2" customFormat="1" x14ac:dyDescent="0.25">
      <c r="C11" s="28">
        <f>TrialBalance!C189</f>
        <v>0</v>
      </c>
      <c r="G11" s="101">
        <f>-TrialBalance!L189</f>
        <v>0</v>
      </c>
      <c r="H11" s="101">
        <f>-TrialBalance!N189</f>
        <v>0</v>
      </c>
    </row>
    <row r="12" spans="3:8" s="2" customFormat="1" x14ac:dyDescent="0.25">
      <c r="C12" s="28">
        <f>TrialBalance!C190</f>
        <v>0</v>
      </c>
      <c r="G12" s="101">
        <f>-TrialBalance!L190</f>
        <v>0</v>
      </c>
      <c r="H12" s="101">
        <f>-TrialBalance!N190</f>
        <v>0</v>
      </c>
    </row>
    <row r="13" spans="3:8" s="2" customFormat="1" x14ac:dyDescent="0.25">
      <c r="C13" s="28">
        <f>TrialBalance!C191</f>
        <v>0</v>
      </c>
      <c r="G13" s="101">
        <f>-TrialBalance!L191</f>
        <v>0</v>
      </c>
      <c r="H13" s="101">
        <f>-TrialBalance!N191</f>
        <v>0</v>
      </c>
    </row>
    <row r="14" spans="3:8" s="2" customFormat="1" x14ac:dyDescent="0.25">
      <c r="C14" s="28">
        <f>TrialBalance!C192</f>
        <v>0</v>
      </c>
      <c r="G14" s="101">
        <f>-TrialBalance!L192</f>
        <v>0</v>
      </c>
      <c r="H14" s="101">
        <f>-TrialBalance!N192</f>
        <v>0</v>
      </c>
    </row>
    <row r="15" spans="3:8" s="2" customFormat="1" x14ac:dyDescent="0.25">
      <c r="C15" s="28">
        <f>TrialBalance!C193</f>
        <v>0</v>
      </c>
      <c r="G15" s="101">
        <f>-TrialBalance!L193</f>
        <v>0</v>
      </c>
      <c r="H15" s="101">
        <f>-TrialBalance!N193</f>
        <v>0</v>
      </c>
    </row>
    <row r="16" spans="3:8" s="2" customFormat="1" x14ac:dyDescent="0.25">
      <c r="C16" s="28">
        <f>TrialBalance!C194</f>
        <v>0</v>
      </c>
      <c r="G16" s="101">
        <f>-TrialBalance!L194</f>
        <v>0</v>
      </c>
      <c r="H16" s="101">
        <f>-TrialBalance!N194</f>
        <v>0</v>
      </c>
    </row>
    <row r="17" spans="3:8" s="2" customFormat="1" x14ac:dyDescent="0.25">
      <c r="C17" s="28">
        <f>TrialBalance!C195</f>
        <v>0</v>
      </c>
      <c r="G17" s="101">
        <f>-TrialBalance!L195</f>
        <v>0</v>
      </c>
      <c r="H17" s="101">
        <f>-TrialBalance!N195</f>
        <v>0</v>
      </c>
    </row>
    <row r="18" spans="3:8" s="2" customFormat="1" x14ac:dyDescent="0.25">
      <c r="C18" s="28">
        <f>TrialBalance!C196</f>
        <v>0</v>
      </c>
      <c r="G18" s="101">
        <f>-TrialBalance!L196</f>
        <v>0</v>
      </c>
      <c r="H18" s="101">
        <f>-TrialBalance!N196</f>
        <v>0</v>
      </c>
    </row>
    <row r="19" spans="3:8" s="2" customFormat="1" x14ac:dyDescent="0.25">
      <c r="C19" s="28">
        <f>TrialBalance!C197</f>
        <v>0</v>
      </c>
      <c r="G19" s="101">
        <f>-TrialBalance!L197</f>
        <v>0</v>
      </c>
      <c r="H19" s="101">
        <f>-TrialBalance!N197</f>
        <v>0</v>
      </c>
    </row>
    <row r="20" spans="3:8" s="2" customFormat="1" x14ac:dyDescent="0.25">
      <c r="C20" s="28">
        <f>TrialBalance!C198</f>
        <v>0</v>
      </c>
      <c r="G20" s="101">
        <f>-TrialBalance!L198</f>
        <v>0</v>
      </c>
      <c r="H20" s="101">
        <f>-TrialBalance!N198</f>
        <v>0</v>
      </c>
    </row>
    <row r="21" spans="3:8" s="2" customFormat="1" x14ac:dyDescent="0.25">
      <c r="C21" s="28">
        <f>TrialBalance!C199</f>
        <v>0</v>
      </c>
      <c r="G21" s="101">
        <f>-TrialBalance!L199</f>
        <v>0</v>
      </c>
      <c r="H21" s="101">
        <f>-TrialBalance!N199</f>
        <v>0</v>
      </c>
    </row>
    <row r="22" spans="3:8" s="2" customFormat="1" x14ac:dyDescent="0.25">
      <c r="C22" s="28">
        <f>TrialBalance!C200</f>
        <v>0</v>
      </c>
      <c r="G22" s="101">
        <f>-TrialBalance!L200</f>
        <v>0</v>
      </c>
      <c r="H22" s="101">
        <f>-TrialBalance!N200</f>
        <v>0</v>
      </c>
    </row>
    <row r="23" spans="3:8" s="2" customFormat="1" x14ac:dyDescent="0.25">
      <c r="C23" s="28"/>
      <c r="G23" s="102"/>
      <c r="H23" s="102"/>
    </row>
    <row r="24" spans="3:8" s="2" customFormat="1" x14ac:dyDescent="0.25">
      <c r="C24" s="28"/>
      <c r="G24" s="101">
        <f>SUM(G7:G23)</f>
        <v>0</v>
      </c>
      <c r="H24" s="101">
        <f>SUM(H7:H23)</f>
        <v>0</v>
      </c>
    </row>
    <row r="25" spans="3:8" s="2" customFormat="1" x14ac:dyDescent="0.25">
      <c r="C25" s="28"/>
      <c r="G25" s="101"/>
      <c r="H25" s="101"/>
    </row>
    <row r="26" spans="3:8" s="2" customFormat="1" x14ac:dyDescent="0.25">
      <c r="C26" s="28" t="s">
        <v>237</v>
      </c>
      <c r="G26" s="101">
        <f>-TrialBalance!L201</f>
        <v>0</v>
      </c>
      <c r="H26" s="101">
        <f>-TrialBalance!N201</f>
        <v>0</v>
      </c>
    </row>
    <row r="27" spans="3:8" s="2" customFormat="1" x14ac:dyDescent="0.25">
      <c r="G27" s="101"/>
      <c r="H27" s="101"/>
    </row>
    <row r="28" spans="3:8" s="2" customFormat="1" ht="16.5" thickBot="1" x14ac:dyDescent="0.3">
      <c r="G28" s="103">
        <f>SUM(G24:G27)</f>
        <v>0</v>
      </c>
      <c r="H28" s="103">
        <f>SUM(H24:H27)</f>
        <v>0</v>
      </c>
    </row>
    <row r="29" spans="3:8" s="2" customFormat="1" ht="16.5" thickTop="1" x14ac:dyDescent="0.25">
      <c r="G29" s="101"/>
      <c r="H29" s="101"/>
    </row>
    <row r="30" spans="3:8" s="2" customFormat="1" x14ac:dyDescent="0.25">
      <c r="C30" s="1" t="s">
        <v>553</v>
      </c>
      <c r="D30" s="1"/>
      <c r="E30" s="1"/>
      <c r="F30" s="1"/>
      <c r="G30" s="7">
        <f>G28+SUM(TrialBalance!L186:L201)</f>
        <v>0</v>
      </c>
      <c r="H30" s="7">
        <f>H28+SUM(TrialBalance!N186:N201)</f>
        <v>0</v>
      </c>
    </row>
    <row r="31" spans="3:8" s="2" customFormat="1" x14ac:dyDescent="0.25">
      <c r="G31" s="101"/>
      <c r="H31" s="101"/>
    </row>
    <row r="32" spans="3:8" s="2" customFormat="1" x14ac:dyDescent="0.25">
      <c r="G32" s="101"/>
      <c r="H32" s="101"/>
    </row>
    <row r="33" spans="2:8" s="2" customFormat="1" x14ac:dyDescent="0.25">
      <c r="G33" s="101"/>
      <c r="H33" s="101"/>
    </row>
    <row r="34" spans="2:8" s="2" customFormat="1" x14ac:dyDescent="0.25">
      <c r="B34" s="89"/>
      <c r="C34" s="3"/>
      <c r="G34" s="25"/>
      <c r="H34" s="25"/>
    </row>
    <row r="35" spans="2:8" s="2" customFormat="1" x14ac:dyDescent="0.25">
      <c r="G35" s="5"/>
      <c r="H35" s="5"/>
    </row>
    <row r="36" spans="2:8" s="2" customFormat="1" x14ac:dyDescent="0.25">
      <c r="G36" s="5"/>
      <c r="H36" s="5"/>
    </row>
    <row r="37" spans="2:8" x14ac:dyDescent="0.25">
      <c r="E37" s="176"/>
      <c r="F37" s="176"/>
    </row>
    <row r="38" spans="2:8" x14ac:dyDescent="0.25">
      <c r="E38" s="177"/>
      <c r="F38" s="177"/>
    </row>
    <row r="39" spans="2:8" x14ac:dyDescent="0.25">
      <c r="E39" s="177"/>
      <c r="F39" s="177"/>
    </row>
    <row r="40" spans="2:8" x14ac:dyDescent="0.25">
      <c r="E40" s="177"/>
      <c r="F40" s="177"/>
    </row>
    <row r="41" spans="2:8" x14ac:dyDescent="0.25">
      <c r="E41" s="177"/>
      <c r="F41" s="177"/>
    </row>
    <row r="42" spans="2:8" x14ac:dyDescent="0.25">
      <c r="E42" s="177"/>
      <c r="F42" s="177"/>
    </row>
    <row r="43" spans="2:8" x14ac:dyDescent="0.25">
      <c r="E43" s="177"/>
      <c r="F43" s="177"/>
    </row>
    <row r="44" spans="2:8" x14ac:dyDescent="0.25">
      <c r="E44" s="177"/>
      <c r="F44" s="177"/>
    </row>
    <row r="45" spans="2:8" x14ac:dyDescent="0.25">
      <c r="E45" s="177"/>
      <c r="F45" s="177"/>
    </row>
    <row r="46" spans="2:8" x14ac:dyDescent="0.25">
      <c r="E46" s="177"/>
      <c r="F46" s="177"/>
    </row>
    <row r="47" spans="2:8" x14ac:dyDescent="0.25">
      <c r="E47" s="177"/>
      <c r="F47" s="177"/>
    </row>
    <row r="48" spans="2:8" x14ac:dyDescent="0.25">
      <c r="E48" s="177"/>
      <c r="F48" s="177"/>
    </row>
    <row r="49" spans="5:6" x14ac:dyDescent="0.25">
      <c r="E49" s="177"/>
      <c r="F49" s="177"/>
    </row>
    <row r="50" spans="5:6" x14ac:dyDescent="0.25">
      <c r="E50" s="177"/>
      <c r="F50" s="177"/>
    </row>
    <row r="51" spans="5:6" x14ac:dyDescent="0.25">
      <c r="E51" s="177"/>
      <c r="F51" s="177"/>
    </row>
    <row r="52" spans="5:6" x14ac:dyDescent="0.25">
      <c r="E52" s="177"/>
      <c r="F52" s="177"/>
    </row>
    <row r="53" spans="5:6" x14ac:dyDescent="0.25">
      <c r="E53" s="177"/>
      <c r="F53" s="177"/>
    </row>
    <row r="54" spans="5:6" x14ac:dyDescent="0.25">
      <c r="E54" s="177"/>
      <c r="F54" s="177"/>
    </row>
    <row r="55" spans="5:6" x14ac:dyDescent="0.25">
      <c r="E55" s="177"/>
      <c r="F55" s="177"/>
    </row>
    <row r="56" spans="5:6" x14ac:dyDescent="0.25">
      <c r="E56" s="177"/>
      <c r="F56" s="177"/>
    </row>
    <row r="57" spans="5:6" x14ac:dyDescent="0.25">
      <c r="E57" s="177"/>
      <c r="F57" s="177"/>
    </row>
    <row r="58" spans="5:6" x14ac:dyDescent="0.25">
      <c r="E58" s="177"/>
      <c r="F58" s="177"/>
    </row>
    <row r="59" spans="5:6" x14ac:dyDescent="0.25">
      <c r="E59" s="177"/>
      <c r="F59" s="177"/>
    </row>
    <row r="60" spans="5:6" x14ac:dyDescent="0.25">
      <c r="E60" s="177"/>
      <c r="F60" s="177"/>
    </row>
    <row r="61" spans="5:6" x14ac:dyDescent="0.25">
      <c r="E61" s="177"/>
      <c r="F61" s="177"/>
    </row>
    <row r="62" spans="5:6" x14ac:dyDescent="0.25">
      <c r="E62" s="177"/>
      <c r="F62" s="177"/>
    </row>
    <row r="63" spans="5:6" x14ac:dyDescent="0.25">
      <c r="E63" s="177"/>
      <c r="F63" s="177"/>
    </row>
    <row r="64" spans="5:6" x14ac:dyDescent="0.25">
      <c r="E64" s="177"/>
      <c r="F64" s="177"/>
    </row>
    <row r="65" spans="5:6" x14ac:dyDescent="0.25">
      <c r="E65" s="177"/>
      <c r="F65" s="177"/>
    </row>
    <row r="66" spans="5:6" x14ac:dyDescent="0.25">
      <c r="E66" s="177"/>
      <c r="F66" s="177"/>
    </row>
    <row r="67" spans="5:6" x14ac:dyDescent="0.25">
      <c r="E67" s="177"/>
      <c r="F67" s="177"/>
    </row>
    <row r="68" spans="5:6" x14ac:dyDescent="0.25">
      <c r="E68" s="177"/>
      <c r="F68" s="177"/>
    </row>
    <row r="69" spans="5:6" x14ac:dyDescent="0.25">
      <c r="E69" s="177"/>
      <c r="F69" s="177"/>
    </row>
    <row r="70" spans="5:6" x14ac:dyDescent="0.25">
      <c r="E70" s="177"/>
      <c r="F70" s="177"/>
    </row>
    <row r="71" spans="5:6" x14ac:dyDescent="0.25">
      <c r="E71" s="177"/>
      <c r="F71" s="177"/>
    </row>
    <row r="72" spans="5:6" x14ac:dyDescent="0.25">
      <c r="E72" s="177"/>
      <c r="F72" s="177"/>
    </row>
    <row r="73" spans="5:6" x14ac:dyDescent="0.25">
      <c r="E73" s="177"/>
      <c r="F73" s="177"/>
    </row>
    <row r="74" spans="5:6" x14ac:dyDescent="0.25">
      <c r="E74" s="177"/>
      <c r="F74" s="177"/>
    </row>
    <row r="75" spans="5:6" x14ac:dyDescent="0.25">
      <c r="E75" s="177"/>
      <c r="F75" s="177"/>
    </row>
    <row r="76" spans="5:6" x14ac:dyDescent="0.25">
      <c r="E76" s="177"/>
      <c r="F76" s="177"/>
    </row>
    <row r="77" spans="5:6" x14ac:dyDescent="0.25">
      <c r="E77" s="177"/>
      <c r="F77" s="177"/>
    </row>
    <row r="78" spans="5:6" x14ac:dyDescent="0.25">
      <c r="E78" s="177"/>
      <c r="F78" s="177"/>
    </row>
    <row r="79" spans="5:6" x14ac:dyDescent="0.25">
      <c r="E79" s="177"/>
      <c r="F79" s="177"/>
    </row>
    <row r="80" spans="5:6" x14ac:dyDescent="0.25">
      <c r="E80" s="177"/>
      <c r="F80" s="177"/>
    </row>
    <row r="81" spans="5:6" x14ac:dyDescent="0.25">
      <c r="E81" s="177"/>
      <c r="F81" s="177"/>
    </row>
    <row r="82" spans="5:6" x14ac:dyDescent="0.25">
      <c r="E82" s="177"/>
      <c r="F82" s="177"/>
    </row>
    <row r="83" spans="5:6" x14ac:dyDescent="0.25">
      <c r="E83" s="177"/>
      <c r="F83" s="177"/>
    </row>
    <row r="84" spans="5:6" x14ac:dyDescent="0.25">
      <c r="E84" s="177"/>
      <c r="F84" s="177"/>
    </row>
    <row r="85" spans="5:6" x14ac:dyDescent="0.25">
      <c r="E85" s="177"/>
      <c r="F85" s="177"/>
    </row>
    <row r="86" spans="5:6" x14ac:dyDescent="0.25">
      <c r="E86" s="177"/>
      <c r="F86" s="177"/>
    </row>
    <row r="87" spans="5:6" x14ac:dyDescent="0.25">
      <c r="E87" s="177"/>
      <c r="F87" s="177"/>
    </row>
    <row r="88" spans="5:6" x14ac:dyDescent="0.25">
      <c r="E88" s="177"/>
      <c r="F88" s="177"/>
    </row>
    <row r="89" spans="5:6" x14ac:dyDescent="0.25">
      <c r="E89" s="177"/>
      <c r="F89" s="177"/>
    </row>
    <row r="90" spans="5:6" x14ac:dyDescent="0.25">
      <c r="E90" s="177"/>
      <c r="F90" s="177"/>
    </row>
    <row r="91" spans="5:6" x14ac:dyDescent="0.25">
      <c r="E91" s="177"/>
      <c r="F91" s="177"/>
    </row>
    <row r="92" spans="5:6" x14ac:dyDescent="0.25">
      <c r="E92" s="177"/>
      <c r="F92" s="177"/>
    </row>
    <row r="93" spans="5:6" x14ac:dyDescent="0.25">
      <c r="E93" s="177"/>
      <c r="F93" s="177"/>
    </row>
    <row r="94" spans="5:6" x14ac:dyDescent="0.25">
      <c r="E94" s="177"/>
      <c r="F94" s="177"/>
    </row>
    <row r="95" spans="5:6" x14ac:dyDescent="0.25">
      <c r="E95" s="177"/>
      <c r="F95" s="177"/>
    </row>
    <row r="96" spans="5:6" x14ac:dyDescent="0.25">
      <c r="E96" s="177"/>
      <c r="F96" s="177"/>
    </row>
    <row r="97" spans="5:6" x14ac:dyDescent="0.25">
      <c r="E97" s="177"/>
      <c r="F97" s="177"/>
    </row>
    <row r="98" spans="5:6" x14ac:dyDescent="0.25">
      <c r="E98" s="177"/>
      <c r="F98" s="177"/>
    </row>
    <row r="99" spans="5:6" x14ac:dyDescent="0.25">
      <c r="E99" s="177"/>
      <c r="F99" s="177"/>
    </row>
    <row r="100" spans="5:6" x14ac:dyDescent="0.25">
      <c r="E100" s="177"/>
      <c r="F100" s="177"/>
    </row>
    <row r="101" spans="5:6" x14ac:dyDescent="0.25">
      <c r="E101" s="177"/>
      <c r="F101" s="177"/>
    </row>
    <row r="102" spans="5:6" x14ac:dyDescent="0.25">
      <c r="E102" s="177"/>
      <c r="F102" s="177"/>
    </row>
    <row r="103" spans="5:6" x14ac:dyDescent="0.25">
      <c r="E103" s="177"/>
      <c r="F103" s="177"/>
    </row>
    <row r="104" spans="5:6" x14ac:dyDescent="0.25">
      <c r="E104" s="177"/>
      <c r="F104" s="177"/>
    </row>
    <row r="105" spans="5:6" x14ac:dyDescent="0.25">
      <c r="E105" s="177"/>
      <c r="F105" s="177"/>
    </row>
    <row r="106" spans="5:6" x14ac:dyDescent="0.25">
      <c r="E106" s="177"/>
      <c r="F106" s="177"/>
    </row>
    <row r="107" spans="5:6" x14ac:dyDescent="0.25">
      <c r="E107" s="177"/>
      <c r="F107" s="177"/>
    </row>
    <row r="108" spans="5:6" x14ac:dyDescent="0.25">
      <c r="E108" s="177"/>
      <c r="F108" s="177"/>
    </row>
    <row r="109" spans="5:6" x14ac:dyDescent="0.25">
      <c r="E109" s="177"/>
      <c r="F109" s="177"/>
    </row>
    <row r="110" spans="5:6" x14ac:dyDescent="0.25">
      <c r="E110" s="177"/>
      <c r="F110" s="177"/>
    </row>
    <row r="111" spans="5:6" x14ac:dyDescent="0.25">
      <c r="E111" s="177"/>
      <c r="F111" s="177"/>
    </row>
    <row r="112" spans="5:6" x14ac:dyDescent="0.25">
      <c r="E112" s="177"/>
      <c r="F112" s="177"/>
    </row>
    <row r="113" spans="5:6" x14ac:dyDescent="0.25">
      <c r="E113" s="177"/>
      <c r="F113" s="177"/>
    </row>
    <row r="114" spans="5:6" x14ac:dyDescent="0.25">
      <c r="E114" s="177"/>
      <c r="F114" s="177"/>
    </row>
    <row r="115" spans="5:6" x14ac:dyDescent="0.25">
      <c r="E115" s="177"/>
      <c r="F115" s="177"/>
    </row>
    <row r="116" spans="5:6" x14ac:dyDescent="0.25">
      <c r="E116" s="177"/>
      <c r="F116" s="177"/>
    </row>
    <row r="117" spans="5:6" x14ac:dyDescent="0.25">
      <c r="E117" s="177"/>
      <c r="F117" s="177"/>
    </row>
    <row r="118" spans="5:6" x14ac:dyDescent="0.25">
      <c r="E118" s="177"/>
      <c r="F118" s="177"/>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07"/>
  </cols>
  <sheetData>
    <row r="2" spans="3:8" ht="52.5" customHeight="1" x14ac:dyDescent="0.25">
      <c r="C2" s="106" t="str">
        <f>Criteria!E9</f>
        <v>HOLDING COMPANY 268 (PROPRIETARY) LIMITED</v>
      </c>
      <c r="D2" s="156"/>
      <c r="E2" s="156"/>
      <c r="G2" s="105" t="s">
        <v>76</v>
      </c>
      <c r="H2" s="105"/>
    </row>
    <row r="3" spans="3:8" x14ac:dyDescent="0.25">
      <c r="C3" s="3" t="s">
        <v>75</v>
      </c>
      <c r="D3" s="3"/>
      <c r="E3" s="3" t="str">
        <f>Criteria!E20</f>
        <v>28 FEBRUARY 2025</v>
      </c>
    </row>
    <row r="4" spans="3:8" ht="52.5" customHeight="1" x14ac:dyDescent="0.25">
      <c r="C4" s="137" t="s">
        <v>126</v>
      </c>
      <c r="G4" s="105" t="s">
        <v>77</v>
      </c>
      <c r="H4" s="105"/>
    </row>
    <row r="5" spans="3:8" ht="15.75" customHeight="1" x14ac:dyDescent="0.25">
      <c r="G5" s="25"/>
      <c r="H5" s="25"/>
    </row>
    <row r="6" spans="3:8" s="2" customFormat="1" x14ac:dyDescent="0.25">
      <c r="G6" s="5">
        <f>Criteria!E22</f>
        <v>2025</v>
      </c>
      <c r="H6" s="5">
        <f>Criteria!E27</f>
        <v>2024</v>
      </c>
    </row>
    <row r="8" spans="3:8" s="2" customFormat="1" x14ac:dyDescent="0.25">
      <c r="C8" s="28">
        <f>TrialBalance!C203</f>
        <v>0</v>
      </c>
      <c r="G8" s="101">
        <f>-TrialBalance!L203</f>
        <v>0</v>
      </c>
      <c r="H8" s="101">
        <f>-TrialBalance!N203</f>
        <v>0</v>
      </c>
    </row>
    <row r="9" spans="3:8" s="2" customFormat="1" x14ac:dyDescent="0.25">
      <c r="C9" s="28">
        <f>TrialBalance!C204</f>
        <v>0</v>
      </c>
      <c r="G9" s="101">
        <f>-TrialBalance!L204</f>
        <v>0</v>
      </c>
      <c r="H9" s="101">
        <f>-TrialBalance!N204</f>
        <v>0</v>
      </c>
    </row>
    <row r="10" spans="3:8" s="2" customFormat="1" x14ac:dyDescent="0.25">
      <c r="C10" s="28">
        <f>TrialBalance!C205</f>
        <v>0</v>
      </c>
      <c r="G10" s="101">
        <f>-TrialBalance!L205</f>
        <v>0</v>
      </c>
      <c r="H10" s="101">
        <f>-TrialBalance!N205</f>
        <v>0</v>
      </c>
    </row>
    <row r="11" spans="3:8" s="2" customFormat="1" x14ac:dyDescent="0.25">
      <c r="C11" s="28">
        <f>TrialBalance!C206</f>
        <v>0</v>
      </c>
      <c r="G11" s="101">
        <f>-TrialBalance!L206</f>
        <v>0</v>
      </c>
      <c r="H11" s="101">
        <f>-TrialBalance!N206</f>
        <v>0</v>
      </c>
    </row>
    <row r="12" spans="3:8" s="2" customFormat="1" x14ac:dyDescent="0.25">
      <c r="C12" s="28">
        <f>TrialBalance!C207</f>
        <v>0</v>
      </c>
      <c r="G12" s="101">
        <f>-TrialBalance!L207</f>
        <v>0</v>
      </c>
      <c r="H12" s="101">
        <f>-TrialBalance!N207</f>
        <v>0</v>
      </c>
    </row>
    <row r="13" spans="3:8" s="2" customFormat="1" x14ac:dyDescent="0.25">
      <c r="C13" s="28">
        <f>TrialBalance!C208</f>
        <v>0</v>
      </c>
      <c r="G13" s="101">
        <f>-TrialBalance!L208</f>
        <v>0</v>
      </c>
      <c r="H13" s="101">
        <f>-TrialBalance!N208</f>
        <v>0</v>
      </c>
    </row>
    <row r="14" spans="3:8" s="2" customFormat="1" x14ac:dyDescent="0.25">
      <c r="C14" s="28">
        <f>TrialBalance!C209</f>
        <v>0</v>
      </c>
      <c r="G14" s="101">
        <f>-TrialBalance!L209</f>
        <v>0</v>
      </c>
      <c r="H14" s="101">
        <f>-TrialBalance!N209</f>
        <v>0</v>
      </c>
    </row>
    <row r="15" spans="3:8" s="2" customFormat="1" x14ac:dyDescent="0.25">
      <c r="C15" s="28">
        <f>TrialBalance!C210</f>
        <v>0</v>
      </c>
      <c r="G15" s="101">
        <f>-TrialBalance!L210</f>
        <v>0</v>
      </c>
      <c r="H15" s="101">
        <f>-TrialBalance!N210</f>
        <v>0</v>
      </c>
    </row>
    <row r="16" spans="3:8" s="2" customFormat="1" x14ac:dyDescent="0.25">
      <c r="C16" s="28">
        <f>TrialBalance!C211</f>
        <v>0</v>
      </c>
      <c r="G16" s="101">
        <f>-TrialBalance!L211</f>
        <v>0</v>
      </c>
      <c r="H16" s="101">
        <f>-TrialBalance!N211</f>
        <v>0</v>
      </c>
    </row>
    <row r="17" spans="3:8" s="2" customFormat="1" x14ac:dyDescent="0.25">
      <c r="C17" s="28">
        <f>TrialBalance!C212</f>
        <v>0</v>
      </c>
      <c r="G17" s="101">
        <f>-TrialBalance!L212</f>
        <v>0</v>
      </c>
      <c r="H17" s="101">
        <f>-TrialBalance!N212</f>
        <v>0</v>
      </c>
    </row>
    <row r="18" spans="3:8" s="2" customFormat="1" x14ac:dyDescent="0.25">
      <c r="C18" s="28">
        <f>TrialBalance!C213</f>
        <v>0</v>
      </c>
      <c r="G18" s="101">
        <f>-TrialBalance!L213</f>
        <v>0</v>
      </c>
      <c r="H18" s="101">
        <f>-TrialBalance!N213</f>
        <v>0</v>
      </c>
    </row>
    <row r="19" spans="3:8" s="2" customFormat="1" x14ac:dyDescent="0.25">
      <c r="C19" s="28">
        <f>TrialBalance!C214</f>
        <v>0</v>
      </c>
      <c r="G19" s="101">
        <f>-TrialBalance!L214</f>
        <v>0</v>
      </c>
      <c r="H19" s="101">
        <f>-TrialBalance!N214</f>
        <v>0</v>
      </c>
    </row>
    <row r="20" spans="3:8" s="2" customFormat="1" x14ac:dyDescent="0.25">
      <c r="C20" s="28">
        <f>TrialBalance!C215</f>
        <v>0</v>
      </c>
      <c r="G20" s="101">
        <f>-TrialBalance!L215</f>
        <v>0</v>
      </c>
      <c r="H20" s="101">
        <f>-TrialBalance!N215</f>
        <v>0</v>
      </c>
    </row>
    <row r="21" spans="3:8" s="2" customFormat="1" x14ac:dyDescent="0.25">
      <c r="C21" s="28">
        <f>TrialBalance!C216</f>
        <v>0</v>
      </c>
      <c r="G21" s="101">
        <f>-TrialBalance!L216</f>
        <v>0</v>
      </c>
      <c r="H21" s="101">
        <f>-TrialBalance!N216</f>
        <v>0</v>
      </c>
    </row>
    <row r="22" spans="3:8" s="2" customFormat="1" x14ac:dyDescent="0.25">
      <c r="C22" s="28">
        <f>TrialBalance!C217</f>
        <v>0</v>
      </c>
      <c r="G22" s="101">
        <f>-TrialBalance!L217</f>
        <v>0</v>
      </c>
      <c r="H22" s="101">
        <f>-TrialBalance!N217</f>
        <v>0</v>
      </c>
    </row>
    <row r="23" spans="3:8" s="2" customFormat="1" x14ac:dyDescent="0.25">
      <c r="C23" s="28">
        <f>TrialBalance!C218</f>
        <v>0</v>
      </c>
      <c r="G23" s="101">
        <f>-TrialBalance!L218</f>
        <v>0</v>
      </c>
      <c r="H23" s="101">
        <f>-TrialBalance!N218</f>
        <v>0</v>
      </c>
    </row>
    <row r="24" spans="3:8" s="2" customFormat="1" x14ac:dyDescent="0.25">
      <c r="C24" s="28">
        <f>TrialBalance!C219</f>
        <v>0</v>
      </c>
      <c r="G24" s="101">
        <f>-TrialBalance!L219</f>
        <v>0</v>
      </c>
      <c r="H24" s="101">
        <f>-TrialBalance!N219</f>
        <v>0</v>
      </c>
    </row>
    <row r="25" spans="3:8" s="2" customFormat="1" x14ac:dyDescent="0.25">
      <c r="G25" s="101"/>
      <c r="H25" s="101"/>
    </row>
    <row r="26" spans="3:8" s="2" customFormat="1" ht="16.5" thickBot="1" x14ac:dyDescent="0.3">
      <c r="G26" s="103">
        <f>SUM(G7:G25)</f>
        <v>0</v>
      </c>
      <c r="H26" s="103">
        <f>SUM(H7:H25)</f>
        <v>0</v>
      </c>
    </row>
    <row r="27" spans="3:8" s="2" customFormat="1" ht="16.5" thickTop="1" x14ac:dyDescent="0.25">
      <c r="G27" s="101"/>
      <c r="H27" s="101"/>
    </row>
    <row r="28" spans="3:8" s="2" customFormat="1" x14ac:dyDescent="0.25">
      <c r="C28" s="1" t="s">
        <v>553</v>
      </c>
      <c r="D28" s="1"/>
      <c r="E28" s="1"/>
      <c r="F28" s="1"/>
      <c r="G28" s="7">
        <f>G26+SUM(TrialBalance!L203:L219)</f>
        <v>0</v>
      </c>
      <c r="H28" s="7">
        <f>H26+SUM(TrialBalance!N203:N219)</f>
        <v>0</v>
      </c>
    </row>
    <row r="29" spans="3:8" s="2" customFormat="1" x14ac:dyDescent="0.25">
      <c r="G29" s="101"/>
      <c r="H29" s="101"/>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53</vt:i4>
      </vt:variant>
    </vt:vector>
  </HeadingPairs>
  <TitlesOfParts>
    <vt:vector size="77" baseType="lpstr">
      <vt:lpstr>Instructions</vt:lpstr>
      <vt:lpstr>FS</vt:lpstr>
      <vt:lpstr>FS2</vt:lpstr>
      <vt:lpstr>Criteria</vt:lpstr>
      <vt:lpstr>TrialBalance</vt:lpstr>
      <vt:lpstr>Journals</vt:lpstr>
      <vt:lpstr>FARegister</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2024-09-07T07:20:33Z</cp:lastPrinted>
  <dcterms:created xsi:type="dcterms:W3CDTF">2005-04-27T11:29:52Z</dcterms:created>
  <dcterms:modified xsi:type="dcterms:W3CDTF">2025-03-21T06:15:16Z</dcterms:modified>
</cp:coreProperties>
</file>